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64011"/>
  <mc:AlternateContent xmlns:mc="http://schemas.openxmlformats.org/markup-compatibility/2006">
    <mc:Choice Requires="x15">
      <x15ac:absPath xmlns:x15ac="http://schemas.microsoft.com/office/spreadsheetml/2010/11/ac" url="Z:\04_Комплексная экспертиза\ФЭЭ\Шаблоны моделей и ПДДС\Актуальные версии\"/>
    </mc:Choice>
  </mc:AlternateContent>
  <workbookProtection workbookAlgorithmName="SHA-512" workbookHashValue="3+KzYBtZEk1vawY17f+w4jPQStfL98h1xyHOhv+f5HnUFRAC6LzyoLMVw9iPP5kVvQkeA/MdWpFcBdvnwEZbUA==" workbookSaltValue="/x3FTfAQIdnlWrZvuBSPfA==" workbookSpinCount="100000" lockStructure="1"/>
  <bookViews>
    <workbookView xWindow="0" yWindow="0" windowWidth="23040" windowHeight="8610" tabRatio="840"/>
  </bookViews>
  <sheets>
    <sheet name="Титульный лист" sheetId="1" r:id="rId1"/>
    <sheet name="Содержание" sheetId="25" r:id="rId2"/>
    <sheet name="Обращение" sheetId="3" r:id="rId3"/>
    <sheet name="Программы финансирования" sheetId="6" r:id="rId4"/>
    <sheet name="Руководство" sheetId="32" r:id="rId5"/>
    <sheet name="Параметры займа" sheetId="7" r:id="rId6"/>
    <sheet name="Предпосылки" sheetId="4" r:id="rId7"/>
    <sheet name="Финансирование" sheetId="16" r:id="rId8"/>
    <sheet name="Квартальная отчетность" sheetId="11" r:id="rId9"/>
    <sheet name="Годовая отчетность" sheetId="29" r:id="rId10"/>
    <sheet name="Показатели" sheetId="22" r:id="rId11"/>
    <sheet name="Выводы" sheetId="31" r:id="rId12"/>
    <sheet name="Проверка" sheetId="21" r:id="rId13"/>
    <sheet name="support" sheetId="33" state="hidden" r:id="rId14"/>
    <sheet name="tables" sheetId="34" state="hidden" r:id="rId15"/>
  </sheets>
  <definedNames>
    <definedName name="_xlnm._FilterDatabase" localSheetId="3" hidden="1">'Программы финансирования'!$A$8:$AK$13</definedName>
    <definedName name="Дата_погашения_Займа">'Параметры займа'!$J$10</definedName>
    <definedName name="Дата_получения_Займа">'Параметры займа'!$E$10</definedName>
    <definedName name="Единица_измерения">Предпосылки!$C$17</definedName>
    <definedName name="_xlnm.Print_Titles" localSheetId="11">Выводы!$1:$5</definedName>
    <definedName name="_xlnm.Print_Titles" localSheetId="4">Руководство!$2:$5</definedName>
    <definedName name="Имя_Проекта">Предпосылки!$B$9</definedName>
    <definedName name="Кварталов_в_году">Предпосылки!$C$20</definedName>
    <definedName name="Месяцев_в_году">Предпосылки!$C$18</definedName>
    <definedName name="Месяцев_в_квартале">Предпосылки!$C$19</definedName>
    <definedName name="_xlnm.Print_Area" localSheetId="11">Выводы!$B$2:$M$93</definedName>
    <definedName name="_xlnm.Print_Area" localSheetId="2">Обращение!$A$1:$R$37</definedName>
    <definedName name="_xlnm.Print_Area" localSheetId="5">'Параметры займа'!$A$1:$AI$64</definedName>
    <definedName name="_xlnm.Print_Area" localSheetId="3">'Программы финансирования'!$A$1:$O$16,'Программы финансирования'!$A$17:$BS$1048576</definedName>
    <definedName name="_xlnm.Print_Area" localSheetId="4">Руководство!$B$2:$O$217</definedName>
    <definedName name="_xlnm.Print_Area" localSheetId="0">'Титульный лист'!$A$1:$I$22</definedName>
    <definedName name="Проверка">Проверка!$G$28</definedName>
    <definedName name="Программа">'Параметры займа'!$E$7</definedName>
    <definedName name="Регион">Предпосылки!$C$11</definedName>
  </definedNames>
  <calcPr calcId="162913" calcMode="autoNoTable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69" i="4" l="1"/>
  <c r="H269" i="4" s="1"/>
  <c r="I269" i="4" s="1"/>
  <c r="J269" i="4" s="1"/>
  <c r="K269" i="4" s="1"/>
  <c r="L269" i="4" s="1"/>
  <c r="M269" i="4" s="1"/>
  <c r="N269" i="4" s="1"/>
  <c r="O269" i="4" s="1"/>
  <c r="P269" i="4" s="1"/>
  <c r="Q269" i="4" s="1"/>
  <c r="R269" i="4" s="1"/>
  <c r="F269" i="4"/>
  <c r="E266" i="4"/>
  <c r="F266" i="4" s="1"/>
  <c r="G266" i="4" s="1"/>
  <c r="H266" i="4" s="1"/>
  <c r="I266" i="4" s="1"/>
  <c r="J266" i="4" s="1"/>
  <c r="K266" i="4" s="1"/>
  <c r="L266" i="4" s="1"/>
  <c r="M266" i="4" s="1"/>
  <c r="N266" i="4" s="1"/>
  <c r="O266" i="4" s="1"/>
  <c r="P266" i="4" s="1"/>
  <c r="Q266" i="4" s="1"/>
  <c r="R266" i="4" s="1"/>
  <c r="E265" i="4"/>
  <c r="F265" i="4" s="1"/>
  <c r="G265" i="4" s="1"/>
  <c r="H265" i="4" s="1"/>
  <c r="I265" i="4" s="1"/>
  <c r="J265" i="4" s="1"/>
  <c r="K265" i="4" s="1"/>
  <c r="L265" i="4" s="1"/>
  <c r="M265" i="4" s="1"/>
  <c r="N265" i="4" s="1"/>
  <c r="O265" i="4" s="1"/>
  <c r="P265" i="4" s="1"/>
  <c r="Q265" i="4" s="1"/>
  <c r="R265" i="4" s="1"/>
  <c r="E264" i="4"/>
  <c r="F264" i="4" s="1"/>
  <c r="G264" i="4" s="1"/>
  <c r="H264" i="4" s="1"/>
  <c r="I264" i="4" s="1"/>
  <c r="J264" i="4" s="1"/>
  <c r="K264" i="4" s="1"/>
  <c r="L264" i="4" s="1"/>
  <c r="M264" i="4" s="1"/>
  <c r="N264" i="4" s="1"/>
  <c r="O264" i="4" s="1"/>
  <c r="P264" i="4" s="1"/>
  <c r="Q264" i="4" s="1"/>
  <c r="R264" i="4" s="1"/>
  <c r="D266" i="4"/>
  <c r="D265" i="4"/>
  <c r="D264" i="4"/>
  <c r="F34" i="6" l="1"/>
  <c r="B34" i="6"/>
  <c r="BM79" i="11" l="1"/>
  <c r="BL79" i="11"/>
  <c r="BL78" i="11" s="1"/>
  <c r="BK79" i="11"/>
  <c r="BJ79" i="11"/>
  <c r="BI79" i="11"/>
  <c r="BH79" i="11"/>
  <c r="BG79" i="11"/>
  <c r="BF79" i="11"/>
  <c r="BE79" i="11"/>
  <c r="BD79" i="11"/>
  <c r="BC79" i="11"/>
  <c r="BB79" i="11"/>
  <c r="BA79" i="11"/>
  <c r="AZ79" i="11"/>
  <c r="AZ78" i="11" s="1"/>
  <c r="AY79" i="11"/>
  <c r="AX79" i="11"/>
  <c r="AW79" i="11"/>
  <c r="AV79" i="11"/>
  <c r="AU79" i="11"/>
  <c r="AT79" i="11"/>
  <c r="AS79" i="11"/>
  <c r="AR79" i="11"/>
  <c r="AQ79" i="11"/>
  <c r="AP79" i="11"/>
  <c r="AO79" i="11"/>
  <c r="AN79" i="11"/>
  <c r="AN78" i="11" s="1"/>
  <c r="AM79" i="11"/>
  <c r="AL79" i="11"/>
  <c r="AK79" i="11"/>
  <c r="AJ79" i="11"/>
  <c r="AI79" i="11"/>
  <c r="AH79" i="11"/>
  <c r="AG79" i="11"/>
  <c r="AF79" i="11"/>
  <c r="AE79" i="11"/>
  <c r="AD79" i="11"/>
  <c r="AC79" i="11"/>
  <c r="AB79" i="11"/>
  <c r="AB78" i="11" s="1"/>
  <c r="AA79" i="11"/>
  <c r="Z79" i="11"/>
  <c r="Y79" i="11"/>
  <c r="X79" i="11"/>
  <c r="W79" i="11"/>
  <c r="V79" i="11"/>
  <c r="U79" i="11"/>
  <c r="T79" i="11"/>
  <c r="S79" i="11"/>
  <c r="R79" i="11"/>
  <c r="Q79" i="11"/>
  <c r="P79" i="11"/>
  <c r="P78" i="11" s="1"/>
  <c r="O79" i="11"/>
  <c r="N79" i="11"/>
  <c r="M79" i="11"/>
  <c r="L79" i="11"/>
  <c r="K79" i="11"/>
  <c r="J79" i="11"/>
  <c r="I79" i="11"/>
  <c r="I78" i="11" s="1"/>
  <c r="H79" i="11"/>
  <c r="G79" i="11"/>
  <c r="F79" i="11"/>
  <c r="E79" i="11"/>
  <c r="E78" i="11" s="1"/>
  <c r="BM78" i="11"/>
  <c r="BK78" i="11"/>
  <c r="BJ78" i="11"/>
  <c r="BI78" i="11"/>
  <c r="BH78" i="11"/>
  <c r="BG78" i="11"/>
  <c r="BF78" i="11"/>
  <c r="BE78" i="11"/>
  <c r="BD78" i="11"/>
  <c r="BC78" i="11"/>
  <c r="BB78" i="11"/>
  <c r="BA78" i="11"/>
  <c r="AY78" i="11"/>
  <c r="AX78" i="11"/>
  <c r="AW78" i="11"/>
  <c r="AV78" i="11"/>
  <c r="AU78" i="11"/>
  <c r="AT78" i="11"/>
  <c r="AS78" i="11"/>
  <c r="AR78" i="11"/>
  <c r="AQ78" i="11"/>
  <c r="AP78" i="11"/>
  <c r="AO78" i="11"/>
  <c r="AM78" i="11"/>
  <c r="AL78" i="11"/>
  <c r="AK78" i="11"/>
  <c r="AJ78" i="11"/>
  <c r="AI78" i="11"/>
  <c r="AH78" i="11"/>
  <c r="AG78" i="11"/>
  <c r="AF78" i="11"/>
  <c r="AE78" i="11"/>
  <c r="AD78" i="11"/>
  <c r="AC78" i="11"/>
  <c r="AA78" i="11"/>
  <c r="Z78" i="11"/>
  <c r="Y78" i="11"/>
  <c r="X78" i="11"/>
  <c r="W78" i="11"/>
  <c r="V78" i="11"/>
  <c r="U78" i="11"/>
  <c r="T78" i="11"/>
  <c r="S78" i="11"/>
  <c r="R78" i="11"/>
  <c r="Q78" i="11"/>
  <c r="O78" i="11"/>
  <c r="N78" i="11"/>
  <c r="M78" i="11"/>
  <c r="L78" i="11"/>
  <c r="K78" i="11"/>
  <c r="J78" i="11"/>
  <c r="H78" i="11"/>
  <c r="G78" i="11"/>
  <c r="F78" i="11"/>
  <c r="BM95" i="11"/>
  <c r="BL95" i="11"/>
  <c r="BK95" i="11"/>
  <c r="BJ95" i="11"/>
  <c r="BI95" i="11"/>
  <c r="BH95" i="11"/>
  <c r="BG95" i="11"/>
  <c r="BF95" i="11"/>
  <c r="BE95" i="11"/>
  <c r="BD95" i="11"/>
  <c r="BC95" i="11"/>
  <c r="BB95" i="11"/>
  <c r="BA95" i="11"/>
  <c r="AZ95" i="11"/>
  <c r="AY95" i="11"/>
  <c r="AX95" i="11"/>
  <c r="AW95" i="11"/>
  <c r="AV95" i="11"/>
  <c r="AU95" i="11"/>
  <c r="AT95" i="11"/>
  <c r="AS95" i="11"/>
  <c r="AR95" i="11"/>
  <c r="AQ95" i="11"/>
  <c r="AP95" i="11"/>
  <c r="AO95" i="11"/>
  <c r="AN95" i="11"/>
  <c r="AM95" i="11"/>
  <c r="AL95" i="11"/>
  <c r="AK95" i="11"/>
  <c r="AJ95" i="11"/>
  <c r="AI95" i="11"/>
  <c r="AH95" i="11"/>
  <c r="AG95" i="11"/>
  <c r="AF95" i="11"/>
  <c r="AE95" i="11"/>
  <c r="AD95" i="11"/>
  <c r="AC95" i="11"/>
  <c r="AB95" i="11"/>
  <c r="AA95" i="11"/>
  <c r="Z95" i="11"/>
  <c r="Y95" i="11"/>
  <c r="X95" i="11"/>
  <c r="W95" i="11"/>
  <c r="V95" i="11"/>
  <c r="U95" i="11"/>
  <c r="T95" i="11"/>
  <c r="S95" i="11"/>
  <c r="R95" i="11"/>
  <c r="Q95" i="11"/>
  <c r="P95" i="11"/>
  <c r="O95" i="11"/>
  <c r="N95" i="11"/>
  <c r="M95" i="11"/>
  <c r="L95" i="11"/>
  <c r="K95" i="11"/>
  <c r="J95" i="11"/>
  <c r="I95" i="11"/>
  <c r="H95" i="11"/>
  <c r="G95" i="11"/>
  <c r="F95" i="11"/>
  <c r="E95" i="11"/>
  <c r="E11" i="7" l="1"/>
  <c r="D24" i="6"/>
  <c r="C24" i="6"/>
  <c r="B24" i="6"/>
  <c r="BM108" i="11" l="1"/>
  <c r="BL108" i="11"/>
  <c r="BK108" i="11"/>
  <c r="BJ108" i="11"/>
  <c r="BI108" i="11"/>
  <c r="BH108" i="11"/>
  <c r="BG108" i="11"/>
  <c r="BF108" i="11"/>
  <c r="BE108" i="11"/>
  <c r="BD108" i="11"/>
  <c r="BC108" i="11"/>
  <c r="BB108" i="11"/>
  <c r="BA108" i="11"/>
  <c r="AZ108" i="11"/>
  <c r="AY108" i="11"/>
  <c r="AX108" i="11"/>
  <c r="AW108" i="11"/>
  <c r="AV108" i="11"/>
  <c r="AU108" i="11"/>
  <c r="AT108" i="11"/>
  <c r="AS108" i="11"/>
  <c r="AR108" i="11"/>
  <c r="AQ108" i="11"/>
  <c r="AP108" i="11"/>
  <c r="AO108" i="11"/>
  <c r="AN108" i="11"/>
  <c r="AM108" i="11"/>
  <c r="AL108" i="11"/>
  <c r="AK108" i="11"/>
  <c r="AJ108" i="11"/>
  <c r="AI108" i="11"/>
  <c r="AH108" i="11"/>
  <c r="AG108" i="11"/>
  <c r="AF108" i="11"/>
  <c r="AE108" i="11"/>
  <c r="AD108" i="11"/>
  <c r="AC108" i="11"/>
  <c r="AB108" i="11"/>
  <c r="AA108" i="11"/>
  <c r="Z108" i="11"/>
  <c r="Y108" i="11"/>
  <c r="X108" i="11"/>
  <c r="W108" i="11"/>
  <c r="V108" i="11"/>
  <c r="U108" i="11"/>
  <c r="T108" i="11"/>
  <c r="S108" i="11"/>
  <c r="R108" i="11"/>
  <c r="Q108" i="11"/>
  <c r="P108" i="11"/>
  <c r="O108" i="11"/>
  <c r="N108" i="11"/>
  <c r="M108" i="11"/>
  <c r="L108" i="11"/>
  <c r="K108" i="11"/>
  <c r="J108" i="11"/>
  <c r="I108" i="11"/>
  <c r="H108" i="11"/>
  <c r="G108" i="11"/>
  <c r="F108" i="11"/>
  <c r="E108" i="11"/>
  <c r="B227" i="4" l="1"/>
  <c r="D103" i="11" l="1"/>
  <c r="D102" i="11"/>
  <c r="D101" i="11"/>
  <c r="B57" i="16"/>
  <c r="C17" i="22"/>
  <c r="T89" i="22" l="1"/>
  <c r="S89" i="22"/>
  <c r="R89" i="22"/>
  <c r="Q89" i="22"/>
  <c r="P89" i="22"/>
  <c r="O89" i="22"/>
  <c r="N89" i="22"/>
  <c r="M89" i="22"/>
  <c r="L89" i="22"/>
  <c r="K89" i="22"/>
  <c r="J89" i="22"/>
  <c r="I89" i="22"/>
  <c r="H89" i="22"/>
  <c r="G89" i="22"/>
  <c r="F89" i="22"/>
  <c r="C14" i="22"/>
  <c r="B15" i="22"/>
  <c r="C15" i="22"/>
  <c r="B16" i="22"/>
  <c r="C16" i="22"/>
  <c r="C18" i="22"/>
  <c r="B22" i="22"/>
  <c r="C22" i="22"/>
  <c r="B23" i="22"/>
  <c r="C23" i="22"/>
  <c r="B24" i="22"/>
  <c r="C24" i="22"/>
  <c r="C25" i="22"/>
  <c r="C26" i="22"/>
  <c r="C29" i="22"/>
  <c r="C32" i="22"/>
  <c r="C33" i="22"/>
  <c r="C37" i="11"/>
  <c r="D37" i="11"/>
  <c r="B12" i="16" l="1"/>
  <c r="BM90" i="22" l="1"/>
  <c r="BL90" i="22"/>
  <c r="BK90" i="22"/>
  <c r="BJ90" i="22"/>
  <c r="BI90" i="22"/>
  <c r="BH90" i="22"/>
  <c r="BG90" i="22"/>
  <c r="BF90" i="22"/>
  <c r="BE90" i="22"/>
  <c r="BD90" i="22"/>
  <c r="BC90" i="22"/>
  <c r="BB90" i="22"/>
  <c r="BA90" i="22"/>
  <c r="AZ90" i="22"/>
  <c r="AY90" i="22"/>
  <c r="AX90" i="22"/>
  <c r="AW90" i="22"/>
  <c r="AV90" i="22"/>
  <c r="AU90" i="22"/>
  <c r="AT90" i="22"/>
  <c r="AS90" i="22"/>
  <c r="AR90" i="22"/>
  <c r="AQ90" i="22"/>
  <c r="AP90" i="22"/>
  <c r="AO90" i="22"/>
  <c r="AN90" i="22"/>
  <c r="AM90" i="22"/>
  <c r="AL90" i="22"/>
  <c r="AK90" i="22"/>
  <c r="AJ90" i="22"/>
  <c r="AI90" i="22"/>
  <c r="AH90" i="22"/>
  <c r="AG90" i="22"/>
  <c r="AF90" i="22"/>
  <c r="AE90" i="22"/>
  <c r="AD90" i="22"/>
  <c r="AC90" i="22"/>
  <c r="AB90" i="22"/>
  <c r="AA90" i="22"/>
  <c r="Z90" i="22"/>
  <c r="Y90" i="22"/>
  <c r="X90" i="22"/>
  <c r="W90" i="22"/>
  <c r="V90" i="22"/>
  <c r="U90" i="22"/>
  <c r="BM89" i="22"/>
  <c r="BL89" i="22"/>
  <c r="BK89" i="22"/>
  <c r="BJ89" i="22"/>
  <c r="BI89" i="22"/>
  <c r="BH89" i="22"/>
  <c r="BG89" i="22"/>
  <c r="BF89" i="22"/>
  <c r="BE89" i="22"/>
  <c r="BD89" i="22"/>
  <c r="BC89" i="22"/>
  <c r="BB89" i="22"/>
  <c r="BA89" i="22"/>
  <c r="AZ89" i="22"/>
  <c r="AY89" i="22"/>
  <c r="AX89" i="22"/>
  <c r="AW89" i="22"/>
  <c r="AV89" i="22"/>
  <c r="AU89" i="22"/>
  <c r="AT89" i="22"/>
  <c r="AS89" i="22"/>
  <c r="AR89" i="22"/>
  <c r="AQ89" i="22"/>
  <c r="AP89" i="22"/>
  <c r="AO89" i="22"/>
  <c r="AN89" i="22"/>
  <c r="AM89" i="22"/>
  <c r="AL89" i="22"/>
  <c r="AK89" i="22"/>
  <c r="AJ89" i="22"/>
  <c r="AI89" i="22"/>
  <c r="AH89" i="22"/>
  <c r="AG89" i="22"/>
  <c r="AF89" i="22"/>
  <c r="AE89" i="22"/>
  <c r="AD89" i="22"/>
  <c r="AC89" i="22"/>
  <c r="AB89" i="22"/>
  <c r="AA89" i="22"/>
  <c r="Z89" i="22"/>
  <c r="Y89" i="22"/>
  <c r="X89" i="22"/>
  <c r="W89" i="22"/>
  <c r="V89" i="22"/>
  <c r="U89" i="22"/>
  <c r="BM81" i="22"/>
  <c r="BL81" i="22"/>
  <c r="BK81" i="22"/>
  <c r="BJ81" i="22"/>
  <c r="BI81" i="22"/>
  <c r="BH81" i="22"/>
  <c r="BG81" i="22"/>
  <c r="BF81" i="22"/>
  <c r="BE81" i="22"/>
  <c r="BD81" i="22"/>
  <c r="BC81" i="22"/>
  <c r="BB81" i="22"/>
  <c r="BA81" i="22"/>
  <c r="AZ81" i="22"/>
  <c r="AY81" i="22"/>
  <c r="AX81" i="22"/>
  <c r="AW81" i="22"/>
  <c r="AV81" i="22"/>
  <c r="AU81" i="22"/>
  <c r="AT81" i="22"/>
  <c r="AS81" i="22"/>
  <c r="AR81" i="22"/>
  <c r="AQ81" i="22"/>
  <c r="AP81" i="22"/>
  <c r="AO81" i="22"/>
  <c r="AN81" i="22"/>
  <c r="AM81" i="22"/>
  <c r="AL81" i="22"/>
  <c r="AK81" i="22"/>
  <c r="AJ81" i="22"/>
  <c r="AI81" i="22"/>
  <c r="AH81" i="22"/>
  <c r="AG81" i="22"/>
  <c r="AF81" i="22"/>
  <c r="AE81" i="22"/>
  <c r="AD81" i="22"/>
  <c r="AC81" i="22"/>
  <c r="AB81" i="22"/>
  <c r="AA81" i="22"/>
  <c r="Z81" i="22"/>
  <c r="Y81" i="22"/>
  <c r="X81" i="22"/>
  <c r="W81" i="22"/>
  <c r="V81" i="22"/>
  <c r="U81" i="22"/>
  <c r="BM80" i="22"/>
  <c r="BL80" i="22"/>
  <c r="BK80" i="22"/>
  <c r="BJ80" i="22"/>
  <c r="BI80" i="22"/>
  <c r="BH80" i="22"/>
  <c r="BG80" i="22"/>
  <c r="BF80" i="22"/>
  <c r="BE80" i="22"/>
  <c r="BD80" i="22"/>
  <c r="BC80" i="22"/>
  <c r="BB80" i="22"/>
  <c r="BA80" i="22"/>
  <c r="AZ80" i="22"/>
  <c r="AY80" i="22"/>
  <c r="AX80" i="22"/>
  <c r="AW80" i="22"/>
  <c r="AV80" i="22"/>
  <c r="AU80" i="22"/>
  <c r="AT80" i="22"/>
  <c r="AS80" i="22"/>
  <c r="AR80" i="22"/>
  <c r="AQ80" i="22"/>
  <c r="AP80" i="22"/>
  <c r="AO80" i="22"/>
  <c r="AN80" i="22"/>
  <c r="AM80" i="22"/>
  <c r="AL80" i="22"/>
  <c r="AK80" i="22"/>
  <c r="AJ80" i="22"/>
  <c r="AI80" i="22"/>
  <c r="AH80" i="22"/>
  <c r="AG80" i="22"/>
  <c r="AF80" i="22"/>
  <c r="AE80" i="22"/>
  <c r="AD80" i="22"/>
  <c r="AC80" i="22"/>
  <c r="AB80" i="22"/>
  <c r="AA80" i="22"/>
  <c r="Z80" i="22"/>
  <c r="Y80" i="22"/>
  <c r="X80" i="22"/>
  <c r="W80" i="22"/>
  <c r="V80" i="22"/>
  <c r="U80" i="22"/>
  <c r="BM76" i="22"/>
  <c r="BL76" i="22"/>
  <c r="BK76" i="22"/>
  <c r="BJ76" i="22"/>
  <c r="BI76" i="22"/>
  <c r="BH76" i="22"/>
  <c r="BG76" i="22"/>
  <c r="BF76" i="22"/>
  <c r="BE76" i="22"/>
  <c r="BD76" i="22"/>
  <c r="BC76" i="22"/>
  <c r="BB76" i="22"/>
  <c r="BA76" i="22"/>
  <c r="AZ76" i="22"/>
  <c r="AY76" i="22"/>
  <c r="AX76" i="22"/>
  <c r="AW76" i="22"/>
  <c r="AV76" i="22"/>
  <c r="AU76" i="22"/>
  <c r="AT76" i="22"/>
  <c r="AS76" i="22"/>
  <c r="AR76" i="22"/>
  <c r="AQ76" i="22"/>
  <c r="AP76" i="22"/>
  <c r="AO76" i="22"/>
  <c r="AN76" i="22"/>
  <c r="AM76" i="22"/>
  <c r="AL76" i="22"/>
  <c r="AK76" i="22"/>
  <c r="AJ76" i="22"/>
  <c r="AI76" i="22"/>
  <c r="AH76" i="22"/>
  <c r="AG76" i="22"/>
  <c r="AF76" i="22"/>
  <c r="AE76" i="22"/>
  <c r="AD76" i="22"/>
  <c r="AC76" i="22"/>
  <c r="AB76" i="22"/>
  <c r="AA76" i="22"/>
  <c r="Z76" i="22"/>
  <c r="Y76" i="22"/>
  <c r="X76" i="22"/>
  <c r="W76" i="22"/>
  <c r="V76" i="22"/>
  <c r="U76" i="22"/>
  <c r="BM75" i="22"/>
  <c r="BL75" i="22"/>
  <c r="BK75" i="22"/>
  <c r="BJ75" i="22"/>
  <c r="BI75" i="22"/>
  <c r="BH75" i="22"/>
  <c r="BG75" i="22"/>
  <c r="BF75" i="22"/>
  <c r="BE75" i="22"/>
  <c r="BD75" i="22"/>
  <c r="BC75" i="22"/>
  <c r="BB75" i="22"/>
  <c r="BA75" i="22"/>
  <c r="AZ75" i="22"/>
  <c r="AY75" i="22"/>
  <c r="AX75" i="22"/>
  <c r="AW75" i="22"/>
  <c r="AV75" i="22"/>
  <c r="AU75" i="22"/>
  <c r="AT75" i="22"/>
  <c r="AS75" i="22"/>
  <c r="AR75" i="22"/>
  <c r="AQ75" i="22"/>
  <c r="AP75" i="22"/>
  <c r="AO75" i="22"/>
  <c r="AN75" i="22"/>
  <c r="AM75" i="22"/>
  <c r="AL75" i="22"/>
  <c r="AK75" i="22"/>
  <c r="AJ75" i="22"/>
  <c r="AI75" i="22"/>
  <c r="AH75" i="22"/>
  <c r="AG75" i="22"/>
  <c r="AF75" i="22"/>
  <c r="AE75" i="22"/>
  <c r="AD75" i="22"/>
  <c r="AC75" i="22"/>
  <c r="AB75" i="22"/>
  <c r="AA75" i="22"/>
  <c r="Z75" i="22"/>
  <c r="Y75" i="22"/>
  <c r="X75" i="22"/>
  <c r="W75" i="22"/>
  <c r="V75" i="22"/>
  <c r="U75" i="22"/>
  <c r="BM66" i="22"/>
  <c r="BM70" i="22" s="1"/>
  <c r="BL66" i="22"/>
  <c r="BL70" i="22" s="1"/>
  <c r="BK66" i="22"/>
  <c r="BK70" i="22" s="1"/>
  <c r="BJ66" i="22"/>
  <c r="BJ70" i="22" s="1"/>
  <c r="BI66" i="22"/>
  <c r="BI70" i="22" s="1"/>
  <c r="BH66" i="22"/>
  <c r="BH70" i="22" s="1"/>
  <c r="BG66" i="22"/>
  <c r="BG70" i="22" s="1"/>
  <c r="BF66" i="22"/>
  <c r="BF70" i="22" s="1"/>
  <c r="BE66" i="22"/>
  <c r="BE70" i="22" s="1"/>
  <c r="BD66" i="22"/>
  <c r="BD70" i="22" s="1"/>
  <c r="BC66" i="22"/>
  <c r="BC70" i="22" s="1"/>
  <c r="BB66" i="22"/>
  <c r="BB70" i="22" s="1"/>
  <c r="BA66" i="22"/>
  <c r="BA70" i="22" s="1"/>
  <c r="AZ66" i="22"/>
  <c r="AZ70" i="22" s="1"/>
  <c r="AY66" i="22"/>
  <c r="AY70" i="22" s="1"/>
  <c r="AX66" i="22"/>
  <c r="AX70" i="22" s="1"/>
  <c r="AW66" i="22"/>
  <c r="AW70" i="22" s="1"/>
  <c r="AV66" i="22"/>
  <c r="AV70" i="22" s="1"/>
  <c r="AU66" i="22"/>
  <c r="AU70" i="22" s="1"/>
  <c r="AT66" i="22"/>
  <c r="AT70" i="22" s="1"/>
  <c r="AS66" i="22"/>
  <c r="AS70" i="22" s="1"/>
  <c r="AR66" i="22"/>
  <c r="AR70" i="22" s="1"/>
  <c r="AQ66" i="22"/>
  <c r="AQ70" i="22" s="1"/>
  <c r="AP66" i="22"/>
  <c r="AP70" i="22" s="1"/>
  <c r="AO66" i="22"/>
  <c r="AO70" i="22" s="1"/>
  <c r="AN66" i="22"/>
  <c r="AN70" i="22" s="1"/>
  <c r="AM66" i="22"/>
  <c r="AM70" i="22" s="1"/>
  <c r="AL66" i="22"/>
  <c r="AL70" i="22" s="1"/>
  <c r="AK66" i="22"/>
  <c r="AK70" i="22" s="1"/>
  <c r="AJ66" i="22"/>
  <c r="AJ70" i="22" s="1"/>
  <c r="AI66" i="22"/>
  <c r="AI70" i="22" s="1"/>
  <c r="AH66" i="22"/>
  <c r="AH70" i="22" s="1"/>
  <c r="AG66" i="22"/>
  <c r="AG70" i="22" s="1"/>
  <c r="AF66" i="22"/>
  <c r="AF70" i="22" s="1"/>
  <c r="AE66" i="22"/>
  <c r="AE70" i="22" s="1"/>
  <c r="AD66" i="22"/>
  <c r="AD70" i="22" s="1"/>
  <c r="AC66" i="22"/>
  <c r="AC70" i="22" s="1"/>
  <c r="AB66" i="22"/>
  <c r="AB70" i="22" s="1"/>
  <c r="AA66" i="22"/>
  <c r="AA70" i="22" s="1"/>
  <c r="Z66" i="22"/>
  <c r="Z70" i="22" s="1"/>
  <c r="Y66" i="22"/>
  <c r="Y70" i="22" s="1"/>
  <c r="X66" i="22"/>
  <c r="X70" i="22" s="1"/>
  <c r="W66" i="22"/>
  <c r="W70" i="22" s="1"/>
  <c r="V66" i="22"/>
  <c r="V70" i="22" s="1"/>
  <c r="U66" i="22"/>
  <c r="U70" i="22" s="1"/>
  <c r="BM63" i="22"/>
  <c r="BM69" i="22" s="1"/>
  <c r="BL63" i="22"/>
  <c r="BL69" i="22" s="1"/>
  <c r="BK63" i="22"/>
  <c r="BK69" i="22" s="1"/>
  <c r="BJ63" i="22"/>
  <c r="BJ69" i="22" s="1"/>
  <c r="BI63" i="22"/>
  <c r="BI69" i="22" s="1"/>
  <c r="BH63" i="22"/>
  <c r="BH69" i="22" s="1"/>
  <c r="BG63" i="22"/>
  <c r="BG69" i="22" s="1"/>
  <c r="BF63" i="22"/>
  <c r="BF69" i="22" s="1"/>
  <c r="BE63" i="22"/>
  <c r="BE69" i="22" s="1"/>
  <c r="BD63" i="22"/>
  <c r="BD69" i="22" s="1"/>
  <c r="BC63" i="22"/>
  <c r="BC69" i="22" s="1"/>
  <c r="BB63" i="22"/>
  <c r="BB69" i="22" s="1"/>
  <c r="BA63" i="22"/>
  <c r="BA69" i="22" s="1"/>
  <c r="AZ63" i="22"/>
  <c r="AZ69" i="22" s="1"/>
  <c r="AY63" i="22"/>
  <c r="AY69" i="22" s="1"/>
  <c r="AX63" i="22"/>
  <c r="AX69" i="22" s="1"/>
  <c r="AW63" i="22"/>
  <c r="AW69" i="22" s="1"/>
  <c r="AV63" i="22"/>
  <c r="AV69" i="22" s="1"/>
  <c r="AU63" i="22"/>
  <c r="AU69" i="22" s="1"/>
  <c r="AT63" i="22"/>
  <c r="AT69" i="22" s="1"/>
  <c r="AS63" i="22"/>
  <c r="AS69" i="22" s="1"/>
  <c r="AR63" i="22"/>
  <c r="AR69" i="22" s="1"/>
  <c r="AQ63" i="22"/>
  <c r="AQ69" i="22" s="1"/>
  <c r="AP63" i="22"/>
  <c r="AP69" i="22" s="1"/>
  <c r="AO63" i="22"/>
  <c r="AO69" i="22" s="1"/>
  <c r="AN63" i="22"/>
  <c r="AN69" i="22" s="1"/>
  <c r="AM63" i="22"/>
  <c r="AM69" i="22" s="1"/>
  <c r="AL63" i="22"/>
  <c r="AL69" i="22" s="1"/>
  <c r="AK63" i="22"/>
  <c r="AK69" i="22" s="1"/>
  <c r="AJ63" i="22"/>
  <c r="AJ69" i="22" s="1"/>
  <c r="AI63" i="22"/>
  <c r="AI69" i="22" s="1"/>
  <c r="AH63" i="22"/>
  <c r="AH69" i="22" s="1"/>
  <c r="AG63" i="22"/>
  <c r="AG69" i="22" s="1"/>
  <c r="AF63" i="22"/>
  <c r="AF69" i="22" s="1"/>
  <c r="AE63" i="22"/>
  <c r="AE69" i="22" s="1"/>
  <c r="AD63" i="22"/>
  <c r="AD69" i="22" s="1"/>
  <c r="AC63" i="22"/>
  <c r="AC69" i="22" s="1"/>
  <c r="AB63" i="22"/>
  <c r="AB69" i="22" s="1"/>
  <c r="AA63" i="22"/>
  <c r="AA69" i="22" s="1"/>
  <c r="Z63" i="22"/>
  <c r="Z69" i="22" s="1"/>
  <c r="Y63" i="22"/>
  <c r="Y69" i="22" s="1"/>
  <c r="X63" i="22"/>
  <c r="X69" i="22" s="1"/>
  <c r="W63" i="22"/>
  <c r="W69" i="22" s="1"/>
  <c r="V63" i="22"/>
  <c r="V69" i="22" s="1"/>
  <c r="U63" i="22"/>
  <c r="U69" i="22" s="1"/>
  <c r="BM57" i="22"/>
  <c r="BL57" i="22"/>
  <c r="BK57" i="22"/>
  <c r="BJ57" i="22"/>
  <c r="BI57" i="22"/>
  <c r="BH57" i="22"/>
  <c r="BG57" i="22"/>
  <c r="BF57" i="22"/>
  <c r="BE57" i="22"/>
  <c r="BD57" i="22"/>
  <c r="BC57" i="22"/>
  <c r="BB57" i="22"/>
  <c r="BA57" i="22"/>
  <c r="AZ57" i="22"/>
  <c r="AY57" i="22"/>
  <c r="AX57" i="22"/>
  <c r="AW57" i="22"/>
  <c r="AV57" i="22"/>
  <c r="AU57" i="22"/>
  <c r="AT57" i="22"/>
  <c r="AS57" i="22"/>
  <c r="AR57" i="22"/>
  <c r="AQ57" i="22"/>
  <c r="AP57" i="22"/>
  <c r="AO57" i="22"/>
  <c r="AN57" i="22"/>
  <c r="AM57" i="22"/>
  <c r="AL57" i="22"/>
  <c r="AK57" i="22"/>
  <c r="AJ57" i="22"/>
  <c r="AI57" i="22"/>
  <c r="AH57" i="22"/>
  <c r="AG57" i="22"/>
  <c r="AF57" i="22"/>
  <c r="AE57" i="22"/>
  <c r="AD57" i="22"/>
  <c r="AC57" i="22"/>
  <c r="AB57" i="22"/>
  <c r="AA57" i="22"/>
  <c r="Z57" i="22"/>
  <c r="Y57" i="22"/>
  <c r="X57" i="22"/>
  <c r="W57" i="22"/>
  <c r="V57" i="22"/>
  <c r="U57" i="22"/>
  <c r="BM56" i="22"/>
  <c r="BL56" i="22"/>
  <c r="BK56" i="22"/>
  <c r="BJ56" i="22"/>
  <c r="BI56" i="22"/>
  <c r="BH56" i="22"/>
  <c r="BG56" i="22"/>
  <c r="BF56" i="22"/>
  <c r="BE56" i="22"/>
  <c r="BD56" i="22"/>
  <c r="BC56" i="22"/>
  <c r="BB56" i="22"/>
  <c r="BA56" i="22"/>
  <c r="AZ56" i="22"/>
  <c r="AY56" i="22"/>
  <c r="AX56" i="22"/>
  <c r="AW56" i="22"/>
  <c r="AV56" i="22"/>
  <c r="AU56" i="22"/>
  <c r="AT56" i="22"/>
  <c r="AS56" i="22"/>
  <c r="AR56" i="22"/>
  <c r="AQ56" i="22"/>
  <c r="AP56" i="22"/>
  <c r="AO56" i="22"/>
  <c r="AN56" i="22"/>
  <c r="AM56" i="22"/>
  <c r="AL56" i="22"/>
  <c r="AK56" i="22"/>
  <c r="AJ56" i="22"/>
  <c r="AI56" i="22"/>
  <c r="AH56" i="22"/>
  <c r="AG56" i="22"/>
  <c r="AF56" i="22"/>
  <c r="AE56" i="22"/>
  <c r="AD56" i="22"/>
  <c r="AC56" i="22"/>
  <c r="AB56" i="22"/>
  <c r="AA56" i="22"/>
  <c r="Z56" i="22"/>
  <c r="Y56" i="22"/>
  <c r="X56" i="22"/>
  <c r="W56" i="22"/>
  <c r="V56" i="22"/>
  <c r="U56" i="22"/>
  <c r="BM51" i="22"/>
  <c r="BL51" i="22"/>
  <c r="BK51" i="22"/>
  <c r="BJ51" i="22"/>
  <c r="BI51" i="22"/>
  <c r="BH51" i="22"/>
  <c r="BG51" i="22"/>
  <c r="BF51" i="22"/>
  <c r="BE51" i="22"/>
  <c r="BD51" i="22"/>
  <c r="BC51" i="22"/>
  <c r="BB51" i="22"/>
  <c r="BA51" i="22"/>
  <c r="AZ51" i="22"/>
  <c r="AY51" i="22"/>
  <c r="AX51" i="22"/>
  <c r="AW51" i="22"/>
  <c r="AV51" i="22"/>
  <c r="AU51" i="22"/>
  <c r="AT51" i="22"/>
  <c r="AS51" i="22"/>
  <c r="AR51" i="22"/>
  <c r="AQ51" i="22"/>
  <c r="AP51" i="22"/>
  <c r="AO51" i="22"/>
  <c r="AN51" i="22"/>
  <c r="AM51" i="22"/>
  <c r="AL51" i="22"/>
  <c r="AK51" i="22"/>
  <c r="AJ51" i="22"/>
  <c r="AI51" i="22"/>
  <c r="AH51" i="22"/>
  <c r="AG51" i="22"/>
  <c r="AF51" i="22"/>
  <c r="AE51" i="22"/>
  <c r="AD51" i="22"/>
  <c r="AC51" i="22"/>
  <c r="AB51" i="22"/>
  <c r="AA51" i="22"/>
  <c r="Z51" i="22"/>
  <c r="Y51" i="22"/>
  <c r="X51" i="22"/>
  <c r="W51" i="22"/>
  <c r="V51" i="22"/>
  <c r="U51" i="22"/>
  <c r="BM50" i="22"/>
  <c r="BL50" i="22"/>
  <c r="BK50" i="22"/>
  <c r="BJ50" i="22"/>
  <c r="BI50" i="22"/>
  <c r="BH50" i="22"/>
  <c r="BG50" i="22"/>
  <c r="BF50" i="22"/>
  <c r="BE50" i="22"/>
  <c r="BD50" i="22"/>
  <c r="BC50" i="22"/>
  <c r="BB50" i="22"/>
  <c r="BA50" i="22"/>
  <c r="AZ50" i="22"/>
  <c r="AY50" i="22"/>
  <c r="AX50" i="22"/>
  <c r="AW50" i="22"/>
  <c r="AV50" i="22"/>
  <c r="AU50" i="22"/>
  <c r="AT50" i="22"/>
  <c r="AS50" i="22"/>
  <c r="AR50" i="22"/>
  <c r="AQ50" i="22"/>
  <c r="AP50" i="22"/>
  <c r="AO50" i="22"/>
  <c r="AN50" i="22"/>
  <c r="AM50" i="22"/>
  <c r="AL50" i="22"/>
  <c r="AK50" i="22"/>
  <c r="AJ50" i="22"/>
  <c r="AI50" i="22"/>
  <c r="AH50" i="22"/>
  <c r="AG50" i="22"/>
  <c r="AF50" i="22"/>
  <c r="AE50" i="22"/>
  <c r="AD50" i="22"/>
  <c r="AC50" i="22"/>
  <c r="AB50" i="22"/>
  <c r="AA50" i="22"/>
  <c r="Z50" i="22"/>
  <c r="Y50" i="22"/>
  <c r="X50" i="22"/>
  <c r="W50" i="22"/>
  <c r="V50" i="22"/>
  <c r="U50" i="22"/>
  <c r="BM49" i="22"/>
  <c r="BL49" i="22"/>
  <c r="BK49" i="22"/>
  <c r="BJ49" i="22"/>
  <c r="BI49" i="22"/>
  <c r="BH49" i="22"/>
  <c r="BG49" i="22"/>
  <c r="BF49" i="22"/>
  <c r="BE49" i="22"/>
  <c r="BD49" i="22"/>
  <c r="BC49" i="22"/>
  <c r="BB49" i="22"/>
  <c r="BA49" i="22"/>
  <c r="AZ49" i="22"/>
  <c r="AY49" i="22"/>
  <c r="AX49" i="22"/>
  <c r="AW49" i="22"/>
  <c r="AV49" i="22"/>
  <c r="AU49" i="22"/>
  <c r="AT49" i="22"/>
  <c r="AS49" i="22"/>
  <c r="AR49" i="22"/>
  <c r="AQ49" i="22"/>
  <c r="AP49" i="22"/>
  <c r="AO49" i="22"/>
  <c r="AN49" i="22"/>
  <c r="AM49" i="22"/>
  <c r="AL49" i="22"/>
  <c r="AK49" i="22"/>
  <c r="AJ49" i="22"/>
  <c r="AI49" i="22"/>
  <c r="AH49" i="22"/>
  <c r="AG49" i="22"/>
  <c r="AF49" i="22"/>
  <c r="AE49" i="22"/>
  <c r="AD49" i="22"/>
  <c r="AC49" i="22"/>
  <c r="AB49" i="22"/>
  <c r="AA49" i="22"/>
  <c r="Z49" i="22"/>
  <c r="Y49" i="22"/>
  <c r="X49" i="22"/>
  <c r="W49" i="22"/>
  <c r="V49" i="22"/>
  <c r="U49" i="22"/>
  <c r="BM48" i="22"/>
  <c r="BL48" i="22"/>
  <c r="BK48" i="22"/>
  <c r="BJ48" i="22"/>
  <c r="BI48" i="22"/>
  <c r="BH48" i="22"/>
  <c r="BG48" i="22"/>
  <c r="BF48" i="22"/>
  <c r="BE48" i="22"/>
  <c r="BD48" i="22"/>
  <c r="BC48" i="22"/>
  <c r="BB48" i="22"/>
  <c r="BA48" i="22"/>
  <c r="AZ48" i="22"/>
  <c r="AY48" i="22"/>
  <c r="AX48" i="22"/>
  <c r="AW48" i="22"/>
  <c r="AV48" i="22"/>
  <c r="AU48" i="22"/>
  <c r="AT48" i="22"/>
  <c r="AS48" i="22"/>
  <c r="AR48" i="22"/>
  <c r="AQ48" i="22"/>
  <c r="AP48" i="22"/>
  <c r="AO48" i="22"/>
  <c r="AN48" i="22"/>
  <c r="AM48" i="22"/>
  <c r="AL48" i="22"/>
  <c r="AK48" i="22"/>
  <c r="AJ48" i="22"/>
  <c r="AI48" i="22"/>
  <c r="AH48" i="22"/>
  <c r="AG48" i="22"/>
  <c r="AF48" i="22"/>
  <c r="AE48" i="22"/>
  <c r="AD48" i="22"/>
  <c r="AC48" i="22"/>
  <c r="AB48" i="22"/>
  <c r="AA48" i="22"/>
  <c r="Z48" i="22"/>
  <c r="Y48" i="22"/>
  <c r="X48" i="22"/>
  <c r="W48" i="22"/>
  <c r="V48" i="22"/>
  <c r="U48" i="22"/>
  <c r="BM47" i="22"/>
  <c r="BL47" i="22"/>
  <c r="BK47" i="22"/>
  <c r="BJ47" i="22"/>
  <c r="BI47" i="22"/>
  <c r="BH47" i="22"/>
  <c r="BG47" i="22"/>
  <c r="BF47" i="22"/>
  <c r="BE47" i="22"/>
  <c r="BD47" i="22"/>
  <c r="BC47" i="22"/>
  <c r="BB47" i="22"/>
  <c r="BA47" i="22"/>
  <c r="AZ47" i="22"/>
  <c r="AY47" i="22"/>
  <c r="AX47" i="22"/>
  <c r="AW47" i="22"/>
  <c r="AV47" i="22"/>
  <c r="AU47" i="22"/>
  <c r="AT47" i="22"/>
  <c r="AS47" i="22"/>
  <c r="AR47" i="22"/>
  <c r="AQ47" i="22"/>
  <c r="AP47" i="22"/>
  <c r="AO47" i="22"/>
  <c r="AN47" i="22"/>
  <c r="AM47" i="22"/>
  <c r="AL47" i="22"/>
  <c r="AK47" i="22"/>
  <c r="AJ47" i="22"/>
  <c r="AI47" i="22"/>
  <c r="AH47" i="22"/>
  <c r="AG47" i="22"/>
  <c r="AF47" i="22"/>
  <c r="AE47" i="22"/>
  <c r="AD47" i="22"/>
  <c r="AC47" i="22"/>
  <c r="AB47" i="22"/>
  <c r="AA47" i="22"/>
  <c r="Z47" i="22"/>
  <c r="Y47" i="22"/>
  <c r="X47" i="22"/>
  <c r="W47" i="22"/>
  <c r="V47" i="22"/>
  <c r="U47" i="22"/>
  <c r="BM38" i="22"/>
  <c r="BL38" i="22"/>
  <c r="BK38" i="22"/>
  <c r="BJ38" i="22"/>
  <c r="BI38" i="22"/>
  <c r="BH38" i="22"/>
  <c r="BG38" i="22"/>
  <c r="BF38" i="22"/>
  <c r="BE38" i="22"/>
  <c r="BD38" i="22"/>
  <c r="BC38" i="22"/>
  <c r="BB38" i="22"/>
  <c r="BA38" i="22"/>
  <c r="AZ38" i="22"/>
  <c r="AY38" i="22"/>
  <c r="AX38" i="22"/>
  <c r="AW38" i="22"/>
  <c r="AV38" i="22"/>
  <c r="AU38" i="22"/>
  <c r="AT38" i="22"/>
  <c r="AS38" i="22"/>
  <c r="AR38" i="22"/>
  <c r="AQ38" i="22"/>
  <c r="AP38" i="22"/>
  <c r="AO38" i="22"/>
  <c r="AN38" i="22"/>
  <c r="AM38" i="22"/>
  <c r="AL38" i="22"/>
  <c r="AK38" i="22"/>
  <c r="AJ38" i="22"/>
  <c r="AI38" i="22"/>
  <c r="AH38" i="22"/>
  <c r="AG38" i="22"/>
  <c r="AF38" i="22"/>
  <c r="AE38" i="22"/>
  <c r="AD38" i="22"/>
  <c r="AC38" i="22"/>
  <c r="AB38" i="22"/>
  <c r="AA38" i="22"/>
  <c r="Z38" i="22"/>
  <c r="Y38" i="22"/>
  <c r="X38" i="22"/>
  <c r="W38" i="22"/>
  <c r="V38" i="22"/>
  <c r="U38" i="22"/>
  <c r="F9" i="7" l="1"/>
  <c r="F8" i="7"/>
  <c r="F1" i="7" l="1"/>
  <c r="F12" i="7"/>
  <c r="F5" i="7"/>
  <c r="F35" i="6" l="1"/>
  <c r="E35" i="6"/>
  <c r="E16" i="4" l="1"/>
  <c r="E15" i="4"/>
  <c r="E14" i="4"/>
  <c r="C308" i="4" l="1"/>
  <c r="G19" i="21" s="1"/>
  <c r="D263" i="4" l="1"/>
  <c r="E263" i="4" s="1"/>
  <c r="F263" i="4" s="1"/>
  <c r="G263" i="4" s="1"/>
  <c r="H263" i="4" s="1"/>
  <c r="I263" i="4" s="1"/>
  <c r="J263" i="4" s="1"/>
  <c r="K263" i="4" s="1"/>
  <c r="L263" i="4" s="1"/>
  <c r="M263" i="4" s="1"/>
  <c r="N263" i="4" s="1"/>
  <c r="O263" i="4" s="1"/>
  <c r="P263" i="4" s="1"/>
  <c r="Q263" i="4" s="1"/>
  <c r="R263" i="4" s="1"/>
  <c r="D149" i="4" l="1"/>
  <c r="E149" i="4" s="1"/>
  <c r="F149" i="4" s="1"/>
  <c r="G149" i="4" s="1"/>
  <c r="H149" i="4" s="1"/>
  <c r="I149" i="4" s="1"/>
  <c r="J149" i="4" s="1"/>
  <c r="K149" i="4" s="1"/>
  <c r="L149" i="4" s="1"/>
  <c r="M149" i="4" s="1"/>
  <c r="N149" i="4" s="1"/>
  <c r="O149" i="4" s="1"/>
  <c r="P149" i="4" s="1"/>
  <c r="Q149" i="4" s="1"/>
  <c r="R149" i="4" s="1"/>
  <c r="S149" i="4" s="1"/>
  <c r="T149" i="4" s="1"/>
  <c r="U149" i="4" s="1"/>
  <c r="V149" i="4" s="1"/>
  <c r="W149" i="4" s="1"/>
  <c r="X149" i="4" s="1"/>
  <c r="Y149" i="4" s="1"/>
  <c r="Z149" i="4" s="1"/>
  <c r="AA149" i="4" s="1"/>
  <c r="AB149" i="4" s="1"/>
  <c r="AC149" i="4" s="1"/>
  <c r="AD149" i="4" s="1"/>
  <c r="AE149" i="4" s="1"/>
  <c r="AF149" i="4" s="1"/>
  <c r="AG149" i="4" s="1"/>
  <c r="AH149" i="4" s="1"/>
  <c r="AI149" i="4" s="1"/>
  <c r="AJ149" i="4" s="1"/>
  <c r="AK149" i="4" s="1"/>
  <c r="AL149" i="4" s="1"/>
  <c r="AM149" i="4" s="1"/>
  <c r="AN149" i="4" s="1"/>
  <c r="AO149" i="4" s="1"/>
  <c r="AP149" i="4" s="1"/>
  <c r="AQ149" i="4" s="1"/>
  <c r="AR149" i="4" s="1"/>
  <c r="AS149" i="4" s="1"/>
  <c r="AT149" i="4" s="1"/>
  <c r="AU149" i="4" s="1"/>
  <c r="AV149" i="4" s="1"/>
  <c r="AW149" i="4" s="1"/>
  <c r="AX149" i="4" s="1"/>
  <c r="AY149" i="4" s="1"/>
  <c r="AZ149" i="4" s="1"/>
  <c r="BA149" i="4" s="1"/>
  <c r="BB149" i="4" s="1"/>
  <c r="BC149" i="4" s="1"/>
  <c r="BD149" i="4" s="1"/>
  <c r="BE149" i="4" s="1"/>
  <c r="BF149" i="4" s="1"/>
  <c r="BG149" i="4" s="1"/>
  <c r="BH149" i="4" s="1"/>
  <c r="BI149" i="4" s="1"/>
  <c r="BJ149" i="4" s="1"/>
  <c r="BK149" i="4" s="1"/>
  <c r="BL149" i="4" s="1"/>
  <c r="B10" i="33" l="1"/>
  <c r="B13" i="33"/>
  <c r="B12" i="33"/>
  <c r="B11" i="33"/>
  <c r="C30" i="4"/>
  <c r="B26" i="21"/>
  <c r="F68" i="4" l="1" a="1"/>
  <c r="F68" i="4" s="1"/>
  <c r="F66" i="4" a="1"/>
  <c r="F66" i="4" s="1"/>
  <c r="F65" i="4" a="1"/>
  <c r="F65" i="4" s="1"/>
  <c r="F64" i="4" a="1"/>
  <c r="F64" i="4" s="1"/>
  <c r="F70" i="4" a="1"/>
  <c r="F70" i="4" s="1"/>
  <c r="F69" i="4" a="1"/>
  <c r="F69" i="4" s="1"/>
  <c r="F67" i="4" a="1"/>
  <c r="F67" i="4" s="1"/>
  <c r="C23" i="31"/>
  <c r="C22" i="31"/>
  <c r="C21" i="31"/>
  <c r="C20" i="31"/>
  <c r="C19" i="31"/>
  <c r="F22" i="31"/>
  <c r="BM8" i="22"/>
  <c r="BL8" i="22"/>
  <c r="BK8" i="22"/>
  <c r="BJ8" i="22"/>
  <c r="BI8" i="22"/>
  <c r="BH8" i="22"/>
  <c r="BG8" i="22"/>
  <c r="BF8" i="22"/>
  <c r="BE8" i="22"/>
  <c r="BD8" i="22"/>
  <c r="BC8" i="22"/>
  <c r="BB8" i="22"/>
  <c r="BA8" i="22"/>
  <c r="AZ8" i="22"/>
  <c r="AY8" i="22"/>
  <c r="AX8" i="22"/>
  <c r="AW8" i="22"/>
  <c r="AV8" i="22"/>
  <c r="AU8" i="22"/>
  <c r="AT8" i="22"/>
  <c r="AS8" i="22"/>
  <c r="AR8" i="22"/>
  <c r="AQ8" i="22"/>
  <c r="AP8" i="22"/>
  <c r="AO8" i="22"/>
  <c r="AN8" i="22"/>
  <c r="AM8" i="22"/>
  <c r="AL8" i="22"/>
  <c r="AK8" i="22"/>
  <c r="AJ8" i="22"/>
  <c r="AI8" i="22"/>
  <c r="AH8" i="22"/>
  <c r="AG8" i="22"/>
  <c r="AF8" i="22"/>
  <c r="AE8" i="22"/>
  <c r="AD8" i="22"/>
  <c r="AC8" i="22"/>
  <c r="AB8" i="22"/>
  <c r="AA8" i="22"/>
  <c r="Z8" i="22"/>
  <c r="Y8" i="22"/>
  <c r="X8" i="22"/>
  <c r="W8" i="22"/>
  <c r="V8" i="22"/>
  <c r="U8" i="22"/>
  <c r="BM7" i="22"/>
  <c r="BL7" i="22"/>
  <c r="BK7" i="22"/>
  <c r="BJ7" i="22"/>
  <c r="BI7" i="22"/>
  <c r="BH7" i="22"/>
  <c r="BG7" i="22"/>
  <c r="BF7" i="22"/>
  <c r="BE7" i="22"/>
  <c r="BD7" i="22"/>
  <c r="BC7" i="22"/>
  <c r="BB7" i="22"/>
  <c r="BA7" i="22"/>
  <c r="AZ7" i="22"/>
  <c r="AY7" i="22"/>
  <c r="AX7" i="22"/>
  <c r="AW7" i="22"/>
  <c r="AV7" i="22"/>
  <c r="AU7" i="22"/>
  <c r="AT7" i="22"/>
  <c r="AS7" i="22"/>
  <c r="AR7" i="22"/>
  <c r="AQ7" i="22"/>
  <c r="AP7" i="22"/>
  <c r="AO7" i="22"/>
  <c r="AN7" i="22"/>
  <c r="AM7" i="22"/>
  <c r="AL7" i="22"/>
  <c r="AK7" i="22"/>
  <c r="AJ7" i="22"/>
  <c r="AI7" i="22"/>
  <c r="AH7" i="22"/>
  <c r="AG7" i="22"/>
  <c r="AF7" i="22"/>
  <c r="AE7" i="22"/>
  <c r="AD7" i="22"/>
  <c r="AC7" i="22"/>
  <c r="AB7" i="22"/>
  <c r="AA7" i="22"/>
  <c r="Z7" i="22"/>
  <c r="Y7" i="22"/>
  <c r="X7" i="22"/>
  <c r="W7" i="22"/>
  <c r="V7" i="22"/>
  <c r="U7" i="22"/>
  <c r="B251" i="4"/>
  <c r="C231" i="4"/>
  <c r="C232" i="4"/>
  <c r="D228" i="4"/>
  <c r="E228" i="4" s="1"/>
  <c r="F228" i="4" s="1"/>
  <c r="G228" i="4" s="1"/>
  <c r="H228" i="4" s="1"/>
  <c r="I228" i="4" s="1"/>
  <c r="J228" i="4" s="1"/>
  <c r="K228" i="4" s="1"/>
  <c r="L228" i="4" s="1"/>
  <c r="M228" i="4" s="1"/>
  <c r="N228" i="4" s="1"/>
  <c r="O228" i="4" s="1"/>
  <c r="P228" i="4" s="1"/>
  <c r="Q228" i="4" s="1"/>
  <c r="R228" i="4" s="1"/>
  <c r="S228" i="4" s="1"/>
  <c r="T228" i="4" s="1"/>
  <c r="U228" i="4" s="1"/>
  <c r="V228" i="4" s="1"/>
  <c r="W228" i="4" s="1"/>
  <c r="X228" i="4" s="1"/>
  <c r="Y228" i="4" s="1"/>
  <c r="Z228" i="4" s="1"/>
  <c r="AA228" i="4" s="1"/>
  <c r="AB228" i="4" s="1"/>
  <c r="AC228" i="4" s="1"/>
  <c r="AD228" i="4" s="1"/>
  <c r="AE228" i="4" s="1"/>
  <c r="AF228" i="4" s="1"/>
  <c r="AG228" i="4" s="1"/>
  <c r="AH228" i="4" s="1"/>
  <c r="AI228" i="4" s="1"/>
  <c r="AJ228" i="4" s="1"/>
  <c r="AK228" i="4" s="1"/>
  <c r="AL228" i="4" s="1"/>
  <c r="AM228" i="4" s="1"/>
  <c r="AN228" i="4" s="1"/>
  <c r="AO228" i="4" s="1"/>
  <c r="AP228" i="4" s="1"/>
  <c r="AQ228" i="4" s="1"/>
  <c r="AR228" i="4" s="1"/>
  <c r="AS228" i="4" s="1"/>
  <c r="AT228" i="4" s="1"/>
  <c r="AU228" i="4" s="1"/>
  <c r="AV228" i="4" s="1"/>
  <c r="AW228" i="4" s="1"/>
  <c r="AX228" i="4" s="1"/>
  <c r="AY228" i="4" s="1"/>
  <c r="AZ228" i="4" s="1"/>
  <c r="BA228" i="4" s="1"/>
  <c r="BB228" i="4" s="1"/>
  <c r="BC228" i="4" s="1"/>
  <c r="BD228" i="4" s="1"/>
  <c r="BE228" i="4" s="1"/>
  <c r="BF228" i="4" s="1"/>
  <c r="BG228" i="4" s="1"/>
  <c r="BH228" i="4" s="1"/>
  <c r="BI228" i="4" s="1"/>
  <c r="BJ228" i="4" s="1"/>
  <c r="BK228" i="4" s="1"/>
  <c r="BL228" i="4" s="1"/>
  <c r="B236" i="4"/>
  <c r="B237" i="4"/>
  <c r="D238" i="4"/>
  <c r="E238" i="4" s="1"/>
  <c r="F238" i="4" s="1"/>
  <c r="G238" i="4" s="1"/>
  <c r="H238" i="4" s="1"/>
  <c r="I238" i="4" s="1"/>
  <c r="J238" i="4" s="1"/>
  <c r="K238" i="4" s="1"/>
  <c r="L238" i="4" s="1"/>
  <c r="M238" i="4" s="1"/>
  <c r="N238" i="4" s="1"/>
  <c r="O238" i="4" s="1"/>
  <c r="P238" i="4" s="1"/>
  <c r="Q238" i="4" s="1"/>
  <c r="R238" i="4" s="1"/>
  <c r="S238" i="4" s="1"/>
  <c r="T238" i="4" s="1"/>
  <c r="U238" i="4" s="1"/>
  <c r="V238" i="4" s="1"/>
  <c r="W238" i="4" s="1"/>
  <c r="X238" i="4" s="1"/>
  <c r="Y238" i="4" s="1"/>
  <c r="Z238" i="4" s="1"/>
  <c r="AA238" i="4" s="1"/>
  <c r="AB238" i="4" s="1"/>
  <c r="AC238" i="4" s="1"/>
  <c r="AD238" i="4" s="1"/>
  <c r="AE238" i="4" s="1"/>
  <c r="AF238" i="4" s="1"/>
  <c r="AG238" i="4" s="1"/>
  <c r="AH238" i="4" s="1"/>
  <c r="AI238" i="4" s="1"/>
  <c r="AJ238" i="4" s="1"/>
  <c r="AK238" i="4" s="1"/>
  <c r="AL238" i="4" s="1"/>
  <c r="AM238" i="4" s="1"/>
  <c r="AN238" i="4" s="1"/>
  <c r="AO238" i="4" s="1"/>
  <c r="AP238" i="4" s="1"/>
  <c r="AQ238" i="4" s="1"/>
  <c r="AR238" i="4" s="1"/>
  <c r="AS238" i="4" s="1"/>
  <c r="AT238" i="4" s="1"/>
  <c r="AU238" i="4" s="1"/>
  <c r="AV238" i="4" s="1"/>
  <c r="AW238" i="4" s="1"/>
  <c r="AX238" i="4" s="1"/>
  <c r="AY238" i="4" s="1"/>
  <c r="AZ238" i="4" s="1"/>
  <c r="BA238" i="4" s="1"/>
  <c r="BB238" i="4" s="1"/>
  <c r="BC238" i="4" s="1"/>
  <c r="BD238" i="4" s="1"/>
  <c r="BE238" i="4" s="1"/>
  <c r="BF238" i="4" s="1"/>
  <c r="BG238" i="4" s="1"/>
  <c r="BH238" i="4" s="1"/>
  <c r="BI238" i="4" s="1"/>
  <c r="BJ238" i="4" s="1"/>
  <c r="BK238" i="4" s="1"/>
  <c r="BL238" i="4" s="1"/>
  <c r="H77" i="4"/>
  <c r="C102" i="4" s="1"/>
  <c r="C152" i="4" s="1"/>
  <c r="I77" i="4"/>
  <c r="H78" i="4"/>
  <c r="I78" i="4"/>
  <c r="H79" i="4"/>
  <c r="I79" i="4"/>
  <c r="H80" i="4"/>
  <c r="I80" i="4"/>
  <c r="H81" i="4"/>
  <c r="I81" i="4"/>
  <c r="H82" i="4"/>
  <c r="I82" i="4"/>
  <c r="H83" i="4"/>
  <c r="I83" i="4"/>
  <c r="H84" i="4"/>
  <c r="I84" i="4"/>
  <c r="H85" i="4"/>
  <c r="I85" i="4"/>
  <c r="H86" i="4"/>
  <c r="I86" i="4"/>
  <c r="H87" i="4"/>
  <c r="I87" i="4"/>
  <c r="H88" i="4"/>
  <c r="I88" i="4"/>
  <c r="H89" i="4"/>
  <c r="I89" i="4"/>
  <c r="H90" i="4"/>
  <c r="I90" i="4"/>
  <c r="H91" i="4"/>
  <c r="I91" i="4"/>
  <c r="H92" i="4"/>
  <c r="I92" i="4"/>
  <c r="H93" i="4"/>
  <c r="I93" i="4"/>
  <c r="H94" i="4"/>
  <c r="I94" i="4"/>
  <c r="H95" i="4"/>
  <c r="I95" i="4"/>
  <c r="H96" i="4"/>
  <c r="I96" i="4"/>
  <c r="D108" i="11" l="1"/>
  <c r="C89" i="22" l="1"/>
  <c r="C90" i="22"/>
  <c r="C91" i="22"/>
  <c r="C170" i="11"/>
  <c r="E168" i="11"/>
  <c r="C168" i="11"/>
  <c r="C167" i="11"/>
  <c r="C166" i="11"/>
  <c r="C165" i="11"/>
  <c r="C164" i="11"/>
  <c r="C163" i="11"/>
  <c r="E160" i="11"/>
  <c r="C160" i="11"/>
  <c r="C159" i="11"/>
  <c r="C158" i="11"/>
  <c r="C157" i="11"/>
  <c r="C156" i="11"/>
  <c r="E153" i="11"/>
  <c r="C153" i="11"/>
  <c r="C152" i="11"/>
  <c r="C151" i="11"/>
  <c r="C150" i="11"/>
  <c r="C149" i="11"/>
  <c r="C148" i="11"/>
  <c r="C147" i="11"/>
  <c r="C144" i="11"/>
  <c r="C142" i="11"/>
  <c r="C141" i="11"/>
  <c r="C140" i="11"/>
  <c r="C139" i="11"/>
  <c r="C138" i="11"/>
  <c r="C137" i="11"/>
  <c r="C136" i="11"/>
  <c r="E133" i="11"/>
  <c r="C133" i="11"/>
  <c r="C132" i="11"/>
  <c r="C131" i="11"/>
  <c r="C130" i="11"/>
  <c r="C129" i="11"/>
  <c r="C128" i="11"/>
  <c r="C127" i="11"/>
  <c r="C126" i="11"/>
  <c r="C125" i="11"/>
  <c r="C124" i="11"/>
  <c r="E170" i="11" l="1"/>
  <c r="D2" i="31" l="1"/>
  <c r="B9" i="1"/>
  <c r="F7" i="7" l="1"/>
  <c r="D12" i="7" l="1"/>
  <c r="C316" i="4" l="1"/>
  <c r="C315" i="4"/>
  <c r="C314" i="4"/>
  <c r="C301" i="4"/>
  <c r="C278" i="4"/>
  <c r="C281" i="4" s="1"/>
  <c r="C287" i="4" s="1"/>
  <c r="F278" i="4"/>
  <c r="F281" i="4" s="1"/>
  <c r="F287" i="4" s="1"/>
  <c r="F289" i="4" s="1"/>
  <c r="E278" i="4"/>
  <c r="E281" i="4" s="1"/>
  <c r="E287" i="4" s="1"/>
  <c r="E289" i="4" s="1"/>
  <c r="D278" i="4"/>
  <c r="D281" i="4" s="1"/>
  <c r="D287" i="4" s="1"/>
  <c r="D289" i="4" s="1"/>
  <c r="C319" i="4" l="1"/>
  <c r="C322" i="4" s="1"/>
  <c r="C292" i="4"/>
  <c r="C291" i="4"/>
  <c r="C289" i="4"/>
  <c r="C32" i="29"/>
  <c r="C38" i="11"/>
  <c r="C24" i="11"/>
  <c r="AC224" i="34" l="1"/>
  <c r="AD224" i="34"/>
  <c r="AB224" i="34"/>
  <c r="AC221" i="34"/>
  <c r="AA221" i="34"/>
  <c r="AB221" i="34"/>
  <c r="AD221" i="34"/>
  <c r="B233" i="34"/>
  <c r="B250" i="34"/>
  <c r="B249" i="34"/>
  <c r="B248" i="34"/>
  <c r="B247" i="34"/>
  <c r="B246" i="34"/>
  <c r="B245" i="34"/>
  <c r="B244" i="34"/>
  <c r="B243" i="34"/>
  <c r="B241" i="34"/>
  <c r="B240" i="34"/>
  <c r="B239" i="34"/>
  <c r="B237" i="34"/>
  <c r="B236" i="34"/>
  <c r="B234" i="34"/>
  <c r="B228" i="34"/>
  <c r="B219" i="34"/>
  <c r="BK225" i="34"/>
  <c r="BJ225" i="34"/>
  <c r="BI225" i="34"/>
  <c r="BH225" i="34"/>
  <c r="BG225" i="34"/>
  <c r="BF225" i="34"/>
  <c r="BE225" i="34"/>
  <c r="BD225" i="34"/>
  <c r="BC225" i="34"/>
  <c r="BB225" i="34"/>
  <c r="BA225" i="34"/>
  <c r="AZ225" i="34"/>
  <c r="AY225" i="34"/>
  <c r="AX225" i="34"/>
  <c r="AW225" i="34"/>
  <c r="AV225" i="34"/>
  <c r="AU225" i="34"/>
  <c r="AT225" i="34"/>
  <c r="AS225" i="34"/>
  <c r="AR225" i="34"/>
  <c r="AQ225" i="34"/>
  <c r="AP225" i="34"/>
  <c r="AO225" i="34"/>
  <c r="AN225" i="34"/>
  <c r="AM225" i="34"/>
  <c r="AL225" i="34"/>
  <c r="AK225" i="34"/>
  <c r="AJ225" i="34"/>
  <c r="AI225" i="34"/>
  <c r="AH225" i="34"/>
  <c r="AG225" i="34"/>
  <c r="AF225" i="34"/>
  <c r="AE225" i="34"/>
  <c r="AD225" i="34"/>
  <c r="AC225" i="34"/>
  <c r="AB225" i="34"/>
  <c r="AA225" i="34"/>
  <c r="Z225" i="34"/>
  <c r="Y225" i="34"/>
  <c r="X225" i="34"/>
  <c r="W225" i="34"/>
  <c r="V225" i="34"/>
  <c r="U225" i="34"/>
  <c r="T225" i="34"/>
  <c r="S225" i="34"/>
  <c r="R225" i="34"/>
  <c r="Q225" i="34"/>
  <c r="P225" i="34"/>
  <c r="O225" i="34"/>
  <c r="N225" i="34"/>
  <c r="M225" i="34"/>
  <c r="L225" i="34"/>
  <c r="K225" i="34"/>
  <c r="J225" i="34"/>
  <c r="I225" i="34"/>
  <c r="H225" i="34"/>
  <c r="G225" i="34"/>
  <c r="F225" i="34"/>
  <c r="E225" i="34"/>
  <c r="D225" i="34"/>
  <c r="Z224" i="34"/>
  <c r="Y224" i="34"/>
  <c r="X224" i="34"/>
  <c r="W224" i="34"/>
  <c r="V224" i="34"/>
  <c r="U224" i="34"/>
  <c r="T224" i="34"/>
  <c r="S224" i="34"/>
  <c r="R224" i="34"/>
  <c r="Q224" i="34"/>
  <c r="P224" i="34"/>
  <c r="O224" i="34"/>
  <c r="N224" i="34"/>
  <c r="M224" i="34"/>
  <c r="L224" i="34"/>
  <c r="K224" i="34"/>
  <c r="J224" i="34"/>
  <c r="I224" i="34"/>
  <c r="H224" i="34"/>
  <c r="G224" i="34"/>
  <c r="F224" i="34"/>
  <c r="E224" i="34"/>
  <c r="D224" i="34"/>
  <c r="AC223" i="34"/>
  <c r="AA223" i="34"/>
  <c r="Z223" i="34"/>
  <c r="Y223" i="34"/>
  <c r="X223" i="34"/>
  <c r="W223" i="34"/>
  <c r="V223" i="34"/>
  <c r="U223" i="34"/>
  <c r="T223" i="34"/>
  <c r="S223" i="34"/>
  <c r="R223" i="34"/>
  <c r="Q223" i="34"/>
  <c r="P223" i="34"/>
  <c r="O223" i="34"/>
  <c r="N223" i="34"/>
  <c r="M223" i="34"/>
  <c r="L223" i="34"/>
  <c r="K223" i="34"/>
  <c r="J223" i="34"/>
  <c r="I223" i="34"/>
  <c r="H223" i="34"/>
  <c r="G223" i="34"/>
  <c r="F223" i="34"/>
  <c r="E223" i="34"/>
  <c r="D223" i="34"/>
  <c r="Z222" i="34"/>
  <c r="Y222" i="34"/>
  <c r="X222" i="34"/>
  <c r="W222" i="34"/>
  <c r="V222" i="34"/>
  <c r="U222" i="34"/>
  <c r="T222" i="34"/>
  <c r="S222" i="34"/>
  <c r="R222" i="34"/>
  <c r="Q222" i="34"/>
  <c r="P222" i="34"/>
  <c r="O222" i="34"/>
  <c r="N222" i="34"/>
  <c r="M222" i="34"/>
  <c r="L222" i="34"/>
  <c r="K222" i="34"/>
  <c r="J222" i="34"/>
  <c r="I222" i="34"/>
  <c r="H222" i="34"/>
  <c r="G222" i="34"/>
  <c r="F222" i="34"/>
  <c r="E222" i="34"/>
  <c r="D222" i="34"/>
  <c r="Z221" i="34"/>
  <c r="Y221" i="34"/>
  <c r="X221" i="34"/>
  <c r="W221" i="34"/>
  <c r="V221" i="34"/>
  <c r="U221" i="34"/>
  <c r="T221" i="34"/>
  <c r="S221" i="34"/>
  <c r="R221" i="34"/>
  <c r="Q221" i="34"/>
  <c r="P221" i="34"/>
  <c r="O221" i="34"/>
  <c r="N221" i="34"/>
  <c r="M221" i="34"/>
  <c r="L221" i="34"/>
  <c r="K221" i="34"/>
  <c r="J221" i="34"/>
  <c r="I221" i="34"/>
  <c r="H221" i="34"/>
  <c r="G221" i="34"/>
  <c r="F221" i="34"/>
  <c r="E221" i="34"/>
  <c r="D221" i="34"/>
  <c r="BK216" i="34"/>
  <c r="BJ216" i="34"/>
  <c r="BI216" i="34"/>
  <c r="BH216" i="34"/>
  <c r="BG216" i="34"/>
  <c r="BF216" i="34"/>
  <c r="BE216" i="34"/>
  <c r="BD216" i="34"/>
  <c r="BC216" i="34"/>
  <c r="BB216" i="34"/>
  <c r="BA216" i="34"/>
  <c r="AZ216" i="34"/>
  <c r="AY216" i="34"/>
  <c r="AX216" i="34"/>
  <c r="AW216" i="34"/>
  <c r="AV216" i="34"/>
  <c r="AU216" i="34"/>
  <c r="AT216" i="34"/>
  <c r="AS216" i="34"/>
  <c r="AR216" i="34"/>
  <c r="AQ216" i="34"/>
  <c r="AP216" i="34"/>
  <c r="AO216" i="34"/>
  <c r="AN216" i="34"/>
  <c r="AM216" i="34"/>
  <c r="AL216" i="34"/>
  <c r="AK216" i="34"/>
  <c r="AJ216" i="34"/>
  <c r="AI216" i="34"/>
  <c r="AH216" i="34"/>
  <c r="AG216" i="34"/>
  <c r="AF216" i="34"/>
  <c r="AE216" i="34"/>
  <c r="AD216" i="34"/>
  <c r="AC216" i="34"/>
  <c r="AB216" i="34"/>
  <c r="AA216" i="34"/>
  <c r="Z216" i="34"/>
  <c r="Y216" i="34"/>
  <c r="X216" i="34"/>
  <c r="W216" i="34"/>
  <c r="V216" i="34"/>
  <c r="U216" i="34"/>
  <c r="T216" i="34"/>
  <c r="S216" i="34"/>
  <c r="R216" i="34"/>
  <c r="Q216" i="34"/>
  <c r="P216" i="34"/>
  <c r="O216" i="34"/>
  <c r="N216" i="34"/>
  <c r="M216" i="34"/>
  <c r="L216" i="34"/>
  <c r="K216" i="34"/>
  <c r="J216" i="34"/>
  <c r="I216" i="34"/>
  <c r="H216" i="34"/>
  <c r="G216" i="34"/>
  <c r="F216" i="34"/>
  <c r="E216" i="34"/>
  <c r="D216" i="34"/>
  <c r="BK215" i="34"/>
  <c r="BJ215" i="34"/>
  <c r="BI215" i="34"/>
  <c r="BH215" i="34"/>
  <c r="BG215" i="34"/>
  <c r="BF215" i="34"/>
  <c r="BE215" i="34"/>
  <c r="BD215" i="34"/>
  <c r="BC215" i="34"/>
  <c r="BB215" i="34"/>
  <c r="BA215" i="34"/>
  <c r="AZ215" i="34"/>
  <c r="AY215" i="34"/>
  <c r="AX215" i="34"/>
  <c r="AW215" i="34"/>
  <c r="AV215" i="34"/>
  <c r="AU215" i="34"/>
  <c r="AT215" i="34"/>
  <c r="AS215" i="34"/>
  <c r="AR215" i="34"/>
  <c r="AQ215" i="34"/>
  <c r="AP215" i="34"/>
  <c r="AO215" i="34"/>
  <c r="AN215" i="34"/>
  <c r="AM215" i="34"/>
  <c r="AL215" i="34"/>
  <c r="AK215" i="34"/>
  <c r="AJ215" i="34"/>
  <c r="AI215" i="34"/>
  <c r="AH215" i="34"/>
  <c r="AG215" i="34"/>
  <c r="AF215" i="34"/>
  <c r="AE215" i="34"/>
  <c r="AD215" i="34"/>
  <c r="AC215" i="34"/>
  <c r="AB215" i="34"/>
  <c r="AA215" i="34"/>
  <c r="Z215" i="34"/>
  <c r="Y215" i="34"/>
  <c r="X215" i="34"/>
  <c r="W215" i="34"/>
  <c r="V215" i="34"/>
  <c r="U215" i="34"/>
  <c r="T215" i="34"/>
  <c r="S215" i="34"/>
  <c r="R215" i="34"/>
  <c r="Q215" i="34"/>
  <c r="P215" i="34"/>
  <c r="O215" i="34"/>
  <c r="N215" i="34"/>
  <c r="M215" i="34"/>
  <c r="L215" i="34"/>
  <c r="K215" i="34"/>
  <c r="J215" i="34"/>
  <c r="I215" i="34"/>
  <c r="H215" i="34"/>
  <c r="G215" i="34"/>
  <c r="F215" i="34"/>
  <c r="E215" i="34"/>
  <c r="D215" i="34"/>
  <c r="BK212" i="34"/>
  <c r="BJ212" i="34"/>
  <c r="BI212" i="34"/>
  <c r="BH212" i="34"/>
  <c r="BG212" i="34"/>
  <c r="BF212" i="34"/>
  <c r="BE212" i="34"/>
  <c r="BD212" i="34"/>
  <c r="BC212" i="34"/>
  <c r="BB212" i="34"/>
  <c r="BA212" i="34"/>
  <c r="AZ212" i="34"/>
  <c r="AY212" i="34"/>
  <c r="AX212" i="34"/>
  <c r="AW212" i="34"/>
  <c r="AV212" i="34"/>
  <c r="AU212" i="34"/>
  <c r="AT212" i="34"/>
  <c r="AS212" i="34"/>
  <c r="AR212" i="34"/>
  <c r="AQ212" i="34"/>
  <c r="AP212" i="34"/>
  <c r="AO212" i="34"/>
  <c r="AN212" i="34"/>
  <c r="AM212" i="34"/>
  <c r="AL212" i="34"/>
  <c r="AK212" i="34"/>
  <c r="AJ212" i="34"/>
  <c r="AI212" i="34"/>
  <c r="AH212" i="34"/>
  <c r="AG212" i="34"/>
  <c r="AF212" i="34"/>
  <c r="AE212" i="34"/>
  <c r="AD212" i="34"/>
  <c r="AC212" i="34"/>
  <c r="AB212" i="34"/>
  <c r="AA212" i="34"/>
  <c r="Z212" i="34"/>
  <c r="Y212" i="34"/>
  <c r="X212" i="34"/>
  <c r="W212" i="34"/>
  <c r="V212" i="34"/>
  <c r="U212" i="34"/>
  <c r="T212" i="34"/>
  <c r="S212" i="34"/>
  <c r="R212" i="34"/>
  <c r="Q212" i="34"/>
  <c r="P212" i="34"/>
  <c r="O212" i="34"/>
  <c r="N212" i="34"/>
  <c r="M212" i="34"/>
  <c r="L212" i="34"/>
  <c r="K212" i="34"/>
  <c r="J212" i="34"/>
  <c r="I212" i="34"/>
  <c r="H212" i="34"/>
  <c r="G212" i="34"/>
  <c r="F212" i="34"/>
  <c r="E212" i="34"/>
  <c r="D212" i="34"/>
  <c r="BK210" i="34"/>
  <c r="BJ210" i="34"/>
  <c r="BI210" i="34"/>
  <c r="BH210" i="34"/>
  <c r="BG210" i="34"/>
  <c r="BF210" i="34"/>
  <c r="BE210" i="34"/>
  <c r="BD210" i="34"/>
  <c r="BC210" i="34"/>
  <c r="BB210" i="34"/>
  <c r="BA210" i="34"/>
  <c r="AZ210" i="34"/>
  <c r="AY210" i="34"/>
  <c r="AX210" i="34"/>
  <c r="AW210" i="34"/>
  <c r="AV210" i="34"/>
  <c r="AU210" i="34"/>
  <c r="AT210" i="34"/>
  <c r="AS210" i="34"/>
  <c r="AR210" i="34"/>
  <c r="AQ210" i="34"/>
  <c r="AP210" i="34"/>
  <c r="AO210" i="34"/>
  <c r="AN210" i="34"/>
  <c r="AM210" i="34"/>
  <c r="AL210" i="34"/>
  <c r="AK210" i="34"/>
  <c r="AJ210" i="34"/>
  <c r="AI210" i="34"/>
  <c r="AH210" i="34"/>
  <c r="AG210" i="34"/>
  <c r="AF210" i="34"/>
  <c r="AE210" i="34"/>
  <c r="AD210" i="34"/>
  <c r="AC210" i="34"/>
  <c r="AB210" i="34"/>
  <c r="AA210" i="34"/>
  <c r="Z210" i="34"/>
  <c r="Y210" i="34"/>
  <c r="X210" i="34"/>
  <c r="W210" i="34"/>
  <c r="V210" i="34"/>
  <c r="U210" i="34"/>
  <c r="T210" i="34"/>
  <c r="S210" i="34"/>
  <c r="R210" i="34"/>
  <c r="Q210" i="34"/>
  <c r="P210" i="34"/>
  <c r="O210" i="34"/>
  <c r="N210" i="34"/>
  <c r="M210" i="34"/>
  <c r="L210" i="34"/>
  <c r="K210" i="34"/>
  <c r="J210" i="34"/>
  <c r="I210" i="34"/>
  <c r="H210" i="34"/>
  <c r="G210" i="34"/>
  <c r="F210" i="34"/>
  <c r="E210" i="34"/>
  <c r="D210" i="34"/>
  <c r="C225" i="34"/>
  <c r="C224" i="34"/>
  <c r="C223" i="34"/>
  <c r="C222" i="34"/>
  <c r="C221" i="34"/>
  <c r="C216" i="34"/>
  <c r="C215" i="34"/>
  <c r="C212" i="34"/>
  <c r="C210" i="34"/>
  <c r="B227" i="34"/>
  <c r="B226" i="34"/>
  <c r="B225" i="34"/>
  <c r="B224" i="34"/>
  <c r="B223" i="34"/>
  <c r="B222" i="34"/>
  <c r="B221" i="34"/>
  <c r="B217" i="34"/>
  <c r="B216" i="34"/>
  <c r="B215" i="34"/>
  <c r="B213" i="34"/>
  <c r="B212" i="34"/>
  <c r="B210" i="34"/>
  <c r="AB223" i="34" l="1"/>
  <c r="AD223" i="34"/>
  <c r="AB222" i="34"/>
  <c r="AC222" i="34"/>
  <c r="AA222" i="34"/>
  <c r="AA224" i="34"/>
  <c r="AD222" i="34"/>
  <c r="AQ211" i="34"/>
  <c r="AS211" i="34"/>
  <c r="BE211" i="34"/>
  <c r="AG211" i="34"/>
  <c r="BF211" i="34"/>
  <c r="Y211" i="34"/>
  <c r="AW211" i="34"/>
  <c r="AO211" i="34"/>
  <c r="AX211" i="34"/>
  <c r="AH211" i="34"/>
  <c r="AC211" i="34"/>
  <c r="Z211" i="34"/>
  <c r="R211" i="34"/>
  <c r="Q211" i="34"/>
  <c r="M211" i="34"/>
  <c r="J211" i="34"/>
  <c r="I211" i="34"/>
  <c r="AI211" i="34"/>
  <c r="BI211" i="34"/>
  <c r="K211" i="34"/>
  <c r="AA211" i="34"/>
  <c r="BG211" i="34"/>
  <c r="S211" i="34"/>
  <c r="AY211" i="34"/>
  <c r="AP211" i="34"/>
  <c r="H211" i="34"/>
  <c r="P211" i="34"/>
  <c r="X211" i="34"/>
  <c r="AF211" i="34"/>
  <c r="AN211" i="34"/>
  <c r="AV211" i="34"/>
  <c r="BD211" i="34"/>
  <c r="D211" i="34"/>
  <c r="F211" i="34"/>
  <c r="N211" i="34"/>
  <c r="V211" i="34"/>
  <c r="AD211" i="34"/>
  <c r="AL211" i="34"/>
  <c r="AT211" i="34"/>
  <c r="BB211" i="34"/>
  <c r="BJ211" i="34"/>
  <c r="T211" i="34"/>
  <c r="AJ211" i="34"/>
  <c r="AZ211" i="34"/>
  <c r="G211" i="34"/>
  <c r="O211" i="34"/>
  <c r="W211" i="34"/>
  <c r="AE211" i="34"/>
  <c r="AM211" i="34"/>
  <c r="AU211" i="34"/>
  <c r="BC211" i="34"/>
  <c r="BK211" i="34"/>
  <c r="E211" i="34"/>
  <c r="U211" i="34"/>
  <c r="AK211" i="34"/>
  <c r="BA211" i="34"/>
  <c r="L211" i="34"/>
  <c r="AB211" i="34"/>
  <c r="AR211" i="34"/>
  <c r="BH211" i="34"/>
  <c r="AE223" i="34" l="1"/>
  <c r="AG223" i="34"/>
  <c r="AH223" i="34"/>
  <c r="AF223" i="34"/>
  <c r="AH224" i="34"/>
  <c r="AG221" i="34"/>
  <c r="AE221" i="34"/>
  <c r="AF221" i="34"/>
  <c r="AF224" i="34"/>
  <c r="AF222" i="34"/>
  <c r="AH222" i="34"/>
  <c r="AG222" i="34"/>
  <c r="AE222" i="34"/>
  <c r="AG224" i="34"/>
  <c r="AH221" i="34"/>
  <c r="AE224" i="34"/>
  <c r="AL223" i="34" l="1"/>
  <c r="AK223" i="34"/>
  <c r="AJ223" i="34"/>
  <c r="AI223" i="34"/>
  <c r="AI224" i="34"/>
  <c r="AL221" i="34"/>
  <c r="AK222" i="34"/>
  <c r="AJ222" i="34"/>
  <c r="AI221" i="34"/>
  <c r="AK224" i="34"/>
  <c r="AK221" i="34"/>
  <c r="AJ221" i="34"/>
  <c r="AL222" i="34"/>
  <c r="AI222" i="34"/>
  <c r="AJ224" i="34"/>
  <c r="AL224" i="34"/>
  <c r="BM100" i="11"/>
  <c r="BM104" i="11" s="1"/>
  <c r="BL100" i="11"/>
  <c r="BL104" i="11" s="1"/>
  <c r="BK100" i="11"/>
  <c r="BK104" i="11" s="1"/>
  <c r="BJ100" i="11"/>
  <c r="BJ104" i="11" s="1"/>
  <c r="BI100" i="11"/>
  <c r="BI104" i="11" s="1"/>
  <c r="BH100" i="11"/>
  <c r="BH104" i="11" s="1"/>
  <c r="BG100" i="11"/>
  <c r="BG104" i="11" s="1"/>
  <c r="BF100" i="11"/>
  <c r="BF104" i="11" s="1"/>
  <c r="BE100" i="11"/>
  <c r="BE104" i="11" s="1"/>
  <c r="BD100" i="11"/>
  <c r="BD104" i="11" s="1"/>
  <c r="BC100" i="11"/>
  <c r="BC104" i="11" s="1"/>
  <c r="BB100" i="11"/>
  <c r="BB104" i="11" s="1"/>
  <c r="BA100" i="11"/>
  <c r="BA104" i="11" s="1"/>
  <c r="AZ100" i="11"/>
  <c r="AZ104" i="11" s="1"/>
  <c r="AY100" i="11"/>
  <c r="AY104" i="11" s="1"/>
  <c r="AX100" i="11"/>
  <c r="AX104" i="11" s="1"/>
  <c r="AW100" i="11"/>
  <c r="AW104" i="11" s="1"/>
  <c r="AV100" i="11"/>
  <c r="AV104" i="11" s="1"/>
  <c r="AU100" i="11"/>
  <c r="AU104" i="11" s="1"/>
  <c r="AT100" i="11"/>
  <c r="AT104" i="11" s="1"/>
  <c r="AS100" i="11"/>
  <c r="AS104" i="11" s="1"/>
  <c r="AR100" i="11"/>
  <c r="AR104" i="11" s="1"/>
  <c r="AQ100" i="11"/>
  <c r="AQ104" i="11" s="1"/>
  <c r="AP100" i="11"/>
  <c r="AP104" i="11" s="1"/>
  <c r="AO100" i="11"/>
  <c r="AO104" i="11" s="1"/>
  <c r="AN100" i="11"/>
  <c r="AN104" i="11" s="1"/>
  <c r="AM100" i="11"/>
  <c r="AM104" i="11" s="1"/>
  <c r="AL100" i="11"/>
  <c r="AL104" i="11" s="1"/>
  <c r="AK100" i="11"/>
  <c r="AK104" i="11" s="1"/>
  <c r="AJ100" i="11"/>
  <c r="AJ104" i="11" s="1"/>
  <c r="AI100" i="11"/>
  <c r="AI104" i="11" s="1"/>
  <c r="AH100" i="11"/>
  <c r="AH104" i="11" s="1"/>
  <c r="AG100" i="11"/>
  <c r="AG104" i="11" s="1"/>
  <c r="AF100" i="11"/>
  <c r="AF104" i="11" s="1"/>
  <c r="AE100" i="11"/>
  <c r="AE104" i="11" s="1"/>
  <c r="AD100" i="11"/>
  <c r="AD104" i="11" s="1"/>
  <c r="AC100" i="11"/>
  <c r="AC104" i="11" s="1"/>
  <c r="AB100" i="11"/>
  <c r="AB104" i="11" s="1"/>
  <c r="AA100" i="11"/>
  <c r="AA104" i="11" s="1"/>
  <c r="Z100" i="11"/>
  <c r="Z104" i="11" s="1"/>
  <c r="Y100" i="11"/>
  <c r="Y104" i="11" s="1"/>
  <c r="X100" i="11"/>
  <c r="X104" i="11" s="1"/>
  <c r="W100" i="11"/>
  <c r="W104" i="11" s="1"/>
  <c r="V100" i="11"/>
  <c r="V104" i="11" s="1"/>
  <c r="U100" i="11"/>
  <c r="U104" i="11" s="1"/>
  <c r="T100" i="11"/>
  <c r="T104" i="11" s="1"/>
  <c r="S100" i="11"/>
  <c r="S104" i="11" s="1"/>
  <c r="R100" i="11"/>
  <c r="R104" i="11" s="1"/>
  <c r="Q100" i="11"/>
  <c r="Q104" i="11" s="1"/>
  <c r="P100" i="11"/>
  <c r="P104" i="11" s="1"/>
  <c r="O100" i="11"/>
  <c r="O104" i="11" s="1"/>
  <c r="N100" i="11"/>
  <c r="N104" i="11" s="1"/>
  <c r="M100" i="11"/>
  <c r="M104" i="11" s="1"/>
  <c r="L100" i="11"/>
  <c r="L104" i="11" s="1"/>
  <c r="K100" i="11"/>
  <c r="K104" i="11" s="1"/>
  <c r="J100" i="11"/>
  <c r="J104" i="11" s="1"/>
  <c r="I100" i="11"/>
  <c r="I104" i="11" s="1"/>
  <c r="H100" i="11"/>
  <c r="H104" i="11" s="1"/>
  <c r="G100" i="11"/>
  <c r="G104" i="11" s="1"/>
  <c r="F100" i="11"/>
  <c r="F104" i="11" s="1"/>
  <c r="E100" i="11"/>
  <c r="E104" i="11" s="1"/>
  <c r="BM85" i="11"/>
  <c r="BL85" i="11"/>
  <c r="BK85" i="11"/>
  <c r="BJ85" i="11"/>
  <c r="BI85" i="11"/>
  <c r="BH85" i="11"/>
  <c r="BG85" i="11"/>
  <c r="BF85" i="11"/>
  <c r="BE85" i="11"/>
  <c r="BD85" i="11"/>
  <c r="BC85" i="11"/>
  <c r="BB85" i="11"/>
  <c r="BA85" i="11"/>
  <c r="AZ85" i="11"/>
  <c r="AY85" i="11"/>
  <c r="AX85" i="11"/>
  <c r="AW85" i="11"/>
  <c r="AV85" i="11"/>
  <c r="AU85" i="11"/>
  <c r="AT85" i="11"/>
  <c r="AS85" i="11"/>
  <c r="AR85" i="11"/>
  <c r="AQ85" i="11"/>
  <c r="AP85" i="11"/>
  <c r="AO85" i="11"/>
  <c r="AN85" i="11"/>
  <c r="AM85" i="11"/>
  <c r="AL85" i="11"/>
  <c r="AK85" i="11"/>
  <c r="AJ85" i="11"/>
  <c r="AI85" i="11"/>
  <c r="AH85" i="11"/>
  <c r="AG85" i="11"/>
  <c r="AF85" i="11"/>
  <c r="AE85" i="11"/>
  <c r="AD85" i="11"/>
  <c r="AC85" i="11"/>
  <c r="AB85" i="11"/>
  <c r="AA85" i="11"/>
  <c r="Z85" i="11"/>
  <c r="Y85" i="11"/>
  <c r="X85" i="11"/>
  <c r="W85" i="11"/>
  <c r="V85" i="11"/>
  <c r="U85" i="11"/>
  <c r="T85" i="11"/>
  <c r="S85" i="11"/>
  <c r="R85" i="11"/>
  <c r="Q85" i="11"/>
  <c r="P85" i="11"/>
  <c r="O85" i="11"/>
  <c r="N85" i="11"/>
  <c r="M85" i="11"/>
  <c r="L85" i="11"/>
  <c r="K85" i="11"/>
  <c r="J85" i="11"/>
  <c r="I85" i="11"/>
  <c r="H85" i="11"/>
  <c r="G85" i="11"/>
  <c r="F85" i="11"/>
  <c r="E85" i="11"/>
  <c r="AE92" i="11" l="1"/>
  <c r="G92" i="11"/>
  <c r="H92" i="11"/>
  <c r="BF92" i="11"/>
  <c r="BC92" i="11"/>
  <c r="AS92" i="11"/>
  <c r="J92" i="11"/>
  <c r="X92" i="11"/>
  <c r="T92" i="11"/>
  <c r="W92" i="11"/>
  <c r="L92" i="11"/>
  <c r="AJ92" i="11"/>
  <c r="Y92" i="11"/>
  <c r="AW92" i="11"/>
  <c r="BI92" i="11"/>
  <c r="AF92" i="11"/>
  <c r="BE92" i="11"/>
  <c r="AX92" i="11"/>
  <c r="BD92" i="11"/>
  <c r="K92" i="11"/>
  <c r="AV92" i="11"/>
  <c r="M92" i="11"/>
  <c r="AK92" i="11"/>
  <c r="N92" i="11"/>
  <c r="BJ92" i="11"/>
  <c r="O92" i="11"/>
  <c r="BK92" i="11"/>
  <c r="AR92" i="11"/>
  <c r="AG92" i="11"/>
  <c r="AT92" i="11"/>
  <c r="AI92" i="11"/>
  <c r="AL92" i="11"/>
  <c r="AA92" i="11"/>
  <c r="AY92" i="11"/>
  <c r="P92" i="11"/>
  <c r="AB92" i="11"/>
  <c r="AN92" i="11"/>
  <c r="AZ92" i="11"/>
  <c r="BL92" i="11"/>
  <c r="S92" i="11"/>
  <c r="I92" i="11"/>
  <c r="V92" i="11"/>
  <c r="AM92" i="11"/>
  <c r="E92" i="11"/>
  <c r="Q92" i="11"/>
  <c r="AC92" i="11"/>
  <c r="AO92" i="11"/>
  <c r="BA92" i="11"/>
  <c r="BM92" i="11"/>
  <c r="AQ92" i="11"/>
  <c r="U92" i="11"/>
  <c r="AH92" i="11"/>
  <c r="AU92" i="11"/>
  <c r="BG92" i="11"/>
  <c r="BH92" i="11"/>
  <c r="Z92" i="11"/>
  <c r="F92" i="11"/>
  <c r="R92" i="11"/>
  <c r="AD92" i="11"/>
  <c r="AP92" i="11"/>
  <c r="BB92" i="11"/>
  <c r="AN223" i="34"/>
  <c r="AO223" i="34"/>
  <c r="AM223" i="34"/>
  <c r="AP223" i="34"/>
  <c r="AN222" i="34"/>
  <c r="AN224" i="34"/>
  <c r="AP221" i="34"/>
  <c r="AP224" i="34"/>
  <c r="AO222" i="34"/>
  <c r="AO221" i="34"/>
  <c r="AO224" i="34"/>
  <c r="AN221" i="34"/>
  <c r="AM222" i="34"/>
  <c r="AP222" i="34"/>
  <c r="AM221" i="34"/>
  <c r="AM224" i="34"/>
  <c r="BS70" i="4"/>
  <c r="BS69" i="4"/>
  <c r="BS68" i="4"/>
  <c r="BS67" i="4"/>
  <c r="BS66" i="4"/>
  <c r="BS65" i="4"/>
  <c r="BS64" i="4"/>
  <c r="BS63" i="4"/>
  <c r="BS62" i="4"/>
  <c r="BS61" i="4"/>
  <c r="BS60" i="4"/>
  <c r="BS59" i="4"/>
  <c r="BS58" i="4"/>
  <c r="BS57" i="4"/>
  <c r="BS56" i="4"/>
  <c r="BS55" i="4"/>
  <c r="BS54" i="4"/>
  <c r="BS53" i="4"/>
  <c r="BS52" i="4"/>
  <c r="BS51" i="4"/>
  <c r="BS50" i="4"/>
  <c r="BS49" i="4"/>
  <c r="BS48" i="4"/>
  <c r="BS47" i="4"/>
  <c r="BS46" i="4"/>
  <c r="BS45" i="4"/>
  <c r="BS44" i="4"/>
  <c r="BS43" i="4"/>
  <c r="BS42" i="4"/>
  <c r="BS41" i="4"/>
  <c r="BS40" i="4"/>
  <c r="BS39" i="4"/>
  <c r="BS38" i="4"/>
  <c r="BS37" i="4"/>
  <c r="BS36" i="4"/>
  <c r="BS35" i="4"/>
  <c r="BS34" i="4"/>
  <c r="BS33" i="4"/>
  <c r="BS32" i="4"/>
  <c r="BS31" i="4"/>
  <c r="AQ223" i="34" l="1"/>
  <c r="AS223" i="34"/>
  <c r="AT223" i="34"/>
  <c r="AR223" i="34"/>
  <c r="AQ224" i="34"/>
  <c r="AT224" i="34"/>
  <c r="AR224" i="34"/>
  <c r="AR221" i="34"/>
  <c r="AS224" i="34"/>
  <c r="AQ221" i="34"/>
  <c r="AS221" i="34"/>
  <c r="AT221" i="34"/>
  <c r="AT222" i="34"/>
  <c r="AQ222" i="34"/>
  <c r="AS222" i="34"/>
  <c r="AR222" i="34"/>
  <c r="G15" i="21"/>
  <c r="G70" i="4"/>
  <c r="G69" i="4"/>
  <c r="G68" i="4"/>
  <c r="G67" i="4"/>
  <c r="G66" i="4"/>
  <c r="G65" i="4"/>
  <c r="G64" i="4"/>
  <c r="G63" i="4"/>
  <c r="G62" i="4"/>
  <c r="G61" i="4"/>
  <c r="G60" i="4"/>
  <c r="G59" i="4"/>
  <c r="G58" i="4"/>
  <c r="G57" i="4"/>
  <c r="G56" i="4"/>
  <c r="G55" i="4"/>
  <c r="G54" i="4"/>
  <c r="G53" i="4"/>
  <c r="G52" i="4"/>
  <c r="G51" i="4"/>
  <c r="G50" i="4"/>
  <c r="G49" i="4"/>
  <c r="G48" i="4"/>
  <c r="G47" i="4"/>
  <c r="G46" i="4"/>
  <c r="G45" i="4"/>
  <c r="G44" i="4"/>
  <c r="G43" i="4"/>
  <c r="G42" i="4"/>
  <c r="G41" i="4"/>
  <c r="G40" i="4"/>
  <c r="G39" i="4"/>
  <c r="G38" i="4"/>
  <c r="G37" i="4"/>
  <c r="G36" i="4"/>
  <c r="G35" i="4"/>
  <c r="G34" i="4"/>
  <c r="G33" i="4"/>
  <c r="G32" i="4"/>
  <c r="B266" i="4"/>
  <c r="C121" i="4"/>
  <c r="C171" i="4" s="1"/>
  <c r="C120" i="4"/>
  <c r="C170" i="4" s="1"/>
  <c r="C119" i="4"/>
  <c r="C169" i="4" s="1"/>
  <c r="C118" i="4"/>
  <c r="C168" i="4" s="1"/>
  <c r="C117" i="4"/>
  <c r="C167" i="4" s="1"/>
  <c r="C116" i="4"/>
  <c r="C166" i="4" s="1"/>
  <c r="C115" i="4"/>
  <c r="C165" i="4" s="1"/>
  <c r="C114" i="4"/>
  <c r="C164" i="4" s="1"/>
  <c r="C113" i="4"/>
  <c r="C163" i="4" s="1"/>
  <c r="C112" i="4"/>
  <c r="C162" i="4" s="1"/>
  <c r="C111" i="4"/>
  <c r="C161" i="4" s="1"/>
  <c r="C110" i="4"/>
  <c r="C160" i="4" s="1"/>
  <c r="C109" i="4"/>
  <c r="C159" i="4" s="1"/>
  <c r="C108" i="4"/>
  <c r="C158" i="4" s="1"/>
  <c r="C107" i="4"/>
  <c r="C157" i="4" s="1"/>
  <c r="C106" i="4"/>
  <c r="C156" i="4" s="1"/>
  <c r="C105" i="4"/>
  <c r="C155" i="4" s="1"/>
  <c r="C104" i="4"/>
  <c r="C154" i="4" s="1"/>
  <c r="C103" i="4"/>
  <c r="C153" i="4" s="1"/>
  <c r="G31" i="4"/>
  <c r="AX223" i="34" l="1"/>
  <c r="AW223" i="34"/>
  <c r="AV223" i="34"/>
  <c r="AU223" i="34"/>
  <c r="AV221" i="34"/>
  <c r="AV222" i="34"/>
  <c r="AV224" i="34"/>
  <c r="AU222" i="34"/>
  <c r="AU221" i="34"/>
  <c r="AX224" i="34"/>
  <c r="AW221" i="34"/>
  <c r="AX221" i="34"/>
  <c r="AW222" i="34"/>
  <c r="AX222" i="34"/>
  <c r="AW224" i="34"/>
  <c r="AU224" i="34"/>
  <c r="B203" i="34"/>
  <c r="B202" i="34"/>
  <c r="BB223" i="34" l="1"/>
  <c r="AY223" i="34"/>
  <c r="BA223" i="34"/>
  <c r="AZ223" i="34"/>
  <c r="BB221" i="34"/>
  <c r="AY222" i="34"/>
  <c r="AZ224" i="34"/>
  <c r="BA224" i="34"/>
  <c r="BB222" i="34"/>
  <c r="AZ222" i="34"/>
  <c r="AY224" i="34"/>
  <c r="BA221" i="34"/>
  <c r="BB224" i="34"/>
  <c r="BA222" i="34"/>
  <c r="AY221" i="34"/>
  <c r="AZ221" i="34"/>
  <c r="A174" i="34"/>
  <c r="BE223" i="34" l="1"/>
  <c r="BD223" i="34"/>
  <c r="BC223" i="34"/>
  <c r="BF223" i="34"/>
  <c r="BE224" i="34"/>
  <c r="BD224" i="34"/>
  <c r="BE222" i="34"/>
  <c r="BE221" i="34"/>
  <c r="BC224" i="34"/>
  <c r="BD222" i="34"/>
  <c r="BD221" i="34"/>
  <c r="BC221" i="34"/>
  <c r="BC222" i="34"/>
  <c r="BF224" i="34"/>
  <c r="BF222" i="34"/>
  <c r="BF221" i="34"/>
  <c r="E58" i="34"/>
  <c r="D58" i="34"/>
  <c r="C57" i="34"/>
  <c r="B57" i="34"/>
  <c r="B56" i="34"/>
  <c r="B55" i="34"/>
  <c r="B54" i="34"/>
  <c r="BG223" i="34" l="1"/>
  <c r="BJ223" i="34"/>
  <c r="BH223" i="34"/>
  <c r="BI223" i="34"/>
  <c r="BJ224" i="34"/>
  <c r="BI221" i="34"/>
  <c r="BI222" i="34"/>
  <c r="BG221" i="34"/>
  <c r="BJ222" i="34"/>
  <c r="BH224" i="34"/>
  <c r="BJ221" i="34"/>
  <c r="BH221" i="34"/>
  <c r="BH222" i="34"/>
  <c r="BG222" i="34"/>
  <c r="BG224" i="34"/>
  <c r="BI224" i="34"/>
  <c r="B171" i="34"/>
  <c r="B170" i="34"/>
  <c r="B169" i="34"/>
  <c r="B168" i="34"/>
  <c r="B167" i="34"/>
  <c r="B166" i="34"/>
  <c r="B165" i="34"/>
  <c r="B164" i="34"/>
  <c r="B163" i="34"/>
  <c r="B162" i="34"/>
  <c r="B161" i="34"/>
  <c r="B160" i="34"/>
  <c r="B159" i="34"/>
  <c r="B158" i="34"/>
  <c r="B157" i="34"/>
  <c r="B156" i="34"/>
  <c r="B155" i="34"/>
  <c r="B154" i="34"/>
  <c r="B153" i="34"/>
  <c r="B152" i="34"/>
  <c r="BK223" i="34" l="1"/>
  <c r="BK224" i="34"/>
  <c r="BK221" i="34"/>
  <c r="D24" i="11"/>
  <c r="BK222" i="34"/>
  <c r="N148" i="34"/>
  <c r="M148" i="34"/>
  <c r="L148" i="34"/>
  <c r="K148" i="34"/>
  <c r="J148" i="34"/>
  <c r="I148" i="34"/>
  <c r="H148" i="34"/>
  <c r="G148" i="34"/>
  <c r="F148" i="34"/>
  <c r="E148" i="34"/>
  <c r="D148" i="34"/>
  <c r="N147" i="34"/>
  <c r="M147" i="34"/>
  <c r="L147" i="34"/>
  <c r="K147" i="34"/>
  <c r="J147" i="34"/>
  <c r="I147" i="34"/>
  <c r="H147" i="34"/>
  <c r="G147" i="34"/>
  <c r="F147" i="34"/>
  <c r="E147" i="34"/>
  <c r="D147" i="34"/>
  <c r="N145" i="34"/>
  <c r="M145" i="34"/>
  <c r="L145" i="34"/>
  <c r="K145" i="34"/>
  <c r="J145" i="34"/>
  <c r="I145" i="34"/>
  <c r="H145" i="34"/>
  <c r="G145" i="34"/>
  <c r="F145" i="34"/>
  <c r="E145" i="34"/>
  <c r="D145" i="34"/>
  <c r="N144" i="34"/>
  <c r="M144" i="34"/>
  <c r="L144" i="34"/>
  <c r="K144" i="34"/>
  <c r="J144" i="34"/>
  <c r="I144" i="34"/>
  <c r="H144" i="34"/>
  <c r="G144" i="34"/>
  <c r="F144" i="34"/>
  <c r="E144" i="34"/>
  <c r="D144" i="34"/>
  <c r="N143" i="34"/>
  <c r="M143" i="34"/>
  <c r="L143" i="34"/>
  <c r="K143" i="34"/>
  <c r="J143" i="34"/>
  <c r="I143" i="34"/>
  <c r="H143" i="34"/>
  <c r="G143" i="34"/>
  <c r="F143" i="34"/>
  <c r="E143" i="34"/>
  <c r="D143" i="34"/>
  <c r="N141" i="34"/>
  <c r="M141" i="34"/>
  <c r="L141" i="34"/>
  <c r="K141" i="34"/>
  <c r="J141" i="34"/>
  <c r="I141" i="34"/>
  <c r="H141" i="34"/>
  <c r="G141" i="34"/>
  <c r="F141" i="34"/>
  <c r="E141" i="34"/>
  <c r="D141" i="34"/>
  <c r="N140" i="34"/>
  <c r="M140" i="34"/>
  <c r="L140" i="34"/>
  <c r="K140" i="34"/>
  <c r="J140" i="34"/>
  <c r="I140" i="34"/>
  <c r="H140" i="34"/>
  <c r="G140" i="34"/>
  <c r="F140" i="34"/>
  <c r="E140" i="34"/>
  <c r="D140" i="34"/>
  <c r="N139" i="34"/>
  <c r="M139" i="34"/>
  <c r="L139" i="34"/>
  <c r="K139" i="34"/>
  <c r="J139" i="34"/>
  <c r="I139" i="34"/>
  <c r="H139" i="34"/>
  <c r="G139" i="34"/>
  <c r="F139" i="34"/>
  <c r="E139" i="34"/>
  <c r="D139" i="34"/>
  <c r="N137" i="34"/>
  <c r="M137" i="34"/>
  <c r="L137" i="34"/>
  <c r="K137" i="34"/>
  <c r="J137" i="34"/>
  <c r="I137" i="34"/>
  <c r="H137" i="34"/>
  <c r="G137" i="34"/>
  <c r="F137" i="34"/>
  <c r="E137" i="34"/>
  <c r="D137" i="34"/>
  <c r="N136" i="34"/>
  <c r="M136" i="34"/>
  <c r="L136" i="34"/>
  <c r="K136" i="34"/>
  <c r="J136" i="34"/>
  <c r="I136" i="34"/>
  <c r="H136" i="34"/>
  <c r="G136" i="34"/>
  <c r="F136" i="34"/>
  <c r="E136" i="34"/>
  <c r="D136" i="34"/>
  <c r="N135" i="34"/>
  <c r="M135" i="34"/>
  <c r="L135" i="34"/>
  <c r="K135" i="34"/>
  <c r="J135" i="34"/>
  <c r="I135" i="34"/>
  <c r="H135" i="34"/>
  <c r="G135" i="34"/>
  <c r="F135" i="34"/>
  <c r="E135" i="34"/>
  <c r="D135" i="34"/>
  <c r="N133" i="34"/>
  <c r="M133" i="34"/>
  <c r="L133" i="34"/>
  <c r="K133" i="34"/>
  <c r="J133" i="34"/>
  <c r="I133" i="34"/>
  <c r="H133" i="34"/>
  <c r="G133" i="34"/>
  <c r="F133" i="34"/>
  <c r="E133" i="34"/>
  <c r="D133" i="34"/>
  <c r="N132" i="34"/>
  <c r="M132" i="34"/>
  <c r="L132" i="34"/>
  <c r="K132" i="34"/>
  <c r="J132" i="34"/>
  <c r="I132" i="34"/>
  <c r="H132" i="34"/>
  <c r="G132" i="34"/>
  <c r="F132" i="34"/>
  <c r="E132" i="34"/>
  <c r="D132" i="34"/>
  <c r="N131" i="34"/>
  <c r="M131" i="34"/>
  <c r="L131" i="34"/>
  <c r="K131" i="34"/>
  <c r="J131" i="34"/>
  <c r="I131" i="34"/>
  <c r="H131" i="34"/>
  <c r="G131" i="34"/>
  <c r="F131" i="34"/>
  <c r="E131" i="34"/>
  <c r="D131" i="34"/>
  <c r="N129" i="34" l="1"/>
  <c r="M129" i="34"/>
  <c r="L129" i="34"/>
  <c r="K129" i="34"/>
  <c r="J129" i="34"/>
  <c r="I129" i="34"/>
  <c r="H129" i="34"/>
  <c r="G129" i="34"/>
  <c r="F129" i="34"/>
  <c r="E129" i="34"/>
  <c r="D129" i="34"/>
  <c r="N128" i="34"/>
  <c r="M128" i="34"/>
  <c r="L128" i="34"/>
  <c r="K128" i="34"/>
  <c r="J128" i="34"/>
  <c r="I128" i="34"/>
  <c r="H128" i="34"/>
  <c r="G128" i="34"/>
  <c r="F128" i="34"/>
  <c r="E128" i="34"/>
  <c r="D128" i="34"/>
  <c r="N127" i="34"/>
  <c r="M127" i="34"/>
  <c r="L127" i="34"/>
  <c r="K127" i="34"/>
  <c r="J127" i="34"/>
  <c r="I127" i="34"/>
  <c r="H127" i="34"/>
  <c r="G127" i="34"/>
  <c r="F127" i="34"/>
  <c r="E127" i="34"/>
  <c r="D127" i="34"/>
  <c r="N146" i="34"/>
  <c r="M146" i="34"/>
  <c r="L146" i="34"/>
  <c r="K146" i="34"/>
  <c r="J146" i="34"/>
  <c r="I146" i="34"/>
  <c r="H146" i="34"/>
  <c r="G146" i="34"/>
  <c r="F146" i="34"/>
  <c r="E146" i="34"/>
  <c r="D146" i="34"/>
  <c r="N142" i="34"/>
  <c r="M142" i="34"/>
  <c r="L142" i="34"/>
  <c r="K142" i="34"/>
  <c r="J142" i="34"/>
  <c r="I142" i="34"/>
  <c r="H142" i="34"/>
  <c r="G142" i="34"/>
  <c r="F142" i="34"/>
  <c r="E142" i="34"/>
  <c r="D142" i="34"/>
  <c r="N138" i="34"/>
  <c r="M138" i="34"/>
  <c r="L138" i="34"/>
  <c r="K138" i="34"/>
  <c r="J138" i="34"/>
  <c r="I138" i="34"/>
  <c r="H138" i="34"/>
  <c r="G138" i="34"/>
  <c r="F138" i="34"/>
  <c r="E138" i="34"/>
  <c r="D138" i="34"/>
  <c r="N134" i="34"/>
  <c r="M134" i="34"/>
  <c r="L134" i="34"/>
  <c r="K134" i="34"/>
  <c r="J134" i="34"/>
  <c r="I134" i="34"/>
  <c r="H134" i="34"/>
  <c r="G134" i="34"/>
  <c r="F134" i="34"/>
  <c r="E134" i="34"/>
  <c r="D134" i="34"/>
  <c r="N130" i="34"/>
  <c r="M130" i="34"/>
  <c r="L130" i="34"/>
  <c r="K130" i="34"/>
  <c r="J130" i="34"/>
  <c r="I130" i="34"/>
  <c r="H130" i="34"/>
  <c r="G130" i="34"/>
  <c r="F130" i="34"/>
  <c r="E130" i="34"/>
  <c r="D130" i="34"/>
  <c r="N126" i="34"/>
  <c r="M126" i="34"/>
  <c r="L126" i="34"/>
  <c r="K126" i="34"/>
  <c r="J126" i="34"/>
  <c r="I126" i="34"/>
  <c r="H126" i="34"/>
  <c r="G126" i="34"/>
  <c r="F126" i="34"/>
  <c r="E126" i="34"/>
  <c r="D126" i="34"/>
  <c r="C203" i="4" l="1"/>
  <c r="C202" i="4"/>
  <c r="C218" i="4" l="1"/>
  <c r="C217" i="4"/>
  <c r="C190" i="4" l="1"/>
  <c r="B32" i="6" l="1"/>
  <c r="B31" i="6"/>
  <c r="C6" i="33" l="1"/>
  <c r="NB5" i="33" s="1"/>
  <c r="KR5" i="33" l="1"/>
  <c r="KY5" i="33"/>
  <c r="KZ5" i="33"/>
  <c r="KA5" i="33"/>
  <c r="MM5" i="33"/>
  <c r="LH5" i="33"/>
  <c r="KI5" i="33"/>
  <c r="LO5" i="33"/>
  <c r="KJ5" i="33"/>
  <c r="LP5" i="33"/>
  <c r="MV5" i="33"/>
  <c r="LX5" i="33"/>
  <c r="ME5" i="33"/>
  <c r="MF5" i="33"/>
  <c r="LG5" i="33"/>
  <c r="KB5" i="33"/>
  <c r="MN5" i="33"/>
  <c r="MU5" i="33"/>
  <c r="KQ5" i="33"/>
  <c r="LW5" i="33"/>
  <c r="NC5" i="33"/>
  <c r="KC5" i="33"/>
  <c r="KK5" i="33"/>
  <c r="KS5" i="33"/>
  <c r="LA5" i="33"/>
  <c r="LI5" i="33"/>
  <c r="LQ5" i="33"/>
  <c r="LY5" i="33"/>
  <c r="MG5" i="33"/>
  <c r="MO5" i="33"/>
  <c r="MW5" i="33"/>
  <c r="KD5" i="33"/>
  <c r="KL5" i="33"/>
  <c r="KT5" i="33"/>
  <c r="LB5" i="33"/>
  <c r="LJ5" i="33"/>
  <c r="LR5" i="33"/>
  <c r="LZ5" i="33"/>
  <c r="MH5" i="33"/>
  <c r="MP5" i="33"/>
  <c r="MX5" i="33"/>
  <c r="KE5" i="33"/>
  <c r="KM5" i="33"/>
  <c r="KU5" i="33"/>
  <c r="LC5" i="33"/>
  <c r="LK5" i="33"/>
  <c r="LS5" i="33"/>
  <c r="MA5" i="33"/>
  <c r="MI5" i="33"/>
  <c r="MQ5" i="33"/>
  <c r="MY5" i="33"/>
  <c r="KF5" i="33"/>
  <c r="KN5" i="33"/>
  <c r="KV5" i="33"/>
  <c r="LD5" i="33"/>
  <c r="LL5" i="33"/>
  <c r="LT5" i="33"/>
  <c r="MB5" i="33"/>
  <c r="MJ5" i="33"/>
  <c r="MR5" i="33"/>
  <c r="MZ5" i="33"/>
  <c r="KG5" i="33"/>
  <c r="KO5" i="33"/>
  <c r="KW5" i="33"/>
  <c r="LE5" i="33"/>
  <c r="LM5" i="33"/>
  <c r="LU5" i="33"/>
  <c r="MC5" i="33"/>
  <c r="MK5" i="33"/>
  <c r="MS5" i="33"/>
  <c r="NA5" i="33"/>
  <c r="JZ5" i="33"/>
  <c r="KH5" i="33"/>
  <c r="KP5" i="33"/>
  <c r="KX5" i="33"/>
  <c r="LF5" i="33"/>
  <c r="LN5" i="33"/>
  <c r="LV5" i="33"/>
  <c r="MD5" i="33"/>
  <c r="ML5" i="33"/>
  <c r="MT5" i="33"/>
  <c r="C85" i="31" l="1"/>
  <c r="C84" i="31"/>
  <c r="C83" i="31"/>
  <c r="C82" i="31"/>
  <c r="C77" i="31"/>
  <c r="C76" i="31"/>
  <c r="C75" i="31"/>
  <c r="C74" i="31"/>
  <c r="C73" i="31"/>
  <c r="C72" i="31"/>
  <c r="C71" i="31"/>
  <c r="C70" i="31"/>
  <c r="C69" i="31"/>
  <c r="C68" i="31"/>
  <c r="C67" i="31"/>
  <c r="C66" i="31"/>
  <c r="C61" i="31"/>
  <c r="C60" i="31"/>
  <c r="C59" i="31"/>
  <c r="C58" i="31"/>
  <c r="C57" i="31"/>
  <c r="C56" i="31"/>
  <c r="C55" i="31"/>
  <c r="C54" i="31"/>
  <c r="C53" i="31"/>
  <c r="C47" i="31"/>
  <c r="C46" i="31"/>
  <c r="C45" i="31"/>
  <c r="C44" i="31"/>
  <c r="C38" i="31"/>
  <c r="C36" i="31"/>
  <c r="C34" i="31"/>
  <c r="C32" i="31"/>
  <c r="C30" i="31"/>
  <c r="C24" i="31"/>
  <c r="C13" i="31"/>
  <c r="C56" i="34" s="1"/>
  <c r="C12" i="31"/>
  <c r="C55" i="34" s="1"/>
  <c r="C11" i="31"/>
  <c r="C54" i="34" s="1"/>
  <c r="F23" i="31"/>
  <c r="K3" i="29"/>
  <c r="J3" i="29"/>
  <c r="D9" i="7" l="1"/>
  <c r="J14" i="7"/>
  <c r="JR5" i="33"/>
  <c r="JJ5" i="33"/>
  <c r="JB5" i="33"/>
  <c r="IT5" i="33"/>
  <c r="IL5" i="33"/>
  <c r="ID5" i="33"/>
  <c r="HV5" i="33"/>
  <c r="HN5" i="33"/>
  <c r="HF5" i="33"/>
  <c r="GX5" i="33"/>
  <c r="GP5" i="33"/>
  <c r="GH5" i="33"/>
  <c r="FZ5" i="33"/>
  <c r="FR5" i="33"/>
  <c r="FJ5" i="33"/>
  <c r="FB5" i="33"/>
  <c r="ET5" i="33"/>
  <c r="EL5" i="33"/>
  <c r="ED5" i="33"/>
  <c r="DV5" i="33"/>
  <c r="DN5" i="33"/>
  <c r="DF5" i="33"/>
  <c r="CX5" i="33"/>
  <c r="CP5" i="33"/>
  <c r="CH5" i="33"/>
  <c r="BZ5" i="33"/>
  <c r="BR5" i="33"/>
  <c r="BJ5" i="33"/>
  <c r="BB5" i="33"/>
  <c r="AT5" i="33"/>
  <c r="AL5" i="33"/>
  <c r="AD5" i="33"/>
  <c r="V5" i="33"/>
  <c r="N5" i="33"/>
  <c r="F5" i="33"/>
  <c r="JY5" i="33"/>
  <c r="JQ5" i="33"/>
  <c r="JI5" i="33"/>
  <c r="JA5" i="33"/>
  <c r="IS5" i="33"/>
  <c r="IK5" i="33"/>
  <c r="IC5" i="33"/>
  <c r="HU5" i="33"/>
  <c r="HM5" i="33"/>
  <c r="HE5" i="33"/>
  <c r="GW5" i="33"/>
  <c r="GO5" i="33"/>
  <c r="GG5" i="33"/>
  <c r="FY5" i="33"/>
  <c r="FQ5" i="33"/>
  <c r="FI5" i="33"/>
  <c r="FA5" i="33"/>
  <c r="ES5" i="33"/>
  <c r="EK5" i="33"/>
  <c r="EC5" i="33"/>
  <c r="DU5" i="33"/>
  <c r="DM5" i="33"/>
  <c r="DE5" i="33"/>
  <c r="CW5" i="33"/>
  <c r="CO5" i="33"/>
  <c r="CG5" i="33"/>
  <c r="BY5" i="33"/>
  <c r="BQ5" i="33"/>
  <c r="BI5" i="33"/>
  <c r="BA5" i="33"/>
  <c r="AS5" i="33"/>
  <c r="AK5" i="33"/>
  <c r="AC5" i="33"/>
  <c r="U5" i="33"/>
  <c r="M5" i="33"/>
  <c r="E5" i="33"/>
  <c r="DC5" i="33"/>
  <c r="CE5" i="33"/>
  <c r="BW5" i="33"/>
  <c r="BG5" i="33"/>
  <c r="AQ5" i="33"/>
  <c r="AA5" i="33"/>
  <c r="K5" i="33"/>
  <c r="JV5" i="33"/>
  <c r="JF5" i="33"/>
  <c r="IP5" i="33"/>
  <c r="HZ5" i="33"/>
  <c r="HJ5" i="33"/>
  <c r="GT5" i="33"/>
  <c r="JX5" i="33"/>
  <c r="JP5" i="33"/>
  <c r="JH5" i="33"/>
  <c r="IZ5" i="33"/>
  <c r="IR5" i="33"/>
  <c r="IJ5" i="33"/>
  <c r="IB5" i="33"/>
  <c r="HT5" i="33"/>
  <c r="HL5" i="33"/>
  <c r="HD5" i="33"/>
  <c r="GV5" i="33"/>
  <c r="GN5" i="33"/>
  <c r="GF5" i="33"/>
  <c r="FX5" i="33"/>
  <c r="FP5" i="33"/>
  <c r="FH5" i="33"/>
  <c r="EZ5" i="33"/>
  <c r="ER5" i="33"/>
  <c r="EJ5" i="33"/>
  <c r="EB5" i="33"/>
  <c r="DT5" i="33"/>
  <c r="DL5" i="33"/>
  <c r="DD5" i="33"/>
  <c r="CV5" i="33"/>
  <c r="CN5" i="33"/>
  <c r="CF5" i="33"/>
  <c r="BX5" i="33"/>
  <c r="BP5" i="33"/>
  <c r="BH5" i="33"/>
  <c r="AZ5" i="33"/>
  <c r="AR5" i="33"/>
  <c r="AJ5" i="33"/>
  <c r="AB5" i="33"/>
  <c r="T5" i="33"/>
  <c r="L5" i="33"/>
  <c r="D5" i="33"/>
  <c r="JW5" i="33"/>
  <c r="JO5" i="33"/>
  <c r="JG5" i="33"/>
  <c r="IY5" i="33"/>
  <c r="IQ5" i="33"/>
  <c r="II5" i="33"/>
  <c r="IA5" i="33"/>
  <c r="HS5" i="33"/>
  <c r="HK5" i="33"/>
  <c r="HC5" i="33"/>
  <c r="GU5" i="33"/>
  <c r="GM5" i="33"/>
  <c r="GE5" i="33"/>
  <c r="FW5" i="33"/>
  <c r="FO5" i="33"/>
  <c r="FG5" i="33"/>
  <c r="EY5" i="33"/>
  <c r="EQ5" i="33"/>
  <c r="EI5" i="33"/>
  <c r="EA5" i="33"/>
  <c r="DS5" i="33"/>
  <c r="DK5" i="33"/>
  <c r="CU5" i="33"/>
  <c r="CM5" i="33"/>
  <c r="BO5" i="33"/>
  <c r="AY5" i="33"/>
  <c r="AI5" i="33"/>
  <c r="S5" i="33"/>
  <c r="C5" i="33"/>
  <c r="JN5" i="33"/>
  <c r="IX5" i="33"/>
  <c r="IH5" i="33"/>
  <c r="HR5" i="33"/>
  <c r="HB5" i="33"/>
  <c r="GL5" i="33"/>
  <c r="FV5" i="33"/>
  <c r="FN5" i="33"/>
  <c r="FF5" i="33"/>
  <c r="JU5" i="33"/>
  <c r="JC5" i="33"/>
  <c r="IF5" i="33"/>
  <c r="HI5" i="33"/>
  <c r="GQ5" i="33"/>
  <c r="FU5" i="33"/>
  <c r="FC5" i="33"/>
  <c r="EM5" i="33"/>
  <c r="DW5" i="33"/>
  <c r="DG5" i="33"/>
  <c r="CQ5" i="33"/>
  <c r="CA5" i="33"/>
  <c r="BK5" i="33"/>
  <c r="AU5" i="33"/>
  <c r="AE5" i="33"/>
  <c r="O5" i="33"/>
  <c r="JT5" i="33"/>
  <c r="IW5" i="33"/>
  <c r="IE5" i="33"/>
  <c r="HH5" i="33"/>
  <c r="GK5" i="33"/>
  <c r="FT5" i="33"/>
  <c r="EX5" i="33"/>
  <c r="EH5" i="33"/>
  <c r="DR5" i="33"/>
  <c r="DB5" i="33"/>
  <c r="CL5" i="33"/>
  <c r="BV5" i="33"/>
  <c r="BF5" i="33"/>
  <c r="AP5" i="33"/>
  <c r="Z5" i="33"/>
  <c r="J5" i="33"/>
  <c r="JS5" i="33"/>
  <c r="IV5" i="33"/>
  <c r="HY5" i="33"/>
  <c r="HG5" i="33"/>
  <c r="GJ5" i="33"/>
  <c r="FS5" i="33"/>
  <c r="EW5" i="33"/>
  <c r="EG5" i="33"/>
  <c r="DQ5" i="33"/>
  <c r="DA5" i="33"/>
  <c r="CK5" i="33"/>
  <c r="BU5" i="33"/>
  <c r="BE5" i="33"/>
  <c r="AO5" i="33"/>
  <c r="Y5" i="33"/>
  <c r="I5" i="33"/>
  <c r="EF5" i="33"/>
  <c r="DP5" i="33"/>
  <c r="CJ5" i="33"/>
  <c r="BT5" i="33"/>
  <c r="AN5" i="33"/>
  <c r="X5" i="33"/>
  <c r="JL5" i="33"/>
  <c r="HW5" i="33"/>
  <c r="GD5" i="33"/>
  <c r="EU5" i="33"/>
  <c r="EE5" i="33"/>
  <c r="CY5" i="33"/>
  <c r="BS5" i="33"/>
  <c r="AM5" i="33"/>
  <c r="G5" i="33"/>
  <c r="IN5" i="33"/>
  <c r="GY5" i="33"/>
  <c r="FK5" i="33"/>
  <c r="DZ5" i="33"/>
  <c r="CT5" i="33"/>
  <c r="BN5" i="33"/>
  <c r="AH5" i="33"/>
  <c r="JE5" i="33"/>
  <c r="HP5" i="33"/>
  <c r="GB5" i="33"/>
  <c r="EO5" i="33"/>
  <c r="DI5" i="33"/>
  <c r="CC5" i="33"/>
  <c r="AW5" i="33"/>
  <c r="Q5" i="33"/>
  <c r="IG5" i="33"/>
  <c r="GR5" i="33"/>
  <c r="FD5" i="33"/>
  <c r="DX5" i="33"/>
  <c r="CR5" i="33"/>
  <c r="BL5" i="33"/>
  <c r="AF5" i="33"/>
  <c r="JM5" i="33"/>
  <c r="IU5" i="33"/>
  <c r="HX5" i="33"/>
  <c r="HA5" i="33"/>
  <c r="GI5" i="33"/>
  <c r="FM5" i="33"/>
  <c r="EV5" i="33"/>
  <c r="CZ5" i="33"/>
  <c r="BD5" i="33"/>
  <c r="H5" i="33"/>
  <c r="IO5" i="33"/>
  <c r="GZ5" i="33"/>
  <c r="FL5" i="33"/>
  <c r="DO5" i="33"/>
  <c r="CI5" i="33"/>
  <c r="BC5" i="33"/>
  <c r="W5" i="33"/>
  <c r="JK5" i="33"/>
  <c r="HQ5" i="33"/>
  <c r="GC5" i="33"/>
  <c r="EP5" i="33"/>
  <c r="DJ5" i="33"/>
  <c r="CD5" i="33"/>
  <c r="AX5" i="33"/>
  <c r="R5" i="33"/>
  <c r="IM5" i="33"/>
  <c r="GS5" i="33"/>
  <c r="FE5" i="33"/>
  <c r="DY5" i="33"/>
  <c r="CS5" i="33"/>
  <c r="BM5" i="33"/>
  <c r="AG5" i="33"/>
  <c r="JD5" i="33"/>
  <c r="HO5" i="33"/>
  <c r="GA5" i="33"/>
  <c r="EN5" i="33"/>
  <c r="DH5" i="33"/>
  <c r="CB5" i="33"/>
  <c r="AV5" i="33"/>
  <c r="P5" i="33"/>
  <c r="C7" i="33" l="1"/>
  <c r="J15" i="7" s="1"/>
  <c r="AT18" i="11" l="1"/>
  <c r="AT22" i="11" s="1"/>
  <c r="AT29" i="11" s="1"/>
  <c r="AU18" i="11"/>
  <c r="AV18" i="11"/>
  <c r="AW18" i="11"/>
  <c r="AX18" i="11"/>
  <c r="AY18" i="11"/>
  <c r="AZ18" i="11"/>
  <c r="BA18" i="11"/>
  <c r="BB18" i="11"/>
  <c r="BC18" i="11"/>
  <c r="BD18" i="11"/>
  <c r="BE18" i="11"/>
  <c r="BF18" i="11"/>
  <c r="BG18" i="11"/>
  <c r="BH18" i="11"/>
  <c r="BI18" i="11"/>
  <c r="BJ18" i="11"/>
  <c r="BK18" i="11"/>
  <c r="BL18" i="11"/>
  <c r="BM18" i="11"/>
  <c r="AT48" i="11"/>
  <c r="AU48" i="11"/>
  <c r="AV48" i="11"/>
  <c r="AW48" i="11"/>
  <c r="AX48" i="11"/>
  <c r="AY48" i="11"/>
  <c r="AZ48" i="11"/>
  <c r="BA48" i="11"/>
  <c r="BB48" i="11"/>
  <c r="BC48" i="11"/>
  <c r="BD48" i="11"/>
  <c r="BE48" i="11"/>
  <c r="BF48" i="11"/>
  <c r="BG48" i="11"/>
  <c r="BH48" i="11"/>
  <c r="BI48" i="11"/>
  <c r="BJ48" i="11"/>
  <c r="BK48" i="11"/>
  <c r="BL48" i="11"/>
  <c r="BM48" i="11"/>
  <c r="AZ56" i="11"/>
  <c r="BB56" i="11"/>
  <c r="BC56" i="11"/>
  <c r="BD56" i="11"/>
  <c r="BJ56" i="11"/>
  <c r="BK56" i="11"/>
  <c r="BL56" i="11"/>
  <c r="BM56" i="11"/>
  <c r="AT70" i="11"/>
  <c r="AU70" i="11"/>
  <c r="AV70" i="11"/>
  <c r="AW70" i="11"/>
  <c r="AX70" i="11"/>
  <c r="AY70" i="11"/>
  <c r="AZ70" i="11"/>
  <c r="BA70" i="11"/>
  <c r="BB70" i="11"/>
  <c r="BC70" i="11"/>
  <c r="BD70" i="11"/>
  <c r="BE70" i="11"/>
  <c r="BF70" i="11"/>
  <c r="BG70" i="11"/>
  <c r="BH70" i="11"/>
  <c r="BI70" i="11"/>
  <c r="BJ70" i="11"/>
  <c r="BK70" i="11"/>
  <c r="BL70" i="11"/>
  <c r="BM70" i="11"/>
  <c r="AT29" i="22" l="1"/>
  <c r="AT33" i="22" s="1"/>
  <c r="AT38" i="11"/>
  <c r="BE19" i="11"/>
  <c r="BE22" i="11"/>
  <c r="BE29" i="11" s="1"/>
  <c r="BD19" i="11"/>
  <c r="BD22" i="11"/>
  <c r="BD29" i="11" s="1"/>
  <c r="BC19" i="11"/>
  <c r="BC22" i="11"/>
  <c r="BC29" i="11" s="1"/>
  <c r="BB19" i="11"/>
  <c r="BB22" i="11"/>
  <c r="BB29" i="11" s="1"/>
  <c r="BM19" i="11"/>
  <c r="BM22" i="11"/>
  <c r="BM29" i="11" s="1"/>
  <c r="BA19" i="11"/>
  <c r="BA22" i="11"/>
  <c r="BA29" i="11" s="1"/>
  <c r="BL19" i="11"/>
  <c r="BL22" i="11"/>
  <c r="BL29" i="11" s="1"/>
  <c r="AZ19" i="11"/>
  <c r="AZ22" i="11"/>
  <c r="AZ29" i="11" s="1"/>
  <c r="BK19" i="11"/>
  <c r="BK22" i="11"/>
  <c r="BK29" i="11" s="1"/>
  <c r="AY19" i="11"/>
  <c r="AY22" i="11"/>
  <c r="AY29" i="11" s="1"/>
  <c r="BJ19" i="11"/>
  <c r="BJ22" i="11"/>
  <c r="BJ29" i="11" s="1"/>
  <c r="AX19" i="11"/>
  <c r="AX22" i="11"/>
  <c r="AX29" i="11" s="1"/>
  <c r="BI19" i="11"/>
  <c r="BI22" i="11"/>
  <c r="BI29" i="11" s="1"/>
  <c r="AW19" i="11"/>
  <c r="AW22" i="11"/>
  <c r="AW29" i="11" s="1"/>
  <c r="BH19" i="11"/>
  <c r="BH22" i="11"/>
  <c r="BH29" i="11" s="1"/>
  <c r="AV19" i="11"/>
  <c r="AV22" i="11"/>
  <c r="AV29" i="11" s="1"/>
  <c r="BG19" i="11"/>
  <c r="BG22" i="11"/>
  <c r="BG29" i="11" s="1"/>
  <c r="AU19" i="11"/>
  <c r="AU22" i="11"/>
  <c r="AU29" i="11" s="1"/>
  <c r="BF19" i="11"/>
  <c r="BF22" i="11"/>
  <c r="BF29" i="11" s="1"/>
  <c r="AR213" i="34"/>
  <c r="AR214" i="34" s="1"/>
  <c r="AT19" i="11"/>
  <c r="AT23" i="11" s="1"/>
  <c r="BH23" i="11"/>
  <c r="BF213" i="34"/>
  <c r="BF214" i="34" s="1"/>
  <c r="BG23" i="11"/>
  <c r="BE213" i="34"/>
  <c r="BE214" i="34" s="1"/>
  <c r="BM23" i="11"/>
  <c r="BK213" i="34"/>
  <c r="BK214" i="34" s="1"/>
  <c r="BE23" i="11"/>
  <c r="BC213" i="34"/>
  <c r="BC214" i="34" s="1"/>
  <c r="BI23" i="11"/>
  <c r="BG213" i="34"/>
  <c r="BG214" i="34" s="1"/>
  <c r="BF23" i="11"/>
  <c r="BD213" i="34"/>
  <c r="BD214" i="34" s="1"/>
  <c r="BL23" i="11"/>
  <c r="BJ213" i="34"/>
  <c r="BJ214" i="34" s="1"/>
  <c r="BD23" i="11"/>
  <c r="BB213" i="34"/>
  <c r="BB214" i="34" s="1"/>
  <c r="BK23" i="11"/>
  <c r="BI213" i="34"/>
  <c r="BI214" i="34" s="1"/>
  <c r="BC23" i="11"/>
  <c r="BA213" i="34"/>
  <c r="BA214" i="34" s="1"/>
  <c r="BJ23" i="11"/>
  <c r="BH213" i="34"/>
  <c r="BH214" i="34" s="1"/>
  <c r="BB23" i="11"/>
  <c r="AZ213" i="34"/>
  <c r="AZ214" i="34" s="1"/>
  <c r="BA23" i="11"/>
  <c r="AY213" i="34"/>
  <c r="AY214" i="34" s="1"/>
  <c r="AZ23" i="11"/>
  <c r="AX213" i="34"/>
  <c r="AX214" i="34" s="1"/>
  <c r="AY23" i="11"/>
  <c r="AW213" i="34"/>
  <c r="AW214" i="34" s="1"/>
  <c r="AX23" i="11"/>
  <c r="AV213" i="34"/>
  <c r="AV214" i="34" s="1"/>
  <c r="AW23" i="11"/>
  <c r="AU213" i="34"/>
  <c r="AU214" i="34" s="1"/>
  <c r="AV23" i="11"/>
  <c r="AT213" i="34"/>
  <c r="AT214" i="34" s="1"/>
  <c r="AU23" i="11"/>
  <c r="AS213" i="34"/>
  <c r="AS214" i="34" s="1"/>
  <c r="BL110" i="11"/>
  <c r="BD110" i="11"/>
  <c r="AV110" i="11"/>
  <c r="BC110" i="11"/>
  <c r="AU110" i="11"/>
  <c r="BJ110" i="11"/>
  <c r="BB110" i="11"/>
  <c r="AT110" i="11"/>
  <c r="AZ61" i="11"/>
  <c r="BJ61" i="11"/>
  <c r="BL61" i="11"/>
  <c r="BI110" i="11"/>
  <c r="BA110" i="11"/>
  <c r="BG110" i="11"/>
  <c r="AY110" i="11"/>
  <c r="BF110" i="11"/>
  <c r="AX110" i="11"/>
  <c r="BM61" i="11"/>
  <c r="BK61" i="11"/>
  <c r="BE110" i="11"/>
  <c r="BM110" i="11"/>
  <c r="AW110" i="11"/>
  <c r="BK110" i="11"/>
  <c r="BH110" i="11"/>
  <c r="AZ110" i="11"/>
  <c r="BD61" i="11"/>
  <c r="BC61" i="11"/>
  <c r="BB61" i="11"/>
  <c r="BG29" i="22" l="1"/>
  <c r="BG33" i="22" s="1"/>
  <c r="BG38" i="11"/>
  <c r="BJ29" i="22"/>
  <c r="BJ33" i="22" s="1"/>
  <c r="BJ38" i="11"/>
  <c r="BM29" i="22"/>
  <c r="BM33" i="22" s="1"/>
  <c r="BM38" i="11"/>
  <c r="AV29" i="22"/>
  <c r="AV33" i="22" s="1"/>
  <c r="AV38" i="11"/>
  <c r="BB29" i="22"/>
  <c r="BB33" i="22" s="1"/>
  <c r="BB38" i="11"/>
  <c r="AY29" i="22"/>
  <c r="AY33" i="22" s="1"/>
  <c r="AY38" i="11"/>
  <c r="BH29" i="22"/>
  <c r="BH33" i="22" s="1"/>
  <c r="BH38" i="11"/>
  <c r="BK29" i="22"/>
  <c r="BK33" i="22" s="1"/>
  <c r="BK38" i="11"/>
  <c r="BC29" i="22"/>
  <c r="BC33" i="22" s="1"/>
  <c r="BC38" i="11"/>
  <c r="AW29" i="22"/>
  <c r="AW33" i="22" s="1"/>
  <c r="AW38" i="11"/>
  <c r="AZ29" i="22"/>
  <c r="AZ33" i="22" s="1"/>
  <c r="AZ38" i="11"/>
  <c r="BD29" i="22"/>
  <c r="BD33" i="22" s="1"/>
  <c r="BD38" i="11"/>
  <c r="BF29" i="22"/>
  <c r="BF33" i="22" s="1"/>
  <c r="BF38" i="11"/>
  <c r="BI29" i="22"/>
  <c r="BI33" i="22" s="1"/>
  <c r="BI38" i="11"/>
  <c r="BL29" i="22"/>
  <c r="BL33" i="22" s="1"/>
  <c r="BL38" i="11"/>
  <c r="BE29" i="22"/>
  <c r="BE33" i="22" s="1"/>
  <c r="BE38" i="11"/>
  <c r="AU29" i="22"/>
  <c r="AU33" i="22" s="1"/>
  <c r="AU38" i="11"/>
  <c r="AX29" i="22"/>
  <c r="AX33" i="22" s="1"/>
  <c r="AX38" i="11"/>
  <c r="BA29" i="22"/>
  <c r="BA33" i="22" s="1"/>
  <c r="BA38" i="11"/>
  <c r="AT43" i="22"/>
  <c r="AZ217" i="34"/>
  <c r="AZ218" i="34" s="1"/>
  <c r="BK217" i="34"/>
  <c r="BK218" i="34" s="1"/>
  <c r="BB217" i="34"/>
  <c r="BB218" i="34" s="1"/>
  <c r="BJ217" i="34"/>
  <c r="BJ218" i="34" s="1"/>
  <c r="BA217" i="34"/>
  <c r="BA218" i="34" s="1"/>
  <c r="BD217" i="34"/>
  <c r="BD218" i="34" s="1"/>
  <c r="BE217" i="34"/>
  <c r="BE218" i="34" s="1"/>
  <c r="BH217" i="34"/>
  <c r="BH218" i="34" s="1"/>
  <c r="BC217" i="34"/>
  <c r="BC218" i="34" s="1"/>
  <c r="BI217" i="34"/>
  <c r="BI218" i="34" s="1"/>
  <c r="BG217" i="34"/>
  <c r="BG218" i="34" s="1"/>
  <c r="BF217" i="34"/>
  <c r="BF218" i="34" s="1"/>
  <c r="AV217" i="34"/>
  <c r="AV218" i="34" s="1"/>
  <c r="AR217" i="34"/>
  <c r="AR218" i="34" s="1"/>
  <c r="AS217" i="34"/>
  <c r="AS218" i="34" s="1"/>
  <c r="AW217" i="34"/>
  <c r="AW218" i="34" s="1"/>
  <c r="AY217" i="34"/>
  <c r="AY218" i="34" s="1"/>
  <c r="AT217" i="34"/>
  <c r="AT218" i="34" s="1"/>
  <c r="AX217" i="34"/>
  <c r="AX218" i="34" s="1"/>
  <c r="AU217" i="34"/>
  <c r="AU218" i="34" s="1"/>
  <c r="D100" i="11"/>
  <c r="D99" i="11"/>
  <c r="D98" i="11"/>
  <c r="D91" i="11"/>
  <c r="D90" i="11"/>
  <c r="D89" i="11"/>
  <c r="D88" i="11"/>
  <c r="D85" i="11"/>
  <c r="D76" i="11"/>
  <c r="D75" i="11"/>
  <c r="D74" i="11"/>
  <c r="D73" i="11"/>
  <c r="D69" i="11"/>
  <c r="D68" i="11"/>
  <c r="D67" i="11"/>
  <c r="D66" i="11"/>
  <c r="D65" i="11"/>
  <c r="D54" i="11"/>
  <c r="D53" i="11"/>
  <c r="D52" i="11"/>
  <c r="D51" i="11"/>
  <c r="D47" i="11"/>
  <c r="D46" i="11"/>
  <c r="D45" i="11"/>
  <c r="D44" i="11"/>
  <c r="D28" i="11"/>
  <c r="D27" i="11"/>
  <c r="D26" i="11"/>
  <c r="D25" i="11"/>
  <c r="D21" i="11"/>
  <c r="D20" i="11"/>
  <c r="D17" i="11"/>
  <c r="D16" i="11"/>
  <c r="AP110" i="11"/>
  <c r="AO110" i="11"/>
  <c r="AN110" i="11"/>
  <c r="AI110" i="11"/>
  <c r="AS70" i="11"/>
  <c r="AR70" i="11"/>
  <c r="AQ70" i="11"/>
  <c r="AP70" i="11"/>
  <c r="AO70" i="11"/>
  <c r="AN70" i="11"/>
  <c r="AM70" i="11"/>
  <c r="AL70" i="11"/>
  <c r="AK70" i="11"/>
  <c r="AJ70" i="11"/>
  <c r="AI70" i="11"/>
  <c r="AH70" i="11"/>
  <c r="AS48" i="11"/>
  <c r="AR48" i="11"/>
  <c r="AQ48" i="11"/>
  <c r="AP48" i="11"/>
  <c r="AO48" i="11"/>
  <c r="AN48" i="11"/>
  <c r="AM48" i="11"/>
  <c r="AL48" i="11"/>
  <c r="AK48" i="11"/>
  <c r="AJ48" i="11"/>
  <c r="AI48" i="11"/>
  <c r="AH48" i="11"/>
  <c r="AS18" i="11"/>
  <c r="AR18" i="11"/>
  <c r="AQ18" i="11"/>
  <c r="AP18" i="11"/>
  <c r="AO18" i="11"/>
  <c r="AN18" i="11"/>
  <c r="AM18" i="11"/>
  <c r="AL18" i="11"/>
  <c r="AK18" i="11"/>
  <c r="AJ18" i="11"/>
  <c r="AI18" i="11"/>
  <c r="AH18" i="11"/>
  <c r="BL43" i="22" l="1"/>
  <c r="BB43" i="22"/>
  <c r="BG43" i="22"/>
  <c r="AY43" i="22"/>
  <c r="BC43" i="22"/>
  <c r="AZ43" i="22"/>
  <c r="AU43" i="22"/>
  <c r="AW43" i="22"/>
  <c r="BK43" i="22"/>
  <c r="BF43" i="22"/>
  <c r="BA43" i="22"/>
  <c r="AV43" i="22"/>
  <c r="BM43" i="22"/>
  <c r="BD43" i="22"/>
  <c r="BJ43" i="22"/>
  <c r="BI43" i="22"/>
  <c r="BH43" i="22"/>
  <c r="AX43" i="22"/>
  <c r="BE43" i="22"/>
  <c r="AL19" i="11"/>
  <c r="AL22" i="11"/>
  <c r="AL29" i="11" s="1"/>
  <c r="AM19" i="11"/>
  <c r="AM22" i="11"/>
  <c r="AM29" i="11" s="1"/>
  <c r="AN19" i="11"/>
  <c r="AN22" i="11"/>
  <c r="AN29" i="11" s="1"/>
  <c r="AK19" i="11"/>
  <c r="AK22" i="11"/>
  <c r="AK29" i="11" s="1"/>
  <c r="AO19" i="11"/>
  <c r="AO22" i="11"/>
  <c r="AO29" i="11" s="1"/>
  <c r="AQ19" i="11"/>
  <c r="AQ22" i="11"/>
  <c r="AQ29" i="11" s="1"/>
  <c r="AR19" i="11"/>
  <c r="AR22" i="11"/>
  <c r="AR29" i="11" s="1"/>
  <c r="AP19" i="11"/>
  <c r="AP22" i="11"/>
  <c r="AP29" i="11" s="1"/>
  <c r="AS19" i="11"/>
  <c r="AS22" i="11"/>
  <c r="AS29" i="11" s="1"/>
  <c r="AH19" i="11"/>
  <c r="AH22" i="11"/>
  <c r="AH29" i="11" s="1"/>
  <c r="AI19" i="11"/>
  <c r="AI22" i="11"/>
  <c r="AI29" i="11" s="1"/>
  <c r="AJ19" i="11"/>
  <c r="AJ22" i="11"/>
  <c r="AJ29" i="11" s="1"/>
  <c r="BH31" i="11"/>
  <c r="BF226" i="34"/>
  <c r="BH227" i="34"/>
  <c r="BH226" i="34"/>
  <c r="BJ227" i="34"/>
  <c r="BJ226" i="34"/>
  <c r="BG31" i="11"/>
  <c r="BE226" i="34"/>
  <c r="BI31" i="11"/>
  <c r="BG226" i="34"/>
  <c r="BB227" i="34"/>
  <c r="BB226" i="34"/>
  <c r="BI227" i="34"/>
  <c r="BI226" i="34"/>
  <c r="BF31" i="11"/>
  <c r="BD226" i="34"/>
  <c r="BK227" i="34"/>
  <c r="BK226" i="34"/>
  <c r="BE31" i="11"/>
  <c r="BC226" i="34"/>
  <c r="BA227" i="34"/>
  <c r="BA226" i="34"/>
  <c r="AZ227" i="34"/>
  <c r="AZ226" i="34"/>
  <c r="AV226" i="34"/>
  <c r="AU226" i="34"/>
  <c r="AW31" i="11"/>
  <c r="AY31" i="11"/>
  <c r="AW226" i="34"/>
  <c r="AQ23" i="11"/>
  <c r="AO213" i="34"/>
  <c r="AO214" i="34" s="1"/>
  <c r="AR23" i="11"/>
  <c r="AP213" i="34"/>
  <c r="AP214" i="34" s="1"/>
  <c r="AX227" i="34"/>
  <c r="AX226" i="34"/>
  <c r="AS226" i="34"/>
  <c r="AN23" i="11"/>
  <c r="AL213" i="34"/>
  <c r="AL214" i="34" s="1"/>
  <c r="BA31" i="11"/>
  <c r="AY226" i="34"/>
  <c r="AO23" i="11"/>
  <c r="AM213" i="34"/>
  <c r="AM214" i="34" s="1"/>
  <c r="AP23" i="11"/>
  <c r="AN213" i="34"/>
  <c r="AN214" i="34" s="1"/>
  <c r="AK23" i="11"/>
  <c r="AI213" i="34"/>
  <c r="AI214" i="34" s="1"/>
  <c r="AS23" i="11"/>
  <c r="AQ213" i="34"/>
  <c r="AQ214" i="34" s="1"/>
  <c r="AL23" i="11"/>
  <c r="AJ213" i="34"/>
  <c r="AJ214" i="34" s="1"/>
  <c r="AT226" i="34"/>
  <c r="AR226" i="34"/>
  <c r="AT31" i="11"/>
  <c r="AM23" i="11"/>
  <c r="AK213" i="34"/>
  <c r="AK214" i="34" s="1"/>
  <c r="AH23" i="11"/>
  <c r="AF213" i="34"/>
  <c r="AF214" i="34" s="1"/>
  <c r="AI23" i="11"/>
  <c r="AG213" i="34"/>
  <c r="AG214" i="34" s="1"/>
  <c r="AJ23" i="11"/>
  <c r="AH213" i="34"/>
  <c r="AH214" i="34" s="1"/>
  <c r="AQ110" i="11"/>
  <c r="AJ110" i="11"/>
  <c r="AR110" i="11"/>
  <c r="AK110" i="11"/>
  <c r="AL110" i="11"/>
  <c r="AM110" i="11"/>
  <c r="AH110" i="11"/>
  <c r="AS110" i="11"/>
  <c r="AY219" i="34"/>
  <c r="AY220" i="34" s="1"/>
  <c r="BG219" i="34"/>
  <c r="BG220" i="34" s="1"/>
  <c r="AU219" i="34"/>
  <c r="AU220" i="34" s="1"/>
  <c r="BC219" i="34"/>
  <c r="BC220" i="34" s="1"/>
  <c r="BK219" i="34"/>
  <c r="BK220" i="34" s="1"/>
  <c r="AS219" i="34"/>
  <c r="AS220" i="34" s="1"/>
  <c r="AW219" i="34"/>
  <c r="AW220" i="34" s="1"/>
  <c r="BA219" i="34"/>
  <c r="BA220" i="34" s="1"/>
  <c r="BE219" i="34"/>
  <c r="BE220" i="34" s="1"/>
  <c r="BI219" i="34"/>
  <c r="BI220" i="34" s="1"/>
  <c r="AT219" i="34"/>
  <c r="AT220" i="34" s="1"/>
  <c r="AX219" i="34"/>
  <c r="AX220" i="34" s="1"/>
  <c r="BB219" i="34"/>
  <c r="BB220" i="34" s="1"/>
  <c r="BF219" i="34"/>
  <c r="BF220" i="34" s="1"/>
  <c r="BJ219" i="34"/>
  <c r="BJ220" i="34" s="1"/>
  <c r="AV219" i="34"/>
  <c r="AV220" i="34" s="1"/>
  <c r="AR219" i="34"/>
  <c r="AR220" i="34" s="1"/>
  <c r="BH219" i="34"/>
  <c r="BH220" i="34" s="1"/>
  <c r="BD219" i="34"/>
  <c r="BD220" i="34" s="1"/>
  <c r="AZ219" i="34"/>
  <c r="AZ220" i="34" s="1"/>
  <c r="BM62" i="16"/>
  <c r="BL62" i="16"/>
  <c r="BK62" i="16"/>
  <c r="BJ62" i="16"/>
  <c r="BI62" i="16"/>
  <c r="BH62" i="16"/>
  <c r="BG62" i="16"/>
  <c r="BF62" i="16"/>
  <c r="BE62" i="16"/>
  <c r="BD62" i="16"/>
  <c r="BC62" i="16"/>
  <c r="BB62" i="16"/>
  <c r="BA62" i="16"/>
  <c r="AZ62" i="16"/>
  <c r="AY62" i="16"/>
  <c r="AX62" i="16"/>
  <c r="AW62" i="16"/>
  <c r="AV62" i="16"/>
  <c r="AU62" i="16"/>
  <c r="AT62" i="16"/>
  <c r="AS62" i="16"/>
  <c r="AR62" i="16"/>
  <c r="AQ62" i="16"/>
  <c r="AP62" i="16"/>
  <c r="AO62" i="16"/>
  <c r="AN62" i="16"/>
  <c r="AM62" i="16"/>
  <c r="AL62" i="16"/>
  <c r="AK62" i="16"/>
  <c r="AJ62" i="16"/>
  <c r="AI62" i="16"/>
  <c r="AH62" i="16"/>
  <c r="BM46" i="16"/>
  <c r="BL46" i="16"/>
  <c r="BK46" i="16"/>
  <c r="BJ46" i="16"/>
  <c r="BI46" i="16"/>
  <c r="BH46" i="16"/>
  <c r="BG46" i="16"/>
  <c r="BF46" i="16"/>
  <c r="BE46" i="16"/>
  <c r="BD46" i="16"/>
  <c r="BC46" i="16"/>
  <c r="BB46" i="16"/>
  <c r="BA46" i="16"/>
  <c r="AZ46" i="16"/>
  <c r="AY46" i="16"/>
  <c r="AX46" i="16"/>
  <c r="AW46" i="16"/>
  <c r="AV46" i="16"/>
  <c r="AU46" i="16"/>
  <c r="AT46" i="16"/>
  <c r="AS46" i="16"/>
  <c r="AR46" i="16"/>
  <c r="AQ46" i="16"/>
  <c r="AP46" i="16"/>
  <c r="AO46" i="16"/>
  <c r="AN46" i="16"/>
  <c r="AM46" i="16"/>
  <c r="AL46" i="16"/>
  <c r="AK46" i="16"/>
  <c r="AJ46" i="16"/>
  <c r="AI46" i="16"/>
  <c r="AH46" i="16"/>
  <c r="BM45" i="16"/>
  <c r="BL45" i="16"/>
  <c r="BK45" i="16"/>
  <c r="BJ45" i="16"/>
  <c r="BI45" i="16"/>
  <c r="BH45" i="16"/>
  <c r="BG45" i="16"/>
  <c r="BF45" i="16"/>
  <c r="BE45" i="16"/>
  <c r="BD45" i="16"/>
  <c r="BC45" i="16"/>
  <c r="BB45" i="16"/>
  <c r="BA45" i="16"/>
  <c r="AZ45" i="16"/>
  <c r="AY45" i="16"/>
  <c r="AX45" i="16"/>
  <c r="AW45" i="16"/>
  <c r="AV45" i="16"/>
  <c r="AU45" i="16"/>
  <c r="AT45" i="16"/>
  <c r="AS45" i="16"/>
  <c r="AR45" i="16"/>
  <c r="AQ45" i="16"/>
  <c r="AP45" i="16"/>
  <c r="AO45" i="16"/>
  <c r="AN45" i="16"/>
  <c r="AM45" i="16"/>
  <c r="AL45" i="16"/>
  <c r="AK45" i="16"/>
  <c r="AJ45" i="16"/>
  <c r="AI45" i="16"/>
  <c r="AH45" i="16"/>
  <c r="BM31" i="16"/>
  <c r="BL31" i="16"/>
  <c r="BK31" i="16"/>
  <c r="BJ31" i="16"/>
  <c r="BI31" i="16"/>
  <c r="BI107" i="11" s="1"/>
  <c r="BH31" i="16"/>
  <c r="BH107" i="11" s="1"/>
  <c r="BG31" i="16"/>
  <c r="BG107" i="11" s="1"/>
  <c r="BF31" i="16"/>
  <c r="BF107" i="11" s="1"/>
  <c r="BE31" i="16"/>
  <c r="BE107" i="11" s="1"/>
  <c r="BD31" i="16"/>
  <c r="BD107" i="11" s="1"/>
  <c r="BC31" i="16"/>
  <c r="BC107" i="11" s="1"/>
  <c r="BB31" i="16"/>
  <c r="BB107" i="11" s="1"/>
  <c r="BA31" i="16"/>
  <c r="AZ31" i="16"/>
  <c r="AY31" i="16"/>
  <c r="AX31" i="16"/>
  <c r="AW31" i="16"/>
  <c r="AW107" i="11" s="1"/>
  <c r="AV31" i="16"/>
  <c r="AV107" i="11" s="1"/>
  <c r="AU31" i="16"/>
  <c r="AU107" i="11" s="1"/>
  <c r="AT31" i="16"/>
  <c r="AT107" i="11" s="1"/>
  <c r="AS31" i="16"/>
  <c r="AS107" i="11" s="1"/>
  <c r="AR31" i="16"/>
  <c r="AR107" i="11" s="1"/>
  <c r="AQ31" i="16"/>
  <c r="AQ107" i="11" s="1"/>
  <c r="AP31" i="16"/>
  <c r="AP107" i="11" s="1"/>
  <c r="AO31" i="16"/>
  <c r="AN31" i="16"/>
  <c r="AM31" i="16"/>
  <c r="AL31" i="16"/>
  <c r="AK31" i="16"/>
  <c r="AK107" i="11" s="1"/>
  <c r="AJ31" i="16"/>
  <c r="AJ107" i="11" s="1"/>
  <c r="AI31" i="16"/>
  <c r="AI107" i="11" s="1"/>
  <c r="AH31" i="16"/>
  <c r="AH107" i="11" s="1"/>
  <c r="BM30" i="16"/>
  <c r="BL30" i="16"/>
  <c r="BK30" i="16"/>
  <c r="BJ30" i="16"/>
  <c r="BI30" i="16"/>
  <c r="BH30" i="16"/>
  <c r="BG30" i="16"/>
  <c r="BF30" i="16"/>
  <c r="BE30" i="16"/>
  <c r="BD30" i="16"/>
  <c r="BC30" i="16"/>
  <c r="BB30" i="16"/>
  <c r="BA30" i="16"/>
  <c r="AZ30" i="16"/>
  <c r="AY30" i="16"/>
  <c r="AX30" i="16"/>
  <c r="AW30" i="16"/>
  <c r="AV30" i="16"/>
  <c r="AU30" i="16"/>
  <c r="AT30" i="16"/>
  <c r="AS30" i="16"/>
  <c r="AR30" i="16"/>
  <c r="AQ30" i="16"/>
  <c r="AP30" i="16"/>
  <c r="AO30" i="16"/>
  <c r="AN30" i="16"/>
  <c r="AM30" i="16"/>
  <c r="AL30" i="16"/>
  <c r="AK30" i="16"/>
  <c r="AJ30" i="16"/>
  <c r="AI30" i="16"/>
  <c r="AH30" i="16"/>
  <c r="AP29" i="22" l="1"/>
  <c r="AP33" i="22" s="1"/>
  <c r="AP38" i="11"/>
  <c r="AM29" i="22"/>
  <c r="AM33" i="22" s="1"/>
  <c r="AM38" i="11"/>
  <c r="AR29" i="22"/>
  <c r="AR33" i="22" s="1"/>
  <c r="AR38" i="11"/>
  <c r="AL29" i="22"/>
  <c r="AL33" i="22" s="1"/>
  <c r="AL38" i="11"/>
  <c r="AJ29" i="22"/>
  <c r="AJ33" i="22" s="1"/>
  <c r="AJ38" i="11"/>
  <c r="AQ29" i="22"/>
  <c r="AQ33" i="22" s="1"/>
  <c r="AQ38" i="11"/>
  <c r="AI29" i="22"/>
  <c r="AI33" i="22" s="1"/>
  <c r="AI38" i="11"/>
  <c r="AO29" i="22"/>
  <c r="AO33" i="22" s="1"/>
  <c r="AO38" i="11"/>
  <c r="AH29" i="22"/>
  <c r="AH33" i="22" s="1"/>
  <c r="AH38" i="11"/>
  <c r="AK29" i="22"/>
  <c r="AK33" i="22" s="1"/>
  <c r="AK38" i="11"/>
  <c r="AS29" i="22"/>
  <c r="AS33" i="22" s="1"/>
  <c r="AS38" i="11"/>
  <c r="AN29" i="22"/>
  <c r="AN33" i="22" s="1"/>
  <c r="AN38" i="11"/>
  <c r="AL107" i="11"/>
  <c r="AX107" i="11"/>
  <c r="BJ107" i="11"/>
  <c r="AM107" i="11"/>
  <c r="AY107" i="11"/>
  <c r="BK107" i="11"/>
  <c r="AN107" i="11"/>
  <c r="AZ107" i="11"/>
  <c r="BL107" i="11"/>
  <c r="AO107" i="11"/>
  <c r="BA107" i="11"/>
  <c r="BM107" i="11"/>
  <c r="BM31" i="11"/>
  <c r="BK228" i="34" s="1"/>
  <c r="BK229" i="34" s="1"/>
  <c r="BG228" i="34"/>
  <c r="BG229" i="34" s="1"/>
  <c r="BI32" i="11"/>
  <c r="AW228" i="34"/>
  <c r="AW229" i="34" s="1"/>
  <c r="AY32" i="11"/>
  <c r="BE228" i="34"/>
  <c r="BE229" i="34" s="1"/>
  <c r="BG32" i="11"/>
  <c r="AU228" i="34"/>
  <c r="AU229" i="34" s="1"/>
  <c r="AW32" i="11"/>
  <c r="AY228" i="34"/>
  <c r="AY229" i="34" s="1"/>
  <c r="BA32" i="11"/>
  <c r="BC228" i="34"/>
  <c r="BC229" i="34" s="1"/>
  <c r="BE32" i="11"/>
  <c r="AR228" i="34"/>
  <c r="AR229" i="34" s="1"/>
  <c r="AT32" i="11"/>
  <c r="BF228" i="34"/>
  <c r="BF229" i="34" s="1"/>
  <c r="BH32" i="11"/>
  <c r="BD228" i="34"/>
  <c r="BD229" i="34" s="1"/>
  <c r="BF32" i="11"/>
  <c r="BJ31" i="11"/>
  <c r="BK31" i="11"/>
  <c r="BI56" i="11"/>
  <c r="BI61" i="11" s="1"/>
  <c r="BG227" i="34"/>
  <c r="BB31" i="11"/>
  <c r="BE56" i="11"/>
  <c r="BE61" i="11" s="1"/>
  <c r="BC227" i="34"/>
  <c r="BF56" i="11"/>
  <c r="BF61" i="11" s="1"/>
  <c r="BD227" i="34"/>
  <c r="AZ31" i="11"/>
  <c r="BD31" i="11"/>
  <c r="BG56" i="11"/>
  <c r="BG61" i="11" s="1"/>
  <c r="BE227" i="34"/>
  <c r="BC31" i="11"/>
  <c r="BL31" i="11"/>
  <c r="BH56" i="11"/>
  <c r="BH61" i="11" s="1"/>
  <c r="BF227" i="34"/>
  <c r="AU56" i="11"/>
  <c r="AU61" i="11" s="1"/>
  <c r="AS227" i="34"/>
  <c r="AU31" i="11"/>
  <c r="AO217" i="34"/>
  <c r="AO218" i="34" s="1"/>
  <c r="AJ217" i="34"/>
  <c r="AJ218" i="34" s="1"/>
  <c r="AM217" i="34"/>
  <c r="AM218" i="34" s="1"/>
  <c r="AK217" i="34"/>
  <c r="AK218" i="34" s="1"/>
  <c r="AY56" i="11"/>
  <c r="AY61" i="11" s="1"/>
  <c r="AW227" i="34"/>
  <c r="AT56" i="11"/>
  <c r="AT61" i="11" s="1"/>
  <c r="AR227" i="34"/>
  <c r="AQ217" i="34"/>
  <c r="AQ218" i="34" s="1"/>
  <c r="AW56" i="11"/>
  <c r="AW61" i="11" s="1"/>
  <c r="AU227" i="34"/>
  <c r="AN217" i="34"/>
  <c r="AN218" i="34" s="1"/>
  <c r="AX56" i="11"/>
  <c r="AX61" i="11" s="1"/>
  <c r="AV227" i="34"/>
  <c r="BA56" i="11"/>
  <c r="BA61" i="11" s="1"/>
  <c r="AY227" i="34"/>
  <c r="AI217" i="34"/>
  <c r="AI218" i="34" s="1"/>
  <c r="AP217" i="34"/>
  <c r="AP218" i="34" s="1"/>
  <c r="AX31" i="11"/>
  <c r="AV56" i="11"/>
  <c r="AV61" i="11" s="1"/>
  <c r="AT227" i="34"/>
  <c r="AV31" i="11"/>
  <c r="AL217" i="34"/>
  <c r="AL218" i="34" s="1"/>
  <c r="AH217" i="34"/>
  <c r="AH218" i="34" s="1"/>
  <c r="AG217" i="34"/>
  <c r="AG218" i="34" s="1"/>
  <c r="AF217" i="34"/>
  <c r="AF218" i="34" s="1"/>
  <c r="AO43" i="22" l="1"/>
  <c r="AQ43" i="22"/>
  <c r="AR43" i="22"/>
  <c r="AN43" i="22"/>
  <c r="AP43" i="22"/>
  <c r="AS43" i="22"/>
  <c r="AL43" i="22"/>
  <c r="AK43" i="22"/>
  <c r="AI43" i="22"/>
  <c r="AJ43" i="22"/>
  <c r="AM43" i="22"/>
  <c r="AH43" i="22"/>
  <c r="BM32" i="11"/>
  <c r="AT228" i="34"/>
  <c r="AT229" i="34" s="1"/>
  <c r="AV32" i="11"/>
  <c r="AX228" i="34"/>
  <c r="AX229" i="34" s="1"/>
  <c r="AZ32" i="11"/>
  <c r="BI228" i="34"/>
  <c r="BI229" i="34" s="1"/>
  <c r="BK32" i="11"/>
  <c r="BH228" i="34"/>
  <c r="BH229" i="34" s="1"/>
  <c r="BJ32" i="11"/>
  <c r="BB228" i="34"/>
  <c r="BB229" i="34" s="1"/>
  <c r="BD32" i="11"/>
  <c r="AV228" i="34"/>
  <c r="AV229" i="34" s="1"/>
  <c r="AX32" i="11"/>
  <c r="BJ228" i="34"/>
  <c r="BJ229" i="34" s="1"/>
  <c r="BL32" i="11"/>
  <c r="BA228" i="34"/>
  <c r="BA229" i="34" s="1"/>
  <c r="BC32" i="11"/>
  <c r="AZ228" i="34"/>
  <c r="AZ229" i="34" s="1"/>
  <c r="BB32" i="11"/>
  <c r="AS228" i="34"/>
  <c r="AS229" i="34" s="1"/>
  <c r="AU32" i="11"/>
  <c r="AM226" i="34"/>
  <c r="AM219" i="34"/>
  <c r="AM220" i="34" s="1"/>
  <c r="AJ226" i="34"/>
  <c r="AJ219" i="34"/>
  <c r="AJ220" i="34" s="1"/>
  <c r="AS31" i="11"/>
  <c r="AQ226" i="34"/>
  <c r="AQ219" i="34"/>
  <c r="AQ220" i="34" s="1"/>
  <c r="AR31" i="11"/>
  <c r="AP226" i="34"/>
  <c r="AP219" i="34"/>
  <c r="AP220" i="34" s="1"/>
  <c r="AN226" i="34"/>
  <c r="AN219" i="34"/>
  <c r="AN220" i="34" s="1"/>
  <c r="AO226" i="34"/>
  <c r="AO219" i="34"/>
  <c r="AO220" i="34" s="1"/>
  <c r="AN31" i="11"/>
  <c r="AL226" i="34"/>
  <c r="AL219" i="34"/>
  <c r="AL220" i="34" s="1"/>
  <c r="AK31" i="11"/>
  <c r="AI226" i="34"/>
  <c r="AI219" i="34"/>
  <c r="AI220" i="34" s="1"/>
  <c r="AK226" i="34"/>
  <c r="AK219" i="34"/>
  <c r="AK220" i="34" s="1"/>
  <c r="AH31" i="11"/>
  <c r="AF226" i="34"/>
  <c r="AF219" i="34"/>
  <c r="AF220" i="34" s="1"/>
  <c r="AI31" i="11"/>
  <c r="AG226" i="34"/>
  <c r="AG219" i="34"/>
  <c r="AG220" i="34" s="1"/>
  <c r="AJ31" i="11"/>
  <c r="AH226" i="34"/>
  <c r="AH219" i="34"/>
  <c r="AH220" i="34" s="1"/>
  <c r="AI228" i="34" l="1"/>
  <c r="AI229" i="34" s="1"/>
  <c r="AK32" i="11"/>
  <c r="AF228" i="34"/>
  <c r="AF229" i="34" s="1"/>
  <c r="AH32" i="11"/>
  <c r="AG228" i="34"/>
  <c r="AG229" i="34" s="1"/>
  <c r="AI32" i="11"/>
  <c r="AL228" i="34"/>
  <c r="AL229" i="34" s="1"/>
  <c r="AN32" i="11"/>
  <c r="AQ228" i="34"/>
  <c r="AQ229" i="34" s="1"/>
  <c r="AS32" i="11"/>
  <c r="AH228" i="34"/>
  <c r="AH229" i="34" s="1"/>
  <c r="AJ32" i="11"/>
  <c r="AP228" i="34"/>
  <c r="AP229" i="34" s="1"/>
  <c r="AR32" i="11"/>
  <c r="AO56" i="11"/>
  <c r="AO61" i="11" s="1"/>
  <c r="AM227" i="34"/>
  <c r="AQ56" i="11"/>
  <c r="AQ61" i="11" s="1"/>
  <c r="AO227" i="34"/>
  <c r="AL56" i="11"/>
  <c r="AL61" i="11" s="1"/>
  <c r="AJ227" i="34"/>
  <c r="AL31" i="11"/>
  <c r="AR56" i="11"/>
  <c r="AR61" i="11" s="1"/>
  <c r="AP227" i="34"/>
  <c r="AN56" i="11"/>
  <c r="AN61" i="11" s="1"/>
  <c r="AL227" i="34"/>
  <c r="AP56" i="11"/>
  <c r="AP61" i="11" s="1"/>
  <c r="AN227" i="34"/>
  <c r="AP31" i="11"/>
  <c r="AM56" i="11"/>
  <c r="AM61" i="11" s="1"/>
  <c r="AK227" i="34"/>
  <c r="AO31" i="11"/>
  <c r="AM31" i="11"/>
  <c r="AK56" i="11"/>
  <c r="AK61" i="11" s="1"/>
  <c r="AI227" i="34"/>
  <c r="AQ31" i="11"/>
  <c r="AS56" i="11"/>
  <c r="AS61" i="11" s="1"/>
  <c r="AQ227" i="34"/>
  <c r="AI56" i="11"/>
  <c r="AI61" i="11" s="1"/>
  <c r="AG227" i="34"/>
  <c r="AJ56" i="11"/>
  <c r="AJ61" i="11" s="1"/>
  <c r="AH227" i="34"/>
  <c r="AH56" i="11"/>
  <c r="AH61" i="11" s="1"/>
  <c r="AF227" i="34"/>
  <c r="AK228" i="34" l="1"/>
  <c r="AK229" i="34" s="1"/>
  <c r="AM32" i="11"/>
  <c r="AN228" i="34"/>
  <c r="AN229" i="34" s="1"/>
  <c r="AP32" i="11"/>
  <c r="AM228" i="34"/>
  <c r="AM229" i="34" s="1"/>
  <c r="AO32" i="11"/>
  <c r="AO228" i="34"/>
  <c r="AO229" i="34" s="1"/>
  <c r="AQ32" i="11"/>
  <c r="AJ228" i="34"/>
  <c r="AJ229" i="34" s="1"/>
  <c r="AL32" i="11"/>
  <c r="C81" i="22" l="1"/>
  <c r="C80" i="22"/>
  <c r="C76" i="22"/>
  <c r="C75" i="22"/>
  <c r="F316" i="4" l="1"/>
  <c r="E316" i="4"/>
  <c r="D316" i="4"/>
  <c r="D314" i="4" l="1"/>
  <c r="E314" i="4"/>
  <c r="F314" i="4"/>
  <c r="D315" i="4"/>
  <c r="E315" i="4"/>
  <c r="F315" i="4"/>
  <c r="E319" i="4" l="1"/>
  <c r="E322" i="4" s="1"/>
  <c r="F319" i="4"/>
  <c r="F322" i="4" s="1"/>
  <c r="D319" i="4"/>
  <c r="D322" i="4" s="1"/>
  <c r="C50" i="22" l="1"/>
  <c r="C146" i="4" l="1"/>
  <c r="C145" i="4"/>
  <c r="C144" i="4"/>
  <c r="C143" i="4"/>
  <c r="C142" i="4"/>
  <c r="C141" i="4"/>
  <c r="C140" i="4"/>
  <c r="C139" i="4"/>
  <c r="C138" i="4"/>
  <c r="C137" i="4"/>
  <c r="C136" i="4"/>
  <c r="C135" i="4"/>
  <c r="C134" i="4"/>
  <c r="C133" i="4"/>
  <c r="C132" i="4"/>
  <c r="C131" i="4"/>
  <c r="C130" i="4"/>
  <c r="C129" i="4"/>
  <c r="C128" i="4"/>
  <c r="B121" i="4"/>
  <c r="B120" i="4"/>
  <c r="B119" i="4"/>
  <c r="B118" i="4"/>
  <c r="B117" i="4"/>
  <c r="B116" i="4"/>
  <c r="B115" i="4"/>
  <c r="B114" i="4"/>
  <c r="B113" i="4"/>
  <c r="B112" i="4"/>
  <c r="B111" i="4"/>
  <c r="B110" i="4"/>
  <c r="B109" i="4"/>
  <c r="B108" i="4"/>
  <c r="B107" i="4"/>
  <c r="B106" i="4"/>
  <c r="B105" i="4"/>
  <c r="B104" i="4"/>
  <c r="B103" i="4"/>
  <c r="B128" i="4" l="1"/>
  <c r="B153" i="4" s="1"/>
  <c r="B129" i="4"/>
  <c r="B154" i="4" s="1"/>
  <c r="B131" i="4"/>
  <c r="B156" i="4" s="1"/>
  <c r="B132" i="4"/>
  <c r="B157" i="4" s="1"/>
  <c r="B135" i="4"/>
  <c r="B160" i="4" s="1"/>
  <c r="B136" i="4"/>
  <c r="B161" i="4" s="1"/>
  <c r="B137" i="4"/>
  <c r="B162" i="4" s="1"/>
  <c r="B139" i="4"/>
  <c r="B164" i="4" s="1"/>
  <c r="B140" i="4"/>
  <c r="B165" i="4" s="1"/>
  <c r="B143" i="4"/>
  <c r="B168" i="4" s="1"/>
  <c r="B144" i="4"/>
  <c r="B169" i="4" s="1"/>
  <c r="A178" i="34"/>
  <c r="A155" i="34"/>
  <c r="A194" i="34"/>
  <c r="A171" i="34"/>
  <c r="B134" i="4"/>
  <c r="B159" i="4" s="1"/>
  <c r="B142" i="4"/>
  <c r="B167" i="4" s="1"/>
  <c r="B133" i="4"/>
  <c r="B158" i="4" s="1"/>
  <c r="B145" i="4"/>
  <c r="B170" i="4" s="1"/>
  <c r="B130" i="4"/>
  <c r="B155" i="4" s="1"/>
  <c r="B138" i="4"/>
  <c r="B163" i="4" s="1"/>
  <c r="B146" i="4"/>
  <c r="B171" i="4" s="1"/>
  <c r="B141" i="4"/>
  <c r="B166" i="4" s="1"/>
  <c r="A190" i="34" l="1"/>
  <c r="A167" i="34"/>
  <c r="A184" i="34"/>
  <c r="A161" i="34"/>
  <c r="A191" i="34"/>
  <c r="A168" i="34"/>
  <c r="A179" i="34"/>
  <c r="A156" i="34"/>
  <c r="A176" i="34"/>
  <c r="A153" i="34"/>
  <c r="A188" i="34"/>
  <c r="A165" i="34"/>
  <c r="A183" i="34"/>
  <c r="A160" i="34"/>
  <c r="A189" i="34"/>
  <c r="A166" i="34"/>
  <c r="A187" i="34"/>
  <c r="A164" i="34"/>
  <c r="A192" i="34"/>
  <c r="A169" i="34"/>
  <c r="A193" i="34"/>
  <c r="A170" i="34"/>
  <c r="A180" i="34"/>
  <c r="A157" i="34"/>
  <c r="A186" i="34"/>
  <c r="A163" i="34"/>
  <c r="A182" i="34"/>
  <c r="A159" i="34"/>
  <c r="A185" i="34"/>
  <c r="A162" i="34"/>
  <c r="A177" i="34"/>
  <c r="A154" i="34"/>
  <c r="A181" i="34"/>
  <c r="A158" i="34"/>
  <c r="D113" i="11" l="1"/>
  <c r="C248" i="4" l="1"/>
  <c r="F19" i="31" s="1"/>
  <c r="AG62" i="16"/>
  <c r="AF62" i="16"/>
  <c r="AE62" i="16"/>
  <c r="AD62" i="16"/>
  <c r="AC62" i="16"/>
  <c r="AB62" i="16"/>
  <c r="AA62" i="16"/>
  <c r="Z62" i="16"/>
  <c r="Y62" i="16"/>
  <c r="X62" i="16"/>
  <c r="W62" i="16"/>
  <c r="V62" i="16"/>
  <c r="U62" i="16"/>
  <c r="T62" i="16"/>
  <c r="S62" i="16"/>
  <c r="R62" i="16"/>
  <c r="Q62" i="16"/>
  <c r="P62" i="16"/>
  <c r="O62" i="16"/>
  <c r="N62" i="16"/>
  <c r="M62" i="16"/>
  <c r="L62" i="16"/>
  <c r="K62" i="16"/>
  <c r="J62" i="16"/>
  <c r="I62" i="16"/>
  <c r="H62" i="16"/>
  <c r="G62" i="16"/>
  <c r="F62" i="16"/>
  <c r="E62" i="16"/>
  <c r="C62" i="16"/>
  <c r="B58" i="34" l="1"/>
  <c r="C58" i="34"/>
  <c r="B102" i="4" l="1"/>
  <c r="B127" i="4" l="1"/>
  <c r="B152" i="4" s="1"/>
  <c r="A175" i="34" l="1"/>
  <c r="A152" i="34"/>
  <c r="I70" i="4" l="1"/>
  <c r="I69" i="4"/>
  <c r="I68" i="4"/>
  <c r="I67" i="4"/>
  <c r="I66" i="4"/>
  <c r="I65" i="4"/>
  <c r="I64" i="4"/>
  <c r="I63" i="4"/>
  <c r="I62" i="4"/>
  <c r="I61" i="4"/>
  <c r="I60" i="4"/>
  <c r="I59" i="4"/>
  <c r="I58" i="4"/>
  <c r="I57" i="4"/>
  <c r="I56" i="4"/>
  <c r="I55" i="4"/>
  <c r="I54" i="4"/>
  <c r="I53" i="4"/>
  <c r="I52" i="4"/>
  <c r="I51" i="4"/>
  <c r="I50" i="4"/>
  <c r="I49" i="4"/>
  <c r="I48" i="4"/>
  <c r="I47" i="4"/>
  <c r="I46" i="4"/>
  <c r="I45" i="4"/>
  <c r="I44" i="4"/>
  <c r="I43" i="4"/>
  <c r="I42" i="4"/>
  <c r="I41" i="4"/>
  <c r="I40" i="4"/>
  <c r="I39" i="4"/>
  <c r="I38" i="4"/>
  <c r="I37" i="4"/>
  <c r="I36" i="4"/>
  <c r="I35" i="4"/>
  <c r="I34" i="4"/>
  <c r="I33" i="4"/>
  <c r="B42" i="16" l="1"/>
  <c r="B27" i="16"/>
  <c r="O2" i="32" l="1"/>
  <c r="F14" i="7" l="1"/>
  <c r="B211" i="4" l="1"/>
  <c r="B196" i="4"/>
  <c r="F292" i="4" l="1"/>
  <c r="E292" i="4"/>
  <c r="D292" i="4"/>
  <c r="B198" i="4"/>
  <c r="B213" i="4"/>
  <c r="C37" i="22" l="1"/>
  <c r="C38" i="22"/>
  <c r="C39" i="22"/>
  <c r="C42" i="22"/>
  <c r="C43" i="22"/>
  <c r="C63" i="22"/>
  <c r="C66" i="22"/>
  <c r="C69" i="22"/>
  <c r="C70" i="22"/>
  <c r="B85" i="22"/>
  <c r="C85" i="22"/>
  <c r="B86" i="22"/>
  <c r="C86" i="22"/>
  <c r="C87" i="22"/>
  <c r="C88" i="22"/>
  <c r="D248" i="4" l="1"/>
  <c r="G19" i="31" l="1"/>
  <c r="D19" i="31" s="1"/>
  <c r="N19" i="7"/>
  <c r="G18" i="11" l="1"/>
  <c r="F301" i="4"/>
  <c r="E301" i="4"/>
  <c r="D301" i="4"/>
  <c r="G19" i="11" l="1"/>
  <c r="G22" i="11"/>
  <c r="G29" i="11" s="1"/>
  <c r="G38" i="11" s="1"/>
  <c r="E213" i="34"/>
  <c r="E214" i="34" s="1"/>
  <c r="H18" i="11"/>
  <c r="G23" i="11" l="1"/>
  <c r="H19" i="11"/>
  <c r="H22" i="11"/>
  <c r="H29" i="11" s="1"/>
  <c r="H38" i="11" s="1"/>
  <c r="H23" i="11"/>
  <c r="F213" i="34"/>
  <c r="F214" i="34" s="1"/>
  <c r="E217" i="34"/>
  <c r="E218" i="34" s="1"/>
  <c r="I18" i="11"/>
  <c r="AG70" i="11"/>
  <c r="AF70" i="11"/>
  <c r="AE70" i="11"/>
  <c r="AD70" i="11"/>
  <c r="AC70" i="11"/>
  <c r="AB70" i="11"/>
  <c r="AA70" i="11"/>
  <c r="Z70" i="11"/>
  <c r="Y70" i="11"/>
  <c r="X70" i="11"/>
  <c r="W70" i="11"/>
  <c r="V70" i="11"/>
  <c r="U70" i="11"/>
  <c r="T70" i="11"/>
  <c r="S70" i="11"/>
  <c r="R70" i="11"/>
  <c r="Q70" i="11"/>
  <c r="P70" i="11"/>
  <c r="O70" i="11"/>
  <c r="N70" i="11"/>
  <c r="M70" i="11"/>
  <c r="L70" i="11"/>
  <c r="K70" i="11"/>
  <c r="J70" i="11"/>
  <c r="I70" i="11"/>
  <c r="H70" i="11"/>
  <c r="G70" i="11"/>
  <c r="F70" i="11"/>
  <c r="AG48" i="11"/>
  <c r="AF48" i="11"/>
  <c r="AE48" i="11"/>
  <c r="AD48" i="11"/>
  <c r="AC48" i="11"/>
  <c r="AB48" i="11"/>
  <c r="AA48" i="11"/>
  <c r="Z48" i="11"/>
  <c r="Y48" i="11"/>
  <c r="X48" i="11"/>
  <c r="W48" i="11"/>
  <c r="V48" i="11"/>
  <c r="U48" i="11"/>
  <c r="T48" i="11"/>
  <c r="S48" i="11"/>
  <c r="R48" i="11"/>
  <c r="Q48" i="11"/>
  <c r="P48" i="11"/>
  <c r="O48" i="11"/>
  <c r="N48" i="11"/>
  <c r="M48" i="11"/>
  <c r="L48" i="11"/>
  <c r="K48" i="11"/>
  <c r="J48" i="11"/>
  <c r="I48" i="11"/>
  <c r="H48" i="11"/>
  <c r="G48" i="11"/>
  <c r="F48" i="11"/>
  <c r="F18" i="11"/>
  <c r="AG46" i="16"/>
  <c r="AF46" i="16"/>
  <c r="AE46" i="16"/>
  <c r="AD46" i="16"/>
  <c r="AC46" i="16"/>
  <c r="AB46" i="16"/>
  <c r="AA46" i="16"/>
  <c r="Z46" i="16"/>
  <c r="Y46" i="16"/>
  <c r="X46" i="16"/>
  <c r="W46" i="16"/>
  <c r="V46" i="16"/>
  <c r="U46" i="16"/>
  <c r="T46" i="16"/>
  <c r="S46" i="16"/>
  <c r="R46" i="16"/>
  <c r="Q46" i="16"/>
  <c r="P46" i="16"/>
  <c r="O46" i="16"/>
  <c r="N46" i="16"/>
  <c r="M46" i="16"/>
  <c r="L46" i="16"/>
  <c r="K46" i="16"/>
  <c r="J46" i="16"/>
  <c r="I46" i="16"/>
  <c r="H46" i="16"/>
  <c r="G46" i="16"/>
  <c r="F46" i="16"/>
  <c r="AG45" i="16"/>
  <c r="AF45" i="16"/>
  <c r="AE45" i="16"/>
  <c r="AD45" i="16"/>
  <c r="AC45" i="16"/>
  <c r="AB45" i="16"/>
  <c r="AA45" i="16"/>
  <c r="Z45" i="16"/>
  <c r="Y45" i="16"/>
  <c r="X45" i="16"/>
  <c r="W45" i="16"/>
  <c r="V45" i="16"/>
  <c r="U45" i="16"/>
  <c r="T45" i="16"/>
  <c r="S45" i="16"/>
  <c r="R45" i="16"/>
  <c r="Q45" i="16"/>
  <c r="P45" i="16"/>
  <c r="O45" i="16"/>
  <c r="N45" i="16"/>
  <c r="M45" i="16"/>
  <c r="L45" i="16"/>
  <c r="K45" i="16"/>
  <c r="J45" i="16"/>
  <c r="I45" i="16"/>
  <c r="H45" i="16"/>
  <c r="G45" i="16"/>
  <c r="F45" i="16"/>
  <c r="AG31" i="16"/>
  <c r="AF31" i="16"/>
  <c r="AE31" i="16"/>
  <c r="AD31" i="16"/>
  <c r="AC31" i="16"/>
  <c r="AB31" i="16"/>
  <c r="AA31" i="16"/>
  <c r="Z31" i="16"/>
  <c r="Y31" i="16"/>
  <c r="Y107" i="11" s="1"/>
  <c r="X31" i="16"/>
  <c r="X107" i="11" s="1"/>
  <c r="W31" i="16"/>
  <c r="W107" i="11" s="1"/>
  <c r="V31" i="16"/>
  <c r="V107" i="11" s="1"/>
  <c r="U31" i="16"/>
  <c r="T31" i="16"/>
  <c r="S31" i="16"/>
  <c r="R31" i="16"/>
  <c r="Q31" i="16"/>
  <c r="P31" i="16"/>
  <c r="O31" i="16"/>
  <c r="N31" i="16"/>
  <c r="M31" i="16"/>
  <c r="M107" i="11" s="1"/>
  <c r="L31" i="16"/>
  <c r="L107" i="11" s="1"/>
  <c r="K31" i="16"/>
  <c r="K107" i="11" s="1"/>
  <c r="J31" i="16"/>
  <c r="J107" i="11" s="1"/>
  <c r="I31" i="16"/>
  <c r="H31" i="16"/>
  <c r="G31" i="16"/>
  <c r="F31" i="16"/>
  <c r="AG30" i="16"/>
  <c r="AF30" i="16"/>
  <c r="AE30" i="16"/>
  <c r="AD30" i="16"/>
  <c r="AC30" i="16"/>
  <c r="AB30" i="16"/>
  <c r="AA30" i="16"/>
  <c r="Z30" i="16"/>
  <c r="Y30" i="16"/>
  <c r="X30" i="16"/>
  <c r="W30" i="16"/>
  <c r="V30" i="16"/>
  <c r="U30" i="16"/>
  <c r="T30" i="16"/>
  <c r="S30" i="16"/>
  <c r="R30" i="16"/>
  <c r="Q30" i="16"/>
  <c r="P30" i="16"/>
  <c r="O30" i="16"/>
  <c r="N30" i="16"/>
  <c r="M30" i="16"/>
  <c r="L30" i="16"/>
  <c r="K30" i="16"/>
  <c r="J30" i="16"/>
  <c r="I30" i="16"/>
  <c r="H30" i="16"/>
  <c r="G30" i="16"/>
  <c r="F30" i="16"/>
  <c r="J28" i="4"/>
  <c r="K28" i="4" s="1"/>
  <c r="D187" i="4"/>
  <c r="E187" i="4" s="1"/>
  <c r="F187" i="4" s="1"/>
  <c r="G187" i="4" s="1"/>
  <c r="H187" i="4" s="1"/>
  <c r="I187" i="4" s="1"/>
  <c r="J187" i="4" s="1"/>
  <c r="K187" i="4" s="1"/>
  <c r="L187" i="4" s="1"/>
  <c r="M187" i="4" s="1"/>
  <c r="N187" i="4" s="1"/>
  <c r="O187" i="4" s="1"/>
  <c r="P187" i="4" s="1"/>
  <c r="Q187" i="4" s="1"/>
  <c r="R187" i="4" s="1"/>
  <c r="S187" i="4" s="1"/>
  <c r="T187" i="4" s="1"/>
  <c r="U187" i="4" s="1"/>
  <c r="V187" i="4" s="1"/>
  <c r="W187" i="4" s="1"/>
  <c r="X187" i="4" s="1"/>
  <c r="Y187" i="4" s="1"/>
  <c r="Z187" i="4" s="1"/>
  <c r="AA187" i="4" s="1"/>
  <c r="AB187" i="4" s="1"/>
  <c r="AC187" i="4" s="1"/>
  <c r="AD187" i="4" s="1"/>
  <c r="AE187" i="4" s="1"/>
  <c r="AF187" i="4" s="1"/>
  <c r="AG187" i="4" s="1"/>
  <c r="AH187" i="4" s="1"/>
  <c r="AI187" i="4" s="1"/>
  <c r="AJ187" i="4" s="1"/>
  <c r="AK187" i="4" s="1"/>
  <c r="AL187" i="4" s="1"/>
  <c r="AM187" i="4" s="1"/>
  <c r="AN187" i="4" s="1"/>
  <c r="AO187" i="4" s="1"/>
  <c r="AP187" i="4" s="1"/>
  <c r="AQ187" i="4" s="1"/>
  <c r="AR187" i="4" s="1"/>
  <c r="AS187" i="4" s="1"/>
  <c r="AT187" i="4" s="1"/>
  <c r="AU187" i="4" s="1"/>
  <c r="AV187" i="4" s="1"/>
  <c r="AW187" i="4" s="1"/>
  <c r="AX187" i="4" s="1"/>
  <c r="AY187" i="4" s="1"/>
  <c r="AZ187" i="4" s="1"/>
  <c r="BA187" i="4" s="1"/>
  <c r="BB187" i="4" s="1"/>
  <c r="BC187" i="4" s="1"/>
  <c r="BD187" i="4" s="1"/>
  <c r="BE187" i="4" s="1"/>
  <c r="BF187" i="4" s="1"/>
  <c r="BG187" i="4" s="1"/>
  <c r="BH187" i="4" s="1"/>
  <c r="BI187" i="4" s="1"/>
  <c r="BJ187" i="4" s="1"/>
  <c r="BK187" i="4" s="1"/>
  <c r="BL187" i="4" s="1"/>
  <c r="D199" i="4"/>
  <c r="E199" i="4" s="1"/>
  <c r="F199" i="4" s="1"/>
  <c r="G199" i="4" s="1"/>
  <c r="H199" i="4" s="1"/>
  <c r="I199" i="4" s="1"/>
  <c r="J199" i="4" s="1"/>
  <c r="K199" i="4" s="1"/>
  <c r="L199" i="4" s="1"/>
  <c r="M199" i="4" s="1"/>
  <c r="N199" i="4" s="1"/>
  <c r="O199" i="4" s="1"/>
  <c r="P199" i="4" s="1"/>
  <c r="Q199" i="4" s="1"/>
  <c r="R199" i="4" s="1"/>
  <c r="S199" i="4" s="1"/>
  <c r="T199" i="4" s="1"/>
  <c r="U199" i="4" s="1"/>
  <c r="V199" i="4" s="1"/>
  <c r="W199" i="4" s="1"/>
  <c r="X199" i="4" s="1"/>
  <c r="Y199" i="4" s="1"/>
  <c r="Z199" i="4" s="1"/>
  <c r="AA199" i="4" s="1"/>
  <c r="AB199" i="4" s="1"/>
  <c r="AC199" i="4" s="1"/>
  <c r="AD199" i="4" s="1"/>
  <c r="AE199" i="4" s="1"/>
  <c r="AF199" i="4" s="1"/>
  <c r="AG199" i="4" s="1"/>
  <c r="AH199" i="4" s="1"/>
  <c r="AI199" i="4" s="1"/>
  <c r="AJ199" i="4" s="1"/>
  <c r="AK199" i="4" s="1"/>
  <c r="AL199" i="4" s="1"/>
  <c r="AM199" i="4" s="1"/>
  <c r="AN199" i="4" s="1"/>
  <c r="AO199" i="4" s="1"/>
  <c r="AP199" i="4" s="1"/>
  <c r="AQ199" i="4" s="1"/>
  <c r="AR199" i="4" s="1"/>
  <c r="AS199" i="4" s="1"/>
  <c r="AT199" i="4" s="1"/>
  <c r="AU199" i="4" s="1"/>
  <c r="AV199" i="4" s="1"/>
  <c r="AW199" i="4" s="1"/>
  <c r="AX199" i="4" s="1"/>
  <c r="AY199" i="4" s="1"/>
  <c r="AZ199" i="4" s="1"/>
  <c r="BA199" i="4" s="1"/>
  <c r="BB199" i="4" s="1"/>
  <c r="BC199" i="4" s="1"/>
  <c r="BD199" i="4" s="1"/>
  <c r="BE199" i="4" s="1"/>
  <c r="BF199" i="4" s="1"/>
  <c r="BG199" i="4" s="1"/>
  <c r="BH199" i="4" s="1"/>
  <c r="BI199" i="4" s="1"/>
  <c r="BJ199" i="4" s="1"/>
  <c r="BK199" i="4" s="1"/>
  <c r="BL199" i="4" s="1"/>
  <c r="D214" i="4"/>
  <c r="E214" i="4" s="1"/>
  <c r="F214" i="4" s="1"/>
  <c r="G214" i="4" s="1"/>
  <c r="H214" i="4" s="1"/>
  <c r="I214" i="4" s="1"/>
  <c r="J214" i="4" s="1"/>
  <c r="K214" i="4" s="1"/>
  <c r="L214" i="4" s="1"/>
  <c r="M214" i="4" s="1"/>
  <c r="N214" i="4" s="1"/>
  <c r="O214" i="4" s="1"/>
  <c r="P214" i="4" s="1"/>
  <c r="Q214" i="4" s="1"/>
  <c r="R214" i="4" s="1"/>
  <c r="S214" i="4" s="1"/>
  <c r="T214" i="4" s="1"/>
  <c r="U214" i="4" s="1"/>
  <c r="V214" i="4" s="1"/>
  <c r="W214" i="4" s="1"/>
  <c r="X214" i="4" s="1"/>
  <c r="Y214" i="4" s="1"/>
  <c r="Z214" i="4" s="1"/>
  <c r="AA214" i="4" s="1"/>
  <c r="AB214" i="4" s="1"/>
  <c r="AC214" i="4" s="1"/>
  <c r="AD214" i="4" s="1"/>
  <c r="AE214" i="4" s="1"/>
  <c r="AF214" i="4" s="1"/>
  <c r="AG214" i="4" s="1"/>
  <c r="AH214" i="4" s="1"/>
  <c r="AI214" i="4" s="1"/>
  <c r="AJ214" i="4" s="1"/>
  <c r="AK214" i="4" s="1"/>
  <c r="AL214" i="4" s="1"/>
  <c r="AM214" i="4" s="1"/>
  <c r="AN214" i="4" s="1"/>
  <c r="AO214" i="4" s="1"/>
  <c r="AP214" i="4" s="1"/>
  <c r="AQ214" i="4" s="1"/>
  <c r="AR214" i="4" s="1"/>
  <c r="AS214" i="4" s="1"/>
  <c r="AT214" i="4" s="1"/>
  <c r="AU214" i="4" s="1"/>
  <c r="AV214" i="4" s="1"/>
  <c r="AW214" i="4" s="1"/>
  <c r="AX214" i="4" s="1"/>
  <c r="AY214" i="4" s="1"/>
  <c r="AZ214" i="4" s="1"/>
  <c r="BA214" i="4" s="1"/>
  <c r="BB214" i="4" s="1"/>
  <c r="BC214" i="4" s="1"/>
  <c r="BD214" i="4" s="1"/>
  <c r="BE214" i="4" s="1"/>
  <c r="BF214" i="4" s="1"/>
  <c r="BG214" i="4" s="1"/>
  <c r="BH214" i="4" s="1"/>
  <c r="BI214" i="4" s="1"/>
  <c r="BJ214" i="4" s="1"/>
  <c r="BK214" i="4" s="1"/>
  <c r="BL214" i="4" s="1"/>
  <c r="E6" i="11"/>
  <c r="F6" i="11" s="1"/>
  <c r="G6" i="11" s="1"/>
  <c r="H6" i="11" s="1"/>
  <c r="I6" i="11" s="1"/>
  <c r="J6" i="11" s="1"/>
  <c r="K6" i="11" s="1"/>
  <c r="E6" i="16"/>
  <c r="F6" i="16" s="1"/>
  <c r="G6" i="16" s="1"/>
  <c r="H6" i="16" s="1"/>
  <c r="I6" i="16" s="1"/>
  <c r="J6" i="16" s="1"/>
  <c r="K6" i="16" s="1"/>
  <c r="L6" i="16" s="1"/>
  <c r="M6" i="16" s="1"/>
  <c r="N6" i="16" s="1"/>
  <c r="O6" i="16" s="1"/>
  <c r="P6" i="16" s="1"/>
  <c r="Q6" i="16" s="1"/>
  <c r="R6" i="16" s="1"/>
  <c r="S6" i="16" s="1"/>
  <c r="T6" i="16" s="1"/>
  <c r="U6" i="16" s="1"/>
  <c r="V6" i="16" s="1"/>
  <c r="W6" i="16" s="1"/>
  <c r="X6" i="16" s="1"/>
  <c r="Y6" i="16" s="1"/>
  <c r="Z6" i="16" s="1"/>
  <c r="AA6" i="16" s="1"/>
  <c r="AB6" i="16" s="1"/>
  <c r="AC6" i="16" s="1"/>
  <c r="AD6" i="16" s="1"/>
  <c r="AE6" i="16" s="1"/>
  <c r="AF6" i="16" s="1"/>
  <c r="AG6" i="16" s="1"/>
  <c r="AH6" i="16" s="1"/>
  <c r="AI6" i="16" s="1"/>
  <c r="AJ6" i="16" s="1"/>
  <c r="AK6" i="16" s="1"/>
  <c r="AL6" i="16" s="1"/>
  <c r="AM6" i="16" s="1"/>
  <c r="AN6" i="16" s="1"/>
  <c r="AO6" i="16" s="1"/>
  <c r="AP6" i="16" s="1"/>
  <c r="AQ6" i="16" s="1"/>
  <c r="AR6" i="16" s="1"/>
  <c r="AS6" i="16" s="1"/>
  <c r="AT6" i="16" s="1"/>
  <c r="AU6" i="16" s="1"/>
  <c r="AV6" i="16" s="1"/>
  <c r="AW6" i="16" s="1"/>
  <c r="AX6" i="16" s="1"/>
  <c r="AY6" i="16" s="1"/>
  <c r="AZ6" i="16" s="1"/>
  <c r="BA6" i="16" s="1"/>
  <c r="BB6" i="16" s="1"/>
  <c r="BC6" i="16" s="1"/>
  <c r="BD6" i="16" s="1"/>
  <c r="BE6" i="16" s="1"/>
  <c r="BF6" i="16" s="1"/>
  <c r="BG6" i="16" s="1"/>
  <c r="BH6" i="16" s="1"/>
  <c r="BI6" i="16" s="1"/>
  <c r="BJ6" i="16" s="1"/>
  <c r="BK6" i="16" s="1"/>
  <c r="BL6" i="16" s="1"/>
  <c r="BM6" i="16" s="1"/>
  <c r="E6" i="22"/>
  <c r="B122" i="32"/>
  <c r="B121" i="32"/>
  <c r="AA107" i="11" l="1"/>
  <c r="AB107" i="11"/>
  <c r="F107" i="11"/>
  <c r="R107" i="11"/>
  <c r="AD107" i="11"/>
  <c r="Z107" i="11"/>
  <c r="Q107" i="11"/>
  <c r="G107" i="11"/>
  <c r="S107" i="11"/>
  <c r="AE107" i="11"/>
  <c r="O107" i="11"/>
  <c r="P107" i="11"/>
  <c r="H107" i="11"/>
  <c r="T107" i="11"/>
  <c r="AF107" i="11"/>
  <c r="N107" i="11"/>
  <c r="AC107" i="11"/>
  <c r="I107" i="11"/>
  <c r="U107" i="11"/>
  <c r="AG107" i="11"/>
  <c r="F19" i="11"/>
  <c r="F22" i="11"/>
  <c r="F29" i="11" s="1"/>
  <c r="F38" i="11" s="1"/>
  <c r="I19" i="11"/>
  <c r="I22" i="11"/>
  <c r="I29" i="11" s="1"/>
  <c r="I38" i="11" s="1"/>
  <c r="G213" i="34"/>
  <c r="G214" i="34" s="1"/>
  <c r="F217" i="34"/>
  <c r="F218" i="34" s="1"/>
  <c r="E227" i="34"/>
  <c r="E226" i="34"/>
  <c r="E219" i="34"/>
  <c r="E220" i="34" s="1"/>
  <c r="D213" i="34"/>
  <c r="D214" i="34" s="1"/>
  <c r="J110" i="11"/>
  <c r="R110" i="11"/>
  <c r="Z110" i="11"/>
  <c r="T110" i="11"/>
  <c r="AB110" i="11"/>
  <c r="G110" i="11"/>
  <c r="O110" i="11"/>
  <c r="W110" i="11"/>
  <c r="K110" i="11"/>
  <c r="S110" i="11"/>
  <c r="AA110" i="11"/>
  <c r="F110" i="11"/>
  <c r="N110" i="11"/>
  <c r="V110" i="11"/>
  <c r="I110" i="11"/>
  <c r="Q110" i="11"/>
  <c r="AE110" i="11"/>
  <c r="H110" i="11"/>
  <c r="P110" i="11"/>
  <c r="X110" i="11"/>
  <c r="Y110" i="11"/>
  <c r="M110" i="11"/>
  <c r="U110" i="11"/>
  <c r="AC110" i="11"/>
  <c r="F6" i="22"/>
  <c r="F56" i="11"/>
  <c r="F61" i="11" s="1"/>
  <c r="G56" i="11"/>
  <c r="G61" i="11" s="1"/>
  <c r="H56" i="11"/>
  <c r="H61" i="11" s="1"/>
  <c r="AF110" i="11"/>
  <c r="AG110" i="11"/>
  <c r="AD110" i="11"/>
  <c r="I56" i="11"/>
  <c r="I61" i="11" s="1"/>
  <c r="L6" i="11"/>
  <c r="L110" i="11"/>
  <c r="J18" i="11"/>
  <c r="L28" i="4"/>
  <c r="F6" i="29"/>
  <c r="F23" i="11" l="1"/>
  <c r="I23" i="11"/>
  <c r="J19" i="11"/>
  <c r="J22" i="11"/>
  <c r="J29" i="11" s="1"/>
  <c r="J38" i="11" s="1"/>
  <c r="G6" i="22"/>
  <c r="G31" i="11"/>
  <c r="J23" i="11"/>
  <c r="H213" i="34"/>
  <c r="H214" i="34" s="1"/>
  <c r="G217" i="34"/>
  <c r="G218" i="34" s="1"/>
  <c r="F227" i="34"/>
  <c r="F226" i="34"/>
  <c r="F219" i="34"/>
  <c r="F220" i="34" s="1"/>
  <c r="D217" i="34"/>
  <c r="D218" i="34" s="1"/>
  <c r="J56" i="11"/>
  <c r="J61" i="11" s="1"/>
  <c r="M6" i="11"/>
  <c r="K18" i="11"/>
  <c r="M28" i="4"/>
  <c r="G6" i="29"/>
  <c r="F291" i="4"/>
  <c r="E291" i="4"/>
  <c r="D291" i="4"/>
  <c r="K19" i="11" l="1"/>
  <c r="K22" i="11"/>
  <c r="K29" i="11" s="1"/>
  <c r="K38" i="11" s="1"/>
  <c r="H6" i="22"/>
  <c r="E228" i="34"/>
  <c r="E229" i="34" s="1"/>
  <c r="G32" i="11"/>
  <c r="H31" i="11"/>
  <c r="K23" i="11"/>
  <c r="I213" i="34"/>
  <c r="I214" i="34" s="1"/>
  <c r="H217" i="34"/>
  <c r="H218" i="34" s="1"/>
  <c r="G227" i="34"/>
  <c r="G226" i="34"/>
  <c r="G219" i="34"/>
  <c r="G220" i="34" s="1"/>
  <c r="D227" i="34"/>
  <c r="D226" i="34"/>
  <c r="D219" i="34"/>
  <c r="D220" i="34" s="1"/>
  <c r="K56" i="11"/>
  <c r="K61" i="11" s="1"/>
  <c r="N6" i="11"/>
  <c r="L18" i="11"/>
  <c r="N28" i="4"/>
  <c r="H6" i="29"/>
  <c r="B17" i="21"/>
  <c r="B16" i="21"/>
  <c r="L19" i="11" l="1"/>
  <c r="L22" i="11"/>
  <c r="L29" i="11" s="1"/>
  <c r="L38" i="11" s="1"/>
  <c r="I6" i="22"/>
  <c r="I31" i="11"/>
  <c r="F228" i="34"/>
  <c r="F229" i="34" s="1"/>
  <c r="H32" i="11"/>
  <c r="L23" i="11"/>
  <c r="J213" i="34"/>
  <c r="J214" i="34" s="1"/>
  <c r="I217" i="34"/>
  <c r="I218" i="34" s="1"/>
  <c r="H227" i="34"/>
  <c r="H226" i="34"/>
  <c r="H219" i="34"/>
  <c r="H220" i="34" s="1"/>
  <c r="F31" i="11"/>
  <c r="L56" i="11"/>
  <c r="L61" i="11" s="1"/>
  <c r="O6" i="11"/>
  <c r="M18" i="11"/>
  <c r="O28" i="4"/>
  <c r="I6" i="29"/>
  <c r="M19" i="11" l="1"/>
  <c r="M22" i="11"/>
  <c r="M29" i="11" s="1"/>
  <c r="M38" i="11" s="1"/>
  <c r="J6" i="22"/>
  <c r="G228" i="34"/>
  <c r="G229" i="34" s="1"/>
  <c r="I32" i="11"/>
  <c r="D228" i="34"/>
  <c r="D229" i="34" s="1"/>
  <c r="F32" i="11"/>
  <c r="J31" i="11"/>
  <c r="K213" i="34"/>
  <c r="K214" i="34" s="1"/>
  <c r="J217" i="34"/>
  <c r="J218" i="34" s="1"/>
  <c r="I227" i="34"/>
  <c r="I226" i="34"/>
  <c r="I219" i="34"/>
  <c r="I220" i="34" s="1"/>
  <c r="M56" i="11"/>
  <c r="M61" i="11" s="1"/>
  <c r="P6" i="11"/>
  <c r="N18" i="11"/>
  <c r="J6" i="29"/>
  <c r="P28" i="4"/>
  <c r="M23" i="11" l="1"/>
  <c r="N19" i="11"/>
  <c r="N22" i="11"/>
  <c r="N29" i="11" s="1"/>
  <c r="N38" i="11" s="1"/>
  <c r="K6" i="22"/>
  <c r="H228" i="34"/>
  <c r="H229" i="34" s="1"/>
  <c r="J32" i="11"/>
  <c r="N23" i="11"/>
  <c r="L213" i="34"/>
  <c r="L214" i="34" s="1"/>
  <c r="K217" i="34"/>
  <c r="K218" i="34" s="1"/>
  <c r="J227" i="34"/>
  <c r="J226" i="34"/>
  <c r="J219" i="34"/>
  <c r="J220" i="34" s="1"/>
  <c r="K31" i="11"/>
  <c r="N56" i="11"/>
  <c r="N61" i="11" s="1"/>
  <c r="Q6" i="11"/>
  <c r="O18" i="11"/>
  <c r="K6" i="29"/>
  <c r="Q28" i="4"/>
  <c r="B181" i="4"/>
  <c r="O19" i="11" l="1"/>
  <c r="O22" i="11"/>
  <c r="O29" i="11" s="1"/>
  <c r="O38" i="11" s="1"/>
  <c r="L6" i="22"/>
  <c r="I228" i="34"/>
  <c r="I229" i="34" s="1"/>
  <c r="K32" i="11"/>
  <c r="L31" i="11"/>
  <c r="O23" i="11"/>
  <c r="M213" i="34"/>
  <c r="M214" i="34" s="1"/>
  <c r="L217" i="34"/>
  <c r="L218" i="34" s="1"/>
  <c r="K227" i="34"/>
  <c r="K226" i="34"/>
  <c r="K219" i="34"/>
  <c r="K220" i="34" s="1"/>
  <c r="O56" i="11"/>
  <c r="O61" i="11" s="1"/>
  <c r="R6" i="11"/>
  <c r="P18" i="11"/>
  <c r="L6" i="29"/>
  <c r="R28" i="4"/>
  <c r="P19" i="11" l="1"/>
  <c r="P22" i="11"/>
  <c r="P29" i="11" s="1"/>
  <c r="P38" i="11" s="1"/>
  <c r="M6" i="22"/>
  <c r="J228" i="34"/>
  <c r="J229" i="34" s="1"/>
  <c r="L32" i="11"/>
  <c r="M31" i="11"/>
  <c r="P23" i="11"/>
  <c r="N213" i="34"/>
  <c r="N214" i="34" s="1"/>
  <c r="M217" i="34"/>
  <c r="M218" i="34" s="1"/>
  <c r="L227" i="34"/>
  <c r="L226" i="34"/>
  <c r="L219" i="34"/>
  <c r="L220" i="34" s="1"/>
  <c r="S28" i="4"/>
  <c r="M6" i="29"/>
  <c r="P56" i="11"/>
  <c r="P61" i="11" s="1"/>
  <c r="S6" i="11"/>
  <c r="Q18" i="11"/>
  <c r="Q19" i="11" l="1"/>
  <c r="Q22" i="11"/>
  <c r="Q29" i="11" s="1"/>
  <c r="Q38" i="11" s="1"/>
  <c r="N6" i="22"/>
  <c r="K228" i="34"/>
  <c r="K229" i="34" s="1"/>
  <c r="M32" i="11"/>
  <c r="N31" i="11"/>
  <c r="Q23" i="11"/>
  <c r="O213" i="34"/>
  <c r="O214" i="34" s="1"/>
  <c r="N217" i="34"/>
  <c r="N218" i="34" s="1"/>
  <c r="M227" i="34"/>
  <c r="M226" i="34"/>
  <c r="M219" i="34"/>
  <c r="M220" i="34" s="1"/>
  <c r="T28" i="4"/>
  <c r="N6" i="29"/>
  <c r="Q56" i="11"/>
  <c r="Q61" i="11" s="1"/>
  <c r="T6" i="11"/>
  <c r="R18" i="11"/>
  <c r="R19" i="11" l="1"/>
  <c r="R22" i="11"/>
  <c r="R29" i="11" s="1"/>
  <c r="R38" i="11" s="1"/>
  <c r="O6" i="22"/>
  <c r="O31" i="11"/>
  <c r="L228" i="34"/>
  <c r="L229" i="34" s="1"/>
  <c r="N32" i="11"/>
  <c r="R23" i="11"/>
  <c r="P213" i="34"/>
  <c r="P214" i="34" s="1"/>
  <c r="O217" i="34"/>
  <c r="O218" i="34" s="1"/>
  <c r="N227" i="34"/>
  <c r="N226" i="34"/>
  <c r="N219" i="34"/>
  <c r="N220" i="34" s="1"/>
  <c r="U28" i="4"/>
  <c r="O6" i="29"/>
  <c r="R56" i="11"/>
  <c r="R61" i="11" s="1"/>
  <c r="U6" i="11"/>
  <c r="S18" i="11"/>
  <c r="B264" i="4"/>
  <c r="B265" i="4"/>
  <c r="C13" i="4"/>
  <c r="C268" i="4" s="1"/>
  <c r="J11" i="7"/>
  <c r="E30" i="16"/>
  <c r="E31" i="16"/>
  <c r="E107" i="11" s="1"/>
  <c r="D32" i="16"/>
  <c r="E29" i="16" s="1"/>
  <c r="E45" i="16"/>
  <c r="E46" i="16"/>
  <c r="D47" i="16"/>
  <c r="E44" i="16" s="1"/>
  <c r="C249" i="4"/>
  <c r="F20" i="31" s="1"/>
  <c r="C250" i="4"/>
  <c r="F21" i="31" s="1"/>
  <c r="E6" i="29"/>
  <c r="F10" i="7"/>
  <c r="E16" i="16"/>
  <c r="E48" i="11"/>
  <c r="E70" i="11"/>
  <c r="E18" i="11"/>
  <c r="D249" i="4"/>
  <c r="G20" i="31" s="1"/>
  <c r="B23" i="31"/>
  <c r="C57" i="22"/>
  <c r="C56" i="22"/>
  <c r="C55" i="22"/>
  <c r="C52" i="22"/>
  <c r="C51" i="22"/>
  <c r="C49" i="22"/>
  <c r="C48" i="22"/>
  <c r="C47" i="22"/>
  <c r="B11" i="22"/>
  <c r="C144" i="29"/>
  <c r="C142" i="29"/>
  <c r="C141" i="29"/>
  <c r="C140" i="29"/>
  <c r="C139" i="29"/>
  <c r="C138" i="29"/>
  <c r="C137" i="29"/>
  <c r="C134" i="29"/>
  <c r="C133" i="29"/>
  <c r="C132" i="29"/>
  <c r="C131" i="29"/>
  <c r="C130" i="29"/>
  <c r="C127" i="29"/>
  <c r="C126" i="29"/>
  <c r="C125" i="29"/>
  <c r="C124" i="29"/>
  <c r="C123" i="29"/>
  <c r="C122" i="29"/>
  <c r="C121" i="29"/>
  <c r="C118" i="29"/>
  <c r="C116" i="29"/>
  <c r="C115" i="29"/>
  <c r="C114" i="29"/>
  <c r="C113" i="29"/>
  <c r="C112" i="29"/>
  <c r="C111" i="29"/>
  <c r="C110" i="29"/>
  <c r="C107" i="29"/>
  <c r="C106" i="29"/>
  <c r="C105" i="29"/>
  <c r="C104" i="29"/>
  <c r="C103" i="29"/>
  <c r="C102" i="29"/>
  <c r="C101" i="29"/>
  <c r="C100" i="29"/>
  <c r="C99" i="29"/>
  <c r="C98" i="29"/>
  <c r="C31" i="29"/>
  <c r="C27" i="29"/>
  <c r="C26" i="29"/>
  <c r="C25" i="29"/>
  <c r="C24" i="29"/>
  <c r="C23" i="29"/>
  <c r="C22" i="29"/>
  <c r="C21" i="29"/>
  <c r="C20" i="29"/>
  <c r="C18" i="29"/>
  <c r="C17" i="29"/>
  <c r="C16" i="29"/>
  <c r="C14" i="29"/>
  <c r="C13" i="29"/>
  <c r="C12" i="29"/>
  <c r="C31" i="11"/>
  <c r="C30" i="11"/>
  <c r="C29" i="11"/>
  <c r="C28" i="11"/>
  <c r="C27" i="11"/>
  <c r="C26" i="11"/>
  <c r="C25" i="11"/>
  <c r="C22" i="11"/>
  <c r="C21" i="11"/>
  <c r="C20" i="11"/>
  <c r="C18" i="11"/>
  <c r="C17" i="11"/>
  <c r="C16" i="11"/>
  <c r="C35" i="11" s="1"/>
  <c r="B12" i="11"/>
  <c r="E52" i="16"/>
  <c r="C55" i="16"/>
  <c r="C54" i="16"/>
  <c r="C53" i="16"/>
  <c r="C52" i="16"/>
  <c r="B51" i="16"/>
  <c r="C49" i="16"/>
  <c r="C47" i="16"/>
  <c r="C46" i="16"/>
  <c r="C45" i="16"/>
  <c r="C44" i="16"/>
  <c r="B43" i="16"/>
  <c r="E37" i="16"/>
  <c r="C40" i="16"/>
  <c r="C39" i="16"/>
  <c r="C38" i="16"/>
  <c r="C37" i="16"/>
  <c r="B36" i="16"/>
  <c r="C34" i="16"/>
  <c r="C32" i="16"/>
  <c r="C31" i="16"/>
  <c r="C30" i="16"/>
  <c r="C29" i="16"/>
  <c r="B28" i="16"/>
  <c r="E22" i="16"/>
  <c r="C25" i="16"/>
  <c r="C24" i="16"/>
  <c r="C23" i="16"/>
  <c r="C22" i="16"/>
  <c r="B21" i="16"/>
  <c r="C19" i="16"/>
  <c r="C18" i="16"/>
  <c r="C17" i="16"/>
  <c r="C16" i="16"/>
  <c r="B15" i="16"/>
  <c r="B14" i="16"/>
  <c r="B250" i="4"/>
  <c r="B249" i="4"/>
  <c r="B252" i="4"/>
  <c r="B186" i="4"/>
  <c r="B201" i="34" s="1"/>
  <c r="C127" i="4"/>
  <c r="D124" i="4"/>
  <c r="E124" i="4" s="1"/>
  <c r="F124" i="4" s="1"/>
  <c r="G124" i="4" s="1"/>
  <c r="H124" i="4" s="1"/>
  <c r="I124" i="4" s="1"/>
  <c r="J124" i="4" s="1"/>
  <c r="K124" i="4" s="1"/>
  <c r="L124" i="4" s="1"/>
  <c r="M124" i="4" s="1"/>
  <c r="N124" i="4" s="1"/>
  <c r="O124" i="4" s="1"/>
  <c r="P124" i="4" s="1"/>
  <c r="Q124" i="4" s="1"/>
  <c r="R124" i="4" s="1"/>
  <c r="S124" i="4" s="1"/>
  <c r="T124" i="4" s="1"/>
  <c r="U124" i="4" s="1"/>
  <c r="V124" i="4" s="1"/>
  <c r="W124" i="4" s="1"/>
  <c r="X124" i="4" s="1"/>
  <c r="Y124" i="4" s="1"/>
  <c r="Z124" i="4" s="1"/>
  <c r="AA124" i="4" s="1"/>
  <c r="AB124" i="4" s="1"/>
  <c r="AC124" i="4" s="1"/>
  <c r="AD124" i="4" s="1"/>
  <c r="AE124" i="4" s="1"/>
  <c r="AF124" i="4" s="1"/>
  <c r="AG124" i="4" s="1"/>
  <c r="AH124" i="4" s="1"/>
  <c r="AI124" i="4" s="1"/>
  <c r="AJ124" i="4" s="1"/>
  <c r="AK124" i="4" s="1"/>
  <c r="AL124" i="4" s="1"/>
  <c r="AM124" i="4" s="1"/>
  <c r="AN124" i="4" s="1"/>
  <c r="AO124" i="4" s="1"/>
  <c r="AP124" i="4" s="1"/>
  <c r="AQ124" i="4" s="1"/>
  <c r="AR124" i="4" s="1"/>
  <c r="AS124" i="4" s="1"/>
  <c r="AT124" i="4" s="1"/>
  <c r="AU124" i="4" s="1"/>
  <c r="AV124" i="4" s="1"/>
  <c r="AW124" i="4" s="1"/>
  <c r="AX124" i="4" s="1"/>
  <c r="AY124" i="4" s="1"/>
  <c r="AZ124" i="4" s="1"/>
  <c r="BA124" i="4" s="1"/>
  <c r="BB124" i="4" s="1"/>
  <c r="BC124" i="4" s="1"/>
  <c r="BD124" i="4" s="1"/>
  <c r="BE124" i="4" s="1"/>
  <c r="BF124" i="4" s="1"/>
  <c r="BG124" i="4" s="1"/>
  <c r="BH124" i="4" s="1"/>
  <c r="BI124" i="4" s="1"/>
  <c r="BJ124" i="4" s="1"/>
  <c r="BK124" i="4" s="1"/>
  <c r="BL124" i="4" s="1"/>
  <c r="D99" i="4"/>
  <c r="E99" i="4" s="1"/>
  <c r="F99" i="4" s="1"/>
  <c r="G99" i="4" s="1"/>
  <c r="H99" i="4" s="1"/>
  <c r="I99" i="4" s="1"/>
  <c r="J99" i="4" s="1"/>
  <c r="K99" i="4" s="1"/>
  <c r="L99" i="4" s="1"/>
  <c r="M99" i="4" s="1"/>
  <c r="N99" i="4" s="1"/>
  <c r="O99" i="4" s="1"/>
  <c r="P99" i="4" s="1"/>
  <c r="Q99" i="4" s="1"/>
  <c r="R99" i="4" s="1"/>
  <c r="S99" i="4" s="1"/>
  <c r="T99" i="4" s="1"/>
  <c r="U99" i="4" s="1"/>
  <c r="V99" i="4" s="1"/>
  <c r="W99" i="4" s="1"/>
  <c r="X99" i="4" s="1"/>
  <c r="Y99" i="4" s="1"/>
  <c r="Z99" i="4" s="1"/>
  <c r="AA99" i="4" s="1"/>
  <c r="AB99" i="4" s="1"/>
  <c r="AC99" i="4" s="1"/>
  <c r="AD99" i="4" s="1"/>
  <c r="AE99" i="4" s="1"/>
  <c r="AF99" i="4" s="1"/>
  <c r="AG99" i="4" s="1"/>
  <c r="AH99" i="4" s="1"/>
  <c r="AI99" i="4" s="1"/>
  <c r="AJ99" i="4" s="1"/>
  <c r="AK99" i="4" s="1"/>
  <c r="AL99" i="4" s="1"/>
  <c r="AM99" i="4" s="1"/>
  <c r="AN99" i="4" s="1"/>
  <c r="AO99" i="4" s="1"/>
  <c r="AP99" i="4" s="1"/>
  <c r="AQ99" i="4" s="1"/>
  <c r="AR99" i="4" s="1"/>
  <c r="AS99" i="4" s="1"/>
  <c r="AT99" i="4" s="1"/>
  <c r="AU99" i="4" s="1"/>
  <c r="AV99" i="4" s="1"/>
  <c r="AW99" i="4" s="1"/>
  <c r="AX99" i="4" s="1"/>
  <c r="AY99" i="4" s="1"/>
  <c r="AZ99" i="4" s="1"/>
  <c r="BA99" i="4" s="1"/>
  <c r="BB99" i="4" s="1"/>
  <c r="BC99" i="4" s="1"/>
  <c r="BD99" i="4" s="1"/>
  <c r="BE99" i="4" s="1"/>
  <c r="BF99" i="4" s="1"/>
  <c r="BG99" i="4" s="1"/>
  <c r="BH99" i="4" s="1"/>
  <c r="BI99" i="4" s="1"/>
  <c r="BJ99" i="4" s="1"/>
  <c r="BK99" i="4" s="1"/>
  <c r="BL99" i="4" s="1"/>
  <c r="F33" i="6"/>
  <c r="E7" i="11" l="1"/>
  <c r="E8" i="11" s="1"/>
  <c r="C176" i="4"/>
  <c r="D176" i="4" s="1"/>
  <c r="E176" i="4" s="1"/>
  <c r="F176" i="4" s="1"/>
  <c r="G176" i="4" s="1"/>
  <c r="H176" i="4" s="1"/>
  <c r="I176" i="4" s="1"/>
  <c r="J176" i="4" s="1"/>
  <c r="K176" i="4" s="1"/>
  <c r="L176" i="4" s="1"/>
  <c r="M176" i="4" s="1"/>
  <c r="N176" i="4" s="1"/>
  <c r="O176" i="4" s="1"/>
  <c r="P176" i="4" s="1"/>
  <c r="Q176" i="4" s="1"/>
  <c r="R176" i="4" s="1"/>
  <c r="E19" i="11"/>
  <c r="E22" i="11"/>
  <c r="E29" i="11" s="1"/>
  <c r="E38" i="11" s="1"/>
  <c r="S19" i="11"/>
  <c r="S22" i="11"/>
  <c r="S29" i="11" s="1"/>
  <c r="S38" i="11" s="1"/>
  <c r="P6" i="22"/>
  <c r="D312" i="4"/>
  <c r="D313" i="4" s="1"/>
  <c r="C312" i="4"/>
  <c r="C313" i="4" s="1"/>
  <c r="E312" i="4"/>
  <c r="E313" i="4" s="1"/>
  <c r="F312" i="4"/>
  <c r="F313" i="4" s="1"/>
  <c r="M228" i="34"/>
  <c r="M229" i="34" s="1"/>
  <c r="O32" i="11"/>
  <c r="E296" i="4"/>
  <c r="E297" i="4" s="1"/>
  <c r="F296" i="4"/>
  <c r="F297" i="4" s="1"/>
  <c r="C296" i="4"/>
  <c r="C297" i="4" s="1"/>
  <c r="D296" i="4"/>
  <c r="D297" i="4" s="1"/>
  <c r="F274" i="4"/>
  <c r="F275" i="4" s="1"/>
  <c r="C274" i="4"/>
  <c r="C275" i="4" s="1"/>
  <c r="D274" i="4"/>
  <c r="D275" i="4" s="1"/>
  <c r="E274" i="4"/>
  <c r="E275" i="4" s="1"/>
  <c r="P31" i="11"/>
  <c r="Q213" i="34"/>
  <c r="Q214" i="34" s="1"/>
  <c r="P217" i="34"/>
  <c r="P218" i="34" s="1"/>
  <c r="O227" i="34"/>
  <c r="O226" i="34"/>
  <c r="O219" i="34"/>
  <c r="O220" i="34" s="1"/>
  <c r="C213" i="34"/>
  <c r="C214" i="34" s="1"/>
  <c r="D20" i="31"/>
  <c r="V28" i="4"/>
  <c r="P6" i="29"/>
  <c r="B304" i="4"/>
  <c r="D104" i="11"/>
  <c r="B258" i="4"/>
  <c r="G9" i="21"/>
  <c r="S56" i="11"/>
  <c r="S61" i="11" s="1"/>
  <c r="V6" i="11"/>
  <c r="T18" i="11"/>
  <c r="D48" i="11"/>
  <c r="D92" i="11"/>
  <c r="D70" i="11"/>
  <c r="E110" i="11"/>
  <c r="C205" i="4"/>
  <c r="G16" i="21" s="1"/>
  <c r="C220" i="4"/>
  <c r="G17" i="21" s="1"/>
  <c r="E249" i="4"/>
  <c r="D250" i="4"/>
  <c r="G21" i="31" s="1"/>
  <c r="D21" i="31" s="1"/>
  <c r="E56" i="11"/>
  <c r="E61" i="11" s="1"/>
  <c r="D13" i="7"/>
  <c r="C262" i="4"/>
  <c r="D268" i="4" s="1"/>
  <c r="E47" i="16"/>
  <c r="E32" i="16"/>
  <c r="J29" i="4"/>
  <c r="E7" i="29" s="1"/>
  <c r="E7" i="16" l="1"/>
  <c r="E23" i="11"/>
  <c r="S23" i="11"/>
  <c r="D262" i="4"/>
  <c r="E8" i="29"/>
  <c r="E9" i="31" s="1"/>
  <c r="E7" i="22"/>
  <c r="F7" i="11"/>
  <c r="E8" i="16"/>
  <c r="E10" i="16" s="1"/>
  <c r="T19" i="11"/>
  <c r="T22" i="11"/>
  <c r="T29" i="11" s="1"/>
  <c r="T38" i="11" s="1"/>
  <c r="Q6" i="22"/>
  <c r="N228" i="34"/>
  <c r="N229" i="34" s="1"/>
  <c r="P32" i="11"/>
  <c r="Q31" i="11"/>
  <c r="T23" i="11"/>
  <c r="R213" i="34"/>
  <c r="R214" i="34" s="1"/>
  <c r="Q217" i="34"/>
  <c r="Q218" i="34" s="1"/>
  <c r="P227" i="34"/>
  <c r="P226" i="34"/>
  <c r="P219" i="34"/>
  <c r="P220" i="34" s="1"/>
  <c r="C217" i="34"/>
  <c r="C218" i="34" s="1"/>
  <c r="G42" i="34"/>
  <c r="F19" i="7"/>
  <c r="E90" i="29"/>
  <c r="W28" i="4"/>
  <c r="Q6" i="29"/>
  <c r="D110" i="11"/>
  <c r="F44" i="16"/>
  <c r="F47" i="16" s="1"/>
  <c r="F29" i="16"/>
  <c r="F32" i="16" s="1"/>
  <c r="T56" i="11"/>
  <c r="T61" i="11" s="1"/>
  <c r="W6" i="11"/>
  <c r="U18" i="11"/>
  <c r="E250" i="4"/>
  <c r="G10" i="21"/>
  <c r="J30" i="4"/>
  <c r="D125" i="4"/>
  <c r="D100" i="4"/>
  <c r="F51" i="31" l="1"/>
  <c r="F80" i="31"/>
  <c r="E14" i="31"/>
  <c r="E8" i="22"/>
  <c r="F42" i="31"/>
  <c r="F7" i="29"/>
  <c r="F7" i="22" s="1"/>
  <c r="E11" i="16"/>
  <c r="F28" i="31"/>
  <c r="E262" i="4"/>
  <c r="E268" i="4"/>
  <c r="F64" i="31"/>
  <c r="C233" i="34"/>
  <c r="D188" i="4"/>
  <c r="D150" i="4"/>
  <c r="C9" i="33"/>
  <c r="F58" i="34"/>
  <c r="F8" i="11"/>
  <c r="F128" i="11" s="1"/>
  <c r="F7" i="16"/>
  <c r="U19" i="11"/>
  <c r="U22" i="11"/>
  <c r="U29" i="11" s="1"/>
  <c r="R6" i="22"/>
  <c r="C209" i="34"/>
  <c r="R31" i="11"/>
  <c r="R32" i="11" s="1"/>
  <c r="O228" i="34"/>
  <c r="O229" i="34" s="1"/>
  <c r="Q32" i="11"/>
  <c r="S213" i="34"/>
  <c r="S214" i="34" s="1"/>
  <c r="R217" i="34"/>
  <c r="R218" i="34" s="1"/>
  <c r="Q227" i="34"/>
  <c r="Q226" i="34"/>
  <c r="Q219" i="34"/>
  <c r="Q220" i="34" s="1"/>
  <c r="C227" i="34"/>
  <c r="C226" i="34"/>
  <c r="C219" i="34"/>
  <c r="C220" i="34" s="1"/>
  <c r="C199" i="34"/>
  <c r="F52" i="34"/>
  <c r="C84" i="34"/>
  <c r="D84" i="34" s="1"/>
  <c r="E84" i="34" s="1"/>
  <c r="F84" i="34" s="1"/>
  <c r="G84" i="34" s="1"/>
  <c r="H84" i="34" s="1"/>
  <c r="I84" i="34" s="1"/>
  <c r="J84" i="34" s="1"/>
  <c r="K84" i="34" s="1"/>
  <c r="L84" i="34" s="1"/>
  <c r="M84" i="34" s="1"/>
  <c r="N84" i="34" s="1"/>
  <c r="O84" i="34" s="1"/>
  <c r="P84" i="34" s="1"/>
  <c r="Q84" i="34" s="1"/>
  <c r="R84" i="34" s="1"/>
  <c r="C76" i="34"/>
  <c r="D76" i="34" s="1"/>
  <c r="E76" i="34" s="1"/>
  <c r="F76" i="34" s="1"/>
  <c r="G76" i="34" s="1"/>
  <c r="H76" i="34" s="1"/>
  <c r="I76" i="34" s="1"/>
  <c r="J76" i="34" s="1"/>
  <c r="K76" i="34" s="1"/>
  <c r="L76" i="34" s="1"/>
  <c r="M76" i="34" s="1"/>
  <c r="N76" i="34" s="1"/>
  <c r="O76" i="34" s="1"/>
  <c r="P76" i="34" s="1"/>
  <c r="Q76" i="34" s="1"/>
  <c r="R76" i="34" s="1"/>
  <c r="C111" i="34"/>
  <c r="D111" i="34" s="1"/>
  <c r="E111" i="34" s="1"/>
  <c r="F111" i="34" s="1"/>
  <c r="G111" i="34" s="1"/>
  <c r="H111" i="34" s="1"/>
  <c r="I111" i="34" s="1"/>
  <c r="J111" i="34" s="1"/>
  <c r="K111" i="34" s="1"/>
  <c r="L111" i="34" s="1"/>
  <c r="M111" i="34" s="1"/>
  <c r="N111" i="34" s="1"/>
  <c r="O111" i="34" s="1"/>
  <c r="P111" i="34" s="1"/>
  <c r="Q111" i="34" s="1"/>
  <c r="R111" i="34" s="1"/>
  <c r="C63" i="34"/>
  <c r="C96" i="34"/>
  <c r="D96" i="34" s="1"/>
  <c r="E96" i="34" s="1"/>
  <c r="F96" i="34" s="1"/>
  <c r="G96" i="34" s="1"/>
  <c r="H96" i="34" s="1"/>
  <c r="I96" i="34" s="1"/>
  <c r="J96" i="34" s="1"/>
  <c r="K96" i="34" s="1"/>
  <c r="L96" i="34" s="1"/>
  <c r="M96" i="34" s="1"/>
  <c r="N96" i="34" s="1"/>
  <c r="O96" i="34" s="1"/>
  <c r="P96" i="34" s="1"/>
  <c r="Q96" i="34" s="1"/>
  <c r="R96" i="34" s="1"/>
  <c r="C26" i="34"/>
  <c r="D26" i="34" s="1"/>
  <c r="E26" i="34" s="1"/>
  <c r="F26" i="34" s="1"/>
  <c r="G26" i="34" s="1"/>
  <c r="H26" i="34" s="1"/>
  <c r="I26" i="34" s="1"/>
  <c r="J26" i="34" s="1"/>
  <c r="K26" i="34" s="1"/>
  <c r="L26" i="34" s="1"/>
  <c r="M26" i="34" s="1"/>
  <c r="N26" i="34" s="1"/>
  <c r="O26" i="34" s="1"/>
  <c r="P26" i="34" s="1"/>
  <c r="Q26" i="34" s="1"/>
  <c r="R26" i="34" s="1"/>
  <c r="C36" i="34"/>
  <c r="D36" i="34" s="1"/>
  <c r="E36" i="34" s="1"/>
  <c r="F36" i="34" s="1"/>
  <c r="G36" i="34" s="1"/>
  <c r="H36" i="34" s="1"/>
  <c r="I36" i="34" s="1"/>
  <c r="J36" i="34" s="1"/>
  <c r="K36" i="34" s="1"/>
  <c r="L36" i="34" s="1"/>
  <c r="M36" i="34" s="1"/>
  <c r="N36" i="34" s="1"/>
  <c r="O36" i="34" s="1"/>
  <c r="P36" i="34" s="1"/>
  <c r="Q36" i="34" s="1"/>
  <c r="R36" i="34" s="1"/>
  <c r="C4" i="34"/>
  <c r="X28" i="4"/>
  <c r="R6" i="29"/>
  <c r="G29" i="16"/>
  <c r="G32" i="16" s="1"/>
  <c r="U56" i="11"/>
  <c r="U61" i="11" s="1"/>
  <c r="X6" i="11"/>
  <c r="V18" i="11"/>
  <c r="G44" i="16"/>
  <c r="D8" i="22"/>
  <c r="K29" i="4"/>
  <c r="D126" i="4"/>
  <c r="D101" i="4"/>
  <c r="U23" i="11" l="1"/>
  <c r="U29" i="22"/>
  <c r="U33" i="22" s="1"/>
  <c r="U38" i="11"/>
  <c r="F8" i="29"/>
  <c r="F8" i="22" s="1"/>
  <c r="F57" i="34"/>
  <c r="F262" i="4"/>
  <c r="F268" i="4"/>
  <c r="C11" i="33"/>
  <c r="C13" i="33"/>
  <c r="C12" i="33"/>
  <c r="C10" i="33"/>
  <c r="D189" i="4"/>
  <c r="D151" i="4"/>
  <c r="G58" i="34"/>
  <c r="G7" i="11"/>
  <c r="F8" i="16"/>
  <c r="F10" i="16" s="1"/>
  <c r="V19" i="11"/>
  <c r="V22" i="11"/>
  <c r="V29" i="11" s="1"/>
  <c r="S6" i="22"/>
  <c r="S31" i="11"/>
  <c r="Q228" i="34" s="1"/>
  <c r="Q229" i="34" s="1"/>
  <c r="P228" i="34"/>
  <c r="P229" i="34" s="1"/>
  <c r="C174" i="34"/>
  <c r="E31" i="11"/>
  <c r="T213" i="34"/>
  <c r="T214" i="34" s="1"/>
  <c r="S217" i="34"/>
  <c r="S218" i="34" s="1"/>
  <c r="R227" i="34"/>
  <c r="R226" i="34"/>
  <c r="R219" i="34"/>
  <c r="R220" i="34" s="1"/>
  <c r="D4" i="34"/>
  <c r="C151" i="34"/>
  <c r="D63" i="34"/>
  <c r="E10" i="11"/>
  <c r="Y28" i="4"/>
  <c r="S6" i="29"/>
  <c r="E34" i="16"/>
  <c r="E38" i="16" s="1"/>
  <c r="E49" i="16"/>
  <c r="E53" i="16" s="1"/>
  <c r="V56" i="11"/>
  <c r="V61" i="11" s="1"/>
  <c r="Y6" i="11"/>
  <c r="W18" i="11"/>
  <c r="G47" i="16"/>
  <c r="H29" i="16"/>
  <c r="K30" i="4"/>
  <c r="E125" i="4"/>
  <c r="E100" i="4"/>
  <c r="E10" i="22"/>
  <c r="E11" i="11"/>
  <c r="E89" i="22" s="1"/>
  <c r="D239" i="4"/>
  <c r="D200" i="4"/>
  <c r="F9" i="31" l="1"/>
  <c r="G64" i="31"/>
  <c r="G80" i="31"/>
  <c r="V23" i="11"/>
  <c r="G7" i="29"/>
  <c r="G7" i="22" s="1"/>
  <c r="G51" i="31"/>
  <c r="D233" i="34"/>
  <c r="G28" i="31"/>
  <c r="G42" i="31"/>
  <c r="V29" i="22"/>
  <c r="V33" i="22" s="1"/>
  <c r="V38" i="11"/>
  <c r="G52" i="34"/>
  <c r="F14" i="31"/>
  <c r="F11" i="16"/>
  <c r="U43" i="22"/>
  <c r="G262" i="4"/>
  <c r="G268" i="4"/>
  <c r="E188" i="4"/>
  <c r="E150" i="4"/>
  <c r="D9" i="33"/>
  <c r="H58" i="34"/>
  <c r="G8" i="11"/>
  <c r="G128" i="11" s="1"/>
  <c r="G7" i="16"/>
  <c r="W19" i="11"/>
  <c r="W22" i="11"/>
  <c r="W29" i="11" s="1"/>
  <c r="T6" i="22"/>
  <c r="S32" i="11"/>
  <c r="C228" i="34"/>
  <c r="C229" i="34" s="1"/>
  <c r="E32" i="11"/>
  <c r="D174" i="34"/>
  <c r="T31" i="11"/>
  <c r="D209" i="34"/>
  <c r="S227" i="34"/>
  <c r="S226" i="34"/>
  <c r="S219" i="34"/>
  <c r="S220" i="34" s="1"/>
  <c r="U213" i="34"/>
  <c r="U214" i="34" s="1"/>
  <c r="T217" i="34"/>
  <c r="T218" i="34" s="1"/>
  <c r="D199" i="34"/>
  <c r="E4" i="34"/>
  <c r="D151" i="34"/>
  <c r="E63" i="34"/>
  <c r="Z28" i="4"/>
  <c r="AA28" i="4" s="1"/>
  <c r="AB28" i="4" s="1"/>
  <c r="AC28" i="4" s="1"/>
  <c r="AD28" i="4" s="1"/>
  <c r="AE28" i="4" s="1"/>
  <c r="AF28" i="4" s="1"/>
  <c r="AG28" i="4" s="1"/>
  <c r="AH28" i="4" s="1"/>
  <c r="AI28" i="4" s="1"/>
  <c r="AJ28" i="4" s="1"/>
  <c r="AK28" i="4" s="1"/>
  <c r="AL28" i="4" s="1"/>
  <c r="AM28" i="4" s="1"/>
  <c r="AN28" i="4" s="1"/>
  <c r="AO28" i="4" s="1"/>
  <c r="AP28" i="4" s="1"/>
  <c r="AQ28" i="4" s="1"/>
  <c r="T6" i="29"/>
  <c r="W56" i="11"/>
  <c r="W61" i="11" s="1"/>
  <c r="Z6" i="11"/>
  <c r="X18" i="11"/>
  <c r="H32" i="16"/>
  <c r="H44" i="16"/>
  <c r="D215" i="4"/>
  <c r="D229" i="4" s="1"/>
  <c r="D240" i="4"/>
  <c r="D201" i="4"/>
  <c r="E54" i="16"/>
  <c r="E55" i="16" s="1"/>
  <c r="E126" i="4"/>
  <c r="L29" i="4"/>
  <c r="E101" i="4"/>
  <c r="E39" i="16"/>
  <c r="G8" i="29" l="1"/>
  <c r="G8" i="22" s="1"/>
  <c r="W23" i="11"/>
  <c r="W29" i="22"/>
  <c r="W33" i="22" s="1"/>
  <c r="W38" i="11"/>
  <c r="G57" i="34"/>
  <c r="E59" i="11"/>
  <c r="V43" i="22"/>
  <c r="H268" i="4"/>
  <c r="H262" i="4"/>
  <c r="G9" i="31"/>
  <c r="H28" i="31"/>
  <c r="D13" i="33"/>
  <c r="D12" i="33"/>
  <c r="D11" i="33"/>
  <c r="D10" i="33"/>
  <c r="E233" i="34"/>
  <c r="H64" i="31"/>
  <c r="H7" i="29"/>
  <c r="H8" i="29" s="1"/>
  <c r="I7" i="29" s="1"/>
  <c r="I8" i="29" s="1"/>
  <c r="I8" i="22" s="1"/>
  <c r="E189" i="4"/>
  <c r="E151" i="4"/>
  <c r="H80" i="31"/>
  <c r="H51" i="31"/>
  <c r="H42" i="31"/>
  <c r="I58" i="34"/>
  <c r="H7" i="11"/>
  <c r="G8" i="16"/>
  <c r="G10" i="16" s="1"/>
  <c r="X19" i="11"/>
  <c r="X22" i="11"/>
  <c r="X29" i="11" s="1"/>
  <c r="U6" i="22"/>
  <c r="F152" i="11"/>
  <c r="F156" i="11"/>
  <c r="F163" i="11"/>
  <c r="R228" i="34"/>
  <c r="R229" i="34" s="1"/>
  <c r="T32" i="11"/>
  <c r="E174" i="34"/>
  <c r="U31" i="11"/>
  <c r="T227" i="34"/>
  <c r="T226" i="34"/>
  <c r="T219" i="34"/>
  <c r="T220" i="34" s="1"/>
  <c r="U217" i="34"/>
  <c r="U218" i="34" s="1"/>
  <c r="X23" i="11"/>
  <c r="V213" i="34"/>
  <c r="V214" i="34" s="1"/>
  <c r="F4" i="34"/>
  <c r="E151" i="34"/>
  <c r="F63" i="34"/>
  <c r="F10" i="11"/>
  <c r="AR28" i="4"/>
  <c r="F52" i="16"/>
  <c r="F34" i="16"/>
  <c r="F38" i="16" s="1"/>
  <c r="F39" i="16" s="1"/>
  <c r="F49" i="16"/>
  <c r="F53" i="16" s="1"/>
  <c r="F54" i="16" s="1"/>
  <c r="F11" i="11"/>
  <c r="F10" i="22"/>
  <c r="X56" i="11"/>
  <c r="X61" i="11" s="1"/>
  <c r="AA6" i="11"/>
  <c r="Y18" i="11"/>
  <c r="H47" i="16"/>
  <c r="I29" i="16"/>
  <c r="E40" i="16"/>
  <c r="F37" i="16" s="1"/>
  <c r="E239" i="4"/>
  <c r="E200" i="4"/>
  <c r="D216" i="4"/>
  <c r="D230" i="4" s="1"/>
  <c r="D241" i="4"/>
  <c r="L30" i="4"/>
  <c r="F125" i="4"/>
  <c r="F100" i="4"/>
  <c r="X29" i="22" l="1"/>
  <c r="X33" i="22" s="1"/>
  <c r="X38" i="11"/>
  <c r="H52" i="34"/>
  <c r="G14" i="31"/>
  <c r="F59" i="11"/>
  <c r="G11" i="16"/>
  <c r="W43" i="22"/>
  <c r="I268" i="4"/>
  <c r="I262" i="4"/>
  <c r="F133" i="11"/>
  <c r="I64" i="31"/>
  <c r="F233" i="34"/>
  <c r="I42" i="31"/>
  <c r="I80" i="31"/>
  <c r="H8" i="22"/>
  <c r="H7" i="22"/>
  <c r="I51" i="31"/>
  <c r="I28" i="31"/>
  <c r="H9" i="31"/>
  <c r="F188" i="4"/>
  <c r="F150" i="4"/>
  <c r="I7" i="22"/>
  <c r="E9" i="33"/>
  <c r="J80" i="31"/>
  <c r="G233" i="34"/>
  <c r="J51" i="31"/>
  <c r="I9" i="31"/>
  <c r="J42" i="31"/>
  <c r="J64" i="31"/>
  <c r="J28" i="31"/>
  <c r="J7" i="29"/>
  <c r="J7" i="22" s="1"/>
  <c r="H8" i="11"/>
  <c r="H128" i="11" s="1"/>
  <c r="H7" i="16"/>
  <c r="Y19" i="11"/>
  <c r="Y22" i="11"/>
  <c r="Y29" i="11" s="1"/>
  <c r="V6" i="22"/>
  <c r="F153" i="11"/>
  <c r="F168" i="11"/>
  <c r="F160" i="11"/>
  <c r="S228" i="34"/>
  <c r="S229" i="34" s="1"/>
  <c r="U32" i="11"/>
  <c r="V31" i="11"/>
  <c r="F174" i="34"/>
  <c r="E209" i="34"/>
  <c r="W213" i="34"/>
  <c r="W214" i="34" s="1"/>
  <c r="V217" i="34"/>
  <c r="V218" i="34" s="1"/>
  <c r="U227" i="34"/>
  <c r="U226" i="34"/>
  <c r="U219" i="34"/>
  <c r="U220" i="34" s="1"/>
  <c r="E199" i="34"/>
  <c r="C200" i="34"/>
  <c r="G4" i="34"/>
  <c r="F151" i="34"/>
  <c r="G63" i="34"/>
  <c r="AS28" i="4"/>
  <c r="F55" i="16"/>
  <c r="Y56" i="11"/>
  <c r="Y61" i="11" s="1"/>
  <c r="AB6" i="11"/>
  <c r="Z18" i="11"/>
  <c r="I44" i="16"/>
  <c r="I32" i="16"/>
  <c r="F40" i="16"/>
  <c r="G37" i="16" s="1"/>
  <c r="E240" i="4"/>
  <c r="E201" i="4"/>
  <c r="E17" i="16"/>
  <c r="E94" i="11" s="1"/>
  <c r="E215" i="4"/>
  <c r="E229" i="4" s="1"/>
  <c r="M29" i="4"/>
  <c r="F126" i="4"/>
  <c r="F101" i="4"/>
  <c r="Y23" i="11" l="1"/>
  <c r="Y29" i="22"/>
  <c r="Y33" i="22" s="1"/>
  <c r="Y38" i="11"/>
  <c r="J52" i="34"/>
  <c r="I14" i="31"/>
  <c r="J57" i="34" s="1"/>
  <c r="H57" i="34"/>
  <c r="I52" i="34"/>
  <c r="H14" i="31"/>
  <c r="I57" i="34" s="1"/>
  <c r="X43" i="22"/>
  <c r="J268" i="4"/>
  <c r="J262" i="4"/>
  <c r="E12" i="33"/>
  <c r="E13" i="33"/>
  <c r="E10" i="33"/>
  <c r="E11" i="33"/>
  <c r="F189" i="4"/>
  <c r="F151" i="4"/>
  <c r="J8" i="29"/>
  <c r="J8" i="22" s="1"/>
  <c r="J58" i="34"/>
  <c r="I7" i="11"/>
  <c r="H8" i="16"/>
  <c r="H10" i="16" s="1"/>
  <c r="Z19" i="11"/>
  <c r="Z22" i="11"/>
  <c r="Z29" i="11" s="1"/>
  <c r="W6" i="22"/>
  <c r="G156" i="11"/>
  <c r="G160" i="11" s="1"/>
  <c r="G163" i="11"/>
  <c r="G168" i="11" s="1"/>
  <c r="G152" i="11"/>
  <c r="F170" i="11"/>
  <c r="T228" i="34"/>
  <c r="T229" i="34" s="1"/>
  <c r="V32" i="11"/>
  <c r="G174" i="34"/>
  <c r="Z23" i="11"/>
  <c r="X213" i="34"/>
  <c r="X214" i="34" s="1"/>
  <c r="W217" i="34"/>
  <c r="W218" i="34" s="1"/>
  <c r="W31" i="11"/>
  <c r="V227" i="34"/>
  <c r="V226" i="34"/>
  <c r="V219" i="34"/>
  <c r="V220" i="34" s="1"/>
  <c r="H4" i="34"/>
  <c r="G151" i="34"/>
  <c r="H63" i="34"/>
  <c r="G10" i="11"/>
  <c r="AT28" i="4"/>
  <c r="G52" i="16"/>
  <c r="G49" i="16"/>
  <c r="G53" i="16" s="1"/>
  <c r="G34" i="16"/>
  <c r="G38" i="16" s="1"/>
  <c r="G39" i="16" s="1"/>
  <c r="G11" i="11"/>
  <c r="G10" i="22"/>
  <c r="E241" i="4"/>
  <c r="Z56" i="11"/>
  <c r="Z61" i="11" s="1"/>
  <c r="AC6" i="11"/>
  <c r="AA18" i="11"/>
  <c r="I47" i="16"/>
  <c r="J29" i="16"/>
  <c r="G125" i="4"/>
  <c r="M30" i="4"/>
  <c r="G100" i="4"/>
  <c r="E216" i="4"/>
  <c r="E230" i="4" s="1"/>
  <c r="F239" i="4"/>
  <c r="F200" i="4"/>
  <c r="Z29" i="22" l="1"/>
  <c r="Z33" i="22" s="1"/>
  <c r="Z38" i="11"/>
  <c r="F172" i="4"/>
  <c r="D172" i="4"/>
  <c r="D173" i="4" s="1"/>
  <c r="E172" i="4"/>
  <c r="H11" i="16"/>
  <c r="Y43" i="22"/>
  <c r="K268" i="4"/>
  <c r="K262" i="4"/>
  <c r="K64" i="31"/>
  <c r="J9" i="31"/>
  <c r="K51" i="31"/>
  <c r="K7" i="29"/>
  <c r="K8" i="29" s="1"/>
  <c r="K8" i="22" s="1"/>
  <c r="K28" i="31"/>
  <c r="K42" i="31"/>
  <c r="G188" i="4"/>
  <c r="G150" i="4"/>
  <c r="K80" i="31"/>
  <c r="H233" i="34"/>
  <c r="F9" i="33"/>
  <c r="K58" i="34"/>
  <c r="I8" i="11"/>
  <c r="I128" i="11" s="1"/>
  <c r="I7" i="16"/>
  <c r="AA19" i="11"/>
  <c r="AA22" i="11"/>
  <c r="AA29" i="11" s="1"/>
  <c r="X6" i="22"/>
  <c r="G153" i="11"/>
  <c r="G170" i="11" s="1"/>
  <c r="L58" i="34"/>
  <c r="U228" i="34"/>
  <c r="U229" i="34" s="1"/>
  <c r="W32" i="11"/>
  <c r="H174" i="34"/>
  <c r="X31" i="11"/>
  <c r="F209" i="34"/>
  <c r="AA23" i="11"/>
  <c r="Y213" i="34"/>
  <c r="Y214" i="34" s="1"/>
  <c r="W227" i="34"/>
  <c r="W226" i="34"/>
  <c r="W219" i="34"/>
  <c r="W220" i="34" s="1"/>
  <c r="X217" i="34"/>
  <c r="X218" i="34" s="1"/>
  <c r="F199" i="34"/>
  <c r="D200" i="34"/>
  <c r="I4" i="34"/>
  <c r="H151" i="34"/>
  <c r="I63" i="34"/>
  <c r="F17" i="16"/>
  <c r="F94" i="11" s="1"/>
  <c r="AU28" i="4"/>
  <c r="AA56" i="11"/>
  <c r="AA61" i="11" s="1"/>
  <c r="AD6" i="11"/>
  <c r="AB18" i="11"/>
  <c r="G40" i="16"/>
  <c r="H37" i="16" s="1"/>
  <c r="J32" i="16"/>
  <c r="J44" i="16"/>
  <c r="G54" i="16"/>
  <c r="G55" i="16" s="1"/>
  <c r="F240" i="4"/>
  <c r="F201" i="4"/>
  <c r="G126" i="4"/>
  <c r="N29" i="4"/>
  <c r="G101" i="4"/>
  <c r="F215" i="4"/>
  <c r="F229" i="4" s="1"/>
  <c r="D164" i="4" l="1"/>
  <c r="D163" i="4"/>
  <c r="D170" i="4"/>
  <c r="D160" i="4"/>
  <c r="D157" i="4"/>
  <c r="D171" i="4"/>
  <c r="D165" i="4"/>
  <c r="D156" i="4"/>
  <c r="D152" i="4"/>
  <c r="D153" i="4"/>
  <c r="D162" i="4"/>
  <c r="D166" i="4"/>
  <c r="D169" i="4"/>
  <c r="D158" i="4"/>
  <c r="D159" i="4"/>
  <c r="D167" i="4"/>
  <c r="D154" i="4"/>
  <c r="D168" i="4"/>
  <c r="D161" i="4"/>
  <c r="D155" i="4"/>
  <c r="AA29" i="22"/>
  <c r="AA33" i="22" s="1"/>
  <c r="AA38" i="11"/>
  <c r="K52" i="34"/>
  <c r="J14" i="31"/>
  <c r="G133" i="11"/>
  <c r="E173" i="4"/>
  <c r="G59" i="11"/>
  <c r="Z43" i="22"/>
  <c r="L268" i="4"/>
  <c r="L262" i="4"/>
  <c r="L28" i="31"/>
  <c r="L80" i="31"/>
  <c r="I233" i="34"/>
  <c r="L64" i="31"/>
  <c r="L7" i="29"/>
  <c r="L7" i="22" s="1"/>
  <c r="F13" i="33"/>
  <c r="F12" i="33"/>
  <c r="F11" i="33"/>
  <c r="F10" i="33"/>
  <c r="L51" i="31"/>
  <c r="K9" i="31"/>
  <c r="K12" i="31" s="1"/>
  <c r="K7" i="22"/>
  <c r="L42" i="31"/>
  <c r="G189" i="4"/>
  <c r="G151" i="4"/>
  <c r="G172" i="4" s="1"/>
  <c r="J7" i="11"/>
  <c r="I8" i="16"/>
  <c r="I10" i="16" s="1"/>
  <c r="AB19" i="11"/>
  <c r="AB22" i="11"/>
  <c r="AB29" i="11" s="1"/>
  <c r="Y6" i="22"/>
  <c r="H156" i="11"/>
  <c r="H163" i="11"/>
  <c r="H152" i="11"/>
  <c r="M58" i="34"/>
  <c r="V228" i="34"/>
  <c r="V229" i="34" s="1"/>
  <c r="X32" i="11"/>
  <c r="I174" i="34"/>
  <c r="Y31" i="11"/>
  <c r="X227" i="34"/>
  <c r="X226" i="34"/>
  <c r="X219" i="34"/>
  <c r="X220" i="34" s="1"/>
  <c r="AB23" i="11"/>
  <c r="Z213" i="34"/>
  <c r="Z214" i="34" s="1"/>
  <c r="Y217" i="34"/>
  <c r="Y218" i="34" s="1"/>
  <c r="J4" i="34"/>
  <c r="I151" i="34"/>
  <c r="J63" i="34"/>
  <c r="H10" i="11"/>
  <c r="AV28" i="4"/>
  <c r="H52" i="16"/>
  <c r="H34" i="16"/>
  <c r="H38" i="16" s="1"/>
  <c r="H39" i="16" s="1"/>
  <c r="H49" i="16"/>
  <c r="H53" i="16" s="1"/>
  <c r="H54" i="16" s="1"/>
  <c r="H11" i="11"/>
  <c r="H10" i="22"/>
  <c r="F241" i="4"/>
  <c r="AB56" i="11"/>
  <c r="AB61" i="11" s="1"/>
  <c r="AE6" i="11"/>
  <c r="AC18" i="11"/>
  <c r="K29" i="16"/>
  <c r="J47" i="16"/>
  <c r="F216" i="4"/>
  <c r="F230" i="4" s="1"/>
  <c r="N30" i="4"/>
  <c r="H125" i="4"/>
  <c r="H100" i="4"/>
  <c r="G239" i="4"/>
  <c r="G200" i="4"/>
  <c r="E163" i="4" l="1"/>
  <c r="E162" i="4"/>
  <c r="E160" i="4"/>
  <c r="E157" i="4"/>
  <c r="E171" i="4"/>
  <c r="E165" i="4"/>
  <c r="E169" i="4"/>
  <c r="E153" i="4"/>
  <c r="E164" i="4"/>
  <c r="E166" i="4"/>
  <c r="E154" i="4"/>
  <c r="E167" i="4"/>
  <c r="E158" i="4"/>
  <c r="E159" i="4"/>
  <c r="E152" i="4"/>
  <c r="E168" i="4"/>
  <c r="E170" i="4"/>
  <c r="E156" i="4"/>
  <c r="E161" i="4"/>
  <c r="E155" i="4"/>
  <c r="AB29" i="22"/>
  <c r="AB33" i="22" s="1"/>
  <c r="AB38" i="11"/>
  <c r="L89" i="31"/>
  <c r="L90" i="31"/>
  <c r="L82" i="31"/>
  <c r="L84" i="31"/>
  <c r="L91" i="31"/>
  <c r="L83" i="31"/>
  <c r="L87" i="31"/>
  <c r="L85" i="31"/>
  <c r="L92" i="31"/>
  <c r="L86" i="31"/>
  <c r="L88" i="31"/>
  <c r="L44" i="31"/>
  <c r="L45" i="31"/>
  <c r="L46" i="31"/>
  <c r="L52" i="34"/>
  <c r="K11" i="31"/>
  <c r="K13" i="31"/>
  <c r="K14" i="31"/>
  <c r="L57" i="34" s="1"/>
  <c r="L38" i="31"/>
  <c r="L34" i="31"/>
  <c r="L30" i="31"/>
  <c r="L36" i="31"/>
  <c r="L32" i="31"/>
  <c r="L56" i="31"/>
  <c r="L57" i="31"/>
  <c r="L58" i="31"/>
  <c r="L53" i="31"/>
  <c r="L59" i="31"/>
  <c r="L54" i="31"/>
  <c r="E35" i="11"/>
  <c r="F173" i="4"/>
  <c r="L68" i="31"/>
  <c r="L70" i="31"/>
  <c r="L71" i="31"/>
  <c r="L73" i="31"/>
  <c r="L74" i="31"/>
  <c r="L66" i="31"/>
  <c r="L75" i="31"/>
  <c r="L67" i="31"/>
  <c r="K57" i="34"/>
  <c r="H59" i="11"/>
  <c r="I11" i="16"/>
  <c r="AA43" i="22"/>
  <c r="M268" i="4"/>
  <c r="M262" i="4"/>
  <c r="L8" i="29"/>
  <c r="L8" i="22" s="1"/>
  <c r="H188" i="4"/>
  <c r="H150" i="4"/>
  <c r="L9" i="31"/>
  <c r="L12" i="31" s="1"/>
  <c r="G9" i="33"/>
  <c r="J8" i="11"/>
  <c r="J128" i="11" s="1"/>
  <c r="J7" i="16"/>
  <c r="AC19" i="11"/>
  <c r="AC22" i="11"/>
  <c r="AC29" i="11" s="1"/>
  <c r="Z6" i="22"/>
  <c r="H153" i="11"/>
  <c r="H168" i="11"/>
  <c r="H160" i="11"/>
  <c r="N58" i="34"/>
  <c r="W228" i="34"/>
  <c r="W229" i="34" s="1"/>
  <c r="Y32" i="11"/>
  <c r="J174" i="34"/>
  <c r="G209" i="34"/>
  <c r="AC23" i="11"/>
  <c r="AA213" i="34"/>
  <c r="AA214" i="34" s="1"/>
  <c r="Z217" i="34"/>
  <c r="Z218" i="34" s="1"/>
  <c r="Z31" i="11"/>
  <c r="Y227" i="34"/>
  <c r="Y226" i="34"/>
  <c r="Y219" i="34"/>
  <c r="Y220" i="34" s="1"/>
  <c r="G199" i="34"/>
  <c r="E200" i="34"/>
  <c r="K4" i="34"/>
  <c r="J151" i="34"/>
  <c r="K63" i="34"/>
  <c r="G17" i="16"/>
  <c r="G94" i="11" s="1"/>
  <c r="AW28" i="4"/>
  <c r="AC56" i="11"/>
  <c r="AC61" i="11" s="1"/>
  <c r="AF6" i="11"/>
  <c r="AD18" i="11"/>
  <c r="H40" i="16"/>
  <c r="I37" i="16" s="1"/>
  <c r="K44" i="16"/>
  <c r="H55" i="16"/>
  <c r="K32" i="16"/>
  <c r="G215" i="4"/>
  <c r="G229" i="4" s="1"/>
  <c r="G240" i="4"/>
  <c r="G201" i="4"/>
  <c r="O29" i="4"/>
  <c r="H126" i="4"/>
  <c r="H101" i="4"/>
  <c r="F162" i="4" l="1"/>
  <c r="F161" i="4"/>
  <c r="F171" i="4"/>
  <c r="F165" i="4"/>
  <c r="F163" i="4"/>
  <c r="F166" i="4"/>
  <c r="F169" i="4"/>
  <c r="F153" i="4"/>
  <c r="F164" i="4"/>
  <c r="F167" i="4"/>
  <c r="F154" i="4"/>
  <c r="F158" i="4"/>
  <c r="F170" i="4"/>
  <c r="F152" i="4"/>
  <c r="F157" i="4"/>
  <c r="F168" i="4"/>
  <c r="F160" i="4"/>
  <c r="F159" i="4"/>
  <c r="F156" i="4"/>
  <c r="F155" i="4"/>
  <c r="AC29" i="22"/>
  <c r="AC33" i="22" s="1"/>
  <c r="AC38" i="11"/>
  <c r="J233" i="34"/>
  <c r="L72" i="31"/>
  <c r="L37" i="31"/>
  <c r="L60" i="31"/>
  <c r="M80" i="31"/>
  <c r="M88" i="31" s="1"/>
  <c r="L35" i="31"/>
  <c r="G173" i="4"/>
  <c r="L39" i="31"/>
  <c r="F35" i="11"/>
  <c r="F36" i="11" s="1"/>
  <c r="E36" i="11"/>
  <c r="M64" i="31"/>
  <c r="M7" i="29"/>
  <c r="M8" i="29" s="1"/>
  <c r="L55" i="31"/>
  <c r="M52" i="34"/>
  <c r="L11" i="31"/>
  <c r="L13" i="31"/>
  <c r="L14" i="31"/>
  <c r="M57" i="34" s="1"/>
  <c r="H133" i="11"/>
  <c r="L69" i="31"/>
  <c r="M89" i="31"/>
  <c r="M90" i="31"/>
  <c r="M82" i="31"/>
  <c r="M84" i="31"/>
  <c r="M91" i="31"/>
  <c r="M83" i="31"/>
  <c r="M85" i="31"/>
  <c r="L76" i="31"/>
  <c r="L33" i="31"/>
  <c r="L47" i="31"/>
  <c r="AB43" i="22"/>
  <c r="N268" i="4"/>
  <c r="N262" i="4"/>
  <c r="M51" i="31"/>
  <c r="M42" i="31"/>
  <c r="M28" i="31"/>
  <c r="G13" i="33"/>
  <c r="G12" i="33"/>
  <c r="G11" i="33"/>
  <c r="G10" i="33"/>
  <c r="H189" i="4"/>
  <c r="H151" i="4"/>
  <c r="H172" i="4" s="1"/>
  <c r="K7" i="11"/>
  <c r="J8" i="16"/>
  <c r="J10" i="16" s="1"/>
  <c r="AD19" i="11"/>
  <c r="AD22" i="11"/>
  <c r="AD29" i="11" s="1"/>
  <c r="AA6" i="22"/>
  <c r="I156" i="11"/>
  <c r="I163" i="11"/>
  <c r="I152" i="11"/>
  <c r="H170" i="11"/>
  <c r="O58" i="34"/>
  <c r="AA31" i="11"/>
  <c r="Y228" i="34" s="1"/>
  <c r="Y229" i="34" s="1"/>
  <c r="X228" i="34"/>
  <c r="X229" i="34" s="1"/>
  <c r="Z32" i="11"/>
  <c r="K174" i="34"/>
  <c r="AB213" i="34"/>
  <c r="AB214" i="34" s="1"/>
  <c r="AA217" i="34"/>
  <c r="AA218" i="34" s="1"/>
  <c r="Z227" i="34"/>
  <c r="Z226" i="34"/>
  <c r="Z219" i="34"/>
  <c r="Z220" i="34" s="1"/>
  <c r="L4" i="34"/>
  <c r="K151" i="34"/>
  <c r="L63" i="34"/>
  <c r="I10" i="11"/>
  <c r="AX28" i="4"/>
  <c r="I52" i="16"/>
  <c r="I34" i="16"/>
  <c r="I38" i="16" s="1"/>
  <c r="I49" i="16"/>
  <c r="I53" i="16" s="1"/>
  <c r="I54" i="16" s="1"/>
  <c r="I11" i="11"/>
  <c r="I10" i="22"/>
  <c r="G241" i="4"/>
  <c r="AD56" i="11"/>
  <c r="AD61" i="11" s="1"/>
  <c r="AG6" i="11"/>
  <c r="AH6" i="11" s="1"/>
  <c r="AI6" i="11" s="1"/>
  <c r="AJ6" i="11" s="1"/>
  <c r="AK6" i="11" s="1"/>
  <c r="AL6" i="11" s="1"/>
  <c r="AM6" i="11" s="1"/>
  <c r="AN6" i="11" s="1"/>
  <c r="AO6" i="11" s="1"/>
  <c r="AP6" i="11" s="1"/>
  <c r="AQ6" i="11" s="1"/>
  <c r="AR6" i="11" s="1"/>
  <c r="AS6" i="11" s="1"/>
  <c r="AT6" i="11" s="1"/>
  <c r="AU6" i="11" s="1"/>
  <c r="AV6" i="11" s="1"/>
  <c r="AW6" i="11" s="1"/>
  <c r="AX6" i="11" s="1"/>
  <c r="AY6" i="11" s="1"/>
  <c r="AZ6" i="11" s="1"/>
  <c r="BA6" i="11" s="1"/>
  <c r="BB6" i="11" s="1"/>
  <c r="BC6" i="11" s="1"/>
  <c r="BD6" i="11" s="1"/>
  <c r="BE6" i="11" s="1"/>
  <c r="BF6" i="11" s="1"/>
  <c r="BG6" i="11" s="1"/>
  <c r="BH6" i="11" s="1"/>
  <c r="BI6" i="11" s="1"/>
  <c r="BJ6" i="11" s="1"/>
  <c r="BK6" i="11" s="1"/>
  <c r="BL6" i="11" s="1"/>
  <c r="BM6" i="11" s="1"/>
  <c r="AE18" i="11"/>
  <c r="K47" i="16"/>
  <c r="L29" i="16"/>
  <c r="O30" i="4"/>
  <c r="I125" i="4"/>
  <c r="I100" i="4"/>
  <c r="G216" i="4"/>
  <c r="G230" i="4" s="1"/>
  <c r="H239" i="4"/>
  <c r="H200" i="4"/>
  <c r="G161" i="4" l="1"/>
  <c r="G171" i="4"/>
  <c r="G158" i="4"/>
  <c r="G166" i="4"/>
  <c r="G162" i="4"/>
  <c r="G164" i="4"/>
  <c r="G154" i="4"/>
  <c r="G155" i="4"/>
  <c r="G165" i="4"/>
  <c r="G163" i="4"/>
  <c r="G167" i="4"/>
  <c r="G159" i="4"/>
  <c r="G169" i="4"/>
  <c r="G153" i="4"/>
  <c r="G152" i="4"/>
  <c r="G157" i="4"/>
  <c r="G168" i="4"/>
  <c r="G160" i="4"/>
  <c r="G170" i="4"/>
  <c r="G156" i="4"/>
  <c r="M87" i="31"/>
  <c r="M86" i="31"/>
  <c r="AD23" i="11"/>
  <c r="M92" i="31"/>
  <c r="AD29" i="22"/>
  <c r="AD33" i="22" s="1"/>
  <c r="AD38" i="11"/>
  <c r="M7" i="22"/>
  <c r="L61" i="31"/>
  <c r="M56" i="31"/>
  <c r="M57" i="31"/>
  <c r="M58" i="31"/>
  <c r="M59" i="31"/>
  <c r="M53" i="31"/>
  <c r="M54" i="31"/>
  <c r="G35" i="11"/>
  <c r="G36" i="11" s="1"/>
  <c r="M68" i="31"/>
  <c r="M70" i="31"/>
  <c r="M71" i="31"/>
  <c r="M74" i="31"/>
  <c r="M73" i="31"/>
  <c r="M66" i="31"/>
  <c r="M75" i="31"/>
  <c r="M67" i="31"/>
  <c r="M44" i="31"/>
  <c r="M45" i="31"/>
  <c r="M46" i="31"/>
  <c r="L77" i="31"/>
  <c r="H173" i="4"/>
  <c r="M38" i="31"/>
  <c r="M34" i="31"/>
  <c r="M30" i="31"/>
  <c r="M31" i="31" s="1"/>
  <c r="M36" i="31"/>
  <c r="M32" i="31"/>
  <c r="J11" i="16"/>
  <c r="AC43" i="22"/>
  <c r="O268" i="4"/>
  <c r="O262" i="4"/>
  <c r="I133" i="11"/>
  <c r="I188" i="4"/>
  <c r="I150" i="4"/>
  <c r="M8" i="22"/>
  <c r="N64" i="31"/>
  <c r="N42" i="31"/>
  <c r="N80" i="31"/>
  <c r="M9" i="31"/>
  <c r="M12" i="31" s="1"/>
  <c r="N51" i="31"/>
  <c r="K233" i="34"/>
  <c r="N7" i="29"/>
  <c r="N28" i="31"/>
  <c r="H9" i="33"/>
  <c r="K8" i="11"/>
  <c r="K128" i="11" s="1"/>
  <c r="K7" i="16"/>
  <c r="AE19" i="11"/>
  <c r="AE22" i="11"/>
  <c r="AE29" i="11" s="1"/>
  <c r="AB6" i="22"/>
  <c r="I153" i="11"/>
  <c r="I168" i="11"/>
  <c r="I160" i="11"/>
  <c r="AA32" i="11"/>
  <c r="L174" i="34"/>
  <c r="AB31" i="11"/>
  <c r="H209" i="34"/>
  <c r="AA227" i="34"/>
  <c r="AA226" i="34"/>
  <c r="AA219" i="34"/>
  <c r="AA220" i="34" s="1"/>
  <c r="AE23" i="11"/>
  <c r="AC213" i="34"/>
  <c r="AC214" i="34" s="1"/>
  <c r="AB217" i="34"/>
  <c r="AB218" i="34" s="1"/>
  <c r="H199" i="34"/>
  <c r="F200" i="34"/>
  <c r="M4" i="34"/>
  <c r="L151" i="34"/>
  <c r="M63" i="34"/>
  <c r="H17" i="16"/>
  <c r="H94" i="11" s="1"/>
  <c r="AY28" i="4"/>
  <c r="AE56" i="11"/>
  <c r="AE61" i="11" s="1"/>
  <c r="AF18" i="11"/>
  <c r="I55" i="16"/>
  <c r="L32" i="16"/>
  <c r="L44" i="16"/>
  <c r="I39" i="16"/>
  <c r="I59" i="11" s="1"/>
  <c r="P29" i="4"/>
  <c r="I126" i="4"/>
  <c r="I101" i="4"/>
  <c r="H215" i="4"/>
  <c r="H229" i="4" s="1"/>
  <c r="H240" i="4"/>
  <c r="H201" i="4"/>
  <c r="H160" i="4" l="1"/>
  <c r="H171" i="4"/>
  <c r="H170" i="4"/>
  <c r="H166" i="4"/>
  <c r="H162" i="4"/>
  <c r="H158" i="4"/>
  <c r="H155" i="4"/>
  <c r="H167" i="4"/>
  <c r="H154" i="4"/>
  <c r="H165" i="4"/>
  <c r="H163" i="4"/>
  <c r="H157" i="4"/>
  <c r="H168" i="4"/>
  <c r="H159" i="4"/>
  <c r="H153" i="4"/>
  <c r="H156" i="4"/>
  <c r="H169" i="4"/>
  <c r="H164" i="4"/>
  <c r="H152" i="4"/>
  <c r="H161" i="4"/>
  <c r="AE29" i="22"/>
  <c r="AE33" i="22" s="1"/>
  <c r="AE38" i="11"/>
  <c r="M33" i="31"/>
  <c r="M37" i="31"/>
  <c r="M72" i="31"/>
  <c r="M76" i="31"/>
  <c r="N34" i="31"/>
  <c r="N36" i="31"/>
  <c r="N30" i="31"/>
  <c r="N31" i="31" s="1"/>
  <c r="N32" i="31"/>
  <c r="N38" i="31"/>
  <c r="M47" i="31"/>
  <c r="N57" i="31"/>
  <c r="N58" i="31"/>
  <c r="N59" i="31"/>
  <c r="N54" i="31"/>
  <c r="N53" i="31"/>
  <c r="N56" i="31"/>
  <c r="H35" i="11"/>
  <c r="N52" i="34"/>
  <c r="M11" i="31"/>
  <c r="M13" i="31"/>
  <c r="M14" i="31"/>
  <c r="N57" i="34" s="1"/>
  <c r="M55" i="31"/>
  <c r="M69" i="31"/>
  <c r="M35" i="31"/>
  <c r="M60" i="31"/>
  <c r="N90" i="31"/>
  <c r="N82" i="31"/>
  <c r="N84" i="31"/>
  <c r="N91" i="31"/>
  <c r="N83" i="31"/>
  <c r="N85" i="31"/>
  <c r="N92" i="31"/>
  <c r="N86" i="31"/>
  <c r="N88" i="31"/>
  <c r="N87" i="31"/>
  <c r="N89" i="31"/>
  <c r="N44" i="31"/>
  <c r="N45" i="31"/>
  <c r="N46" i="31"/>
  <c r="N70" i="31"/>
  <c r="N71" i="31"/>
  <c r="N73" i="31"/>
  <c r="N67" i="31"/>
  <c r="N74" i="31"/>
  <c r="N66" i="31"/>
  <c r="N75" i="31"/>
  <c r="N68" i="31"/>
  <c r="M39" i="31"/>
  <c r="AD43" i="22"/>
  <c r="P262" i="4"/>
  <c r="P268" i="4"/>
  <c r="H11" i="33"/>
  <c r="H10" i="33"/>
  <c r="H12" i="33"/>
  <c r="H13" i="33"/>
  <c r="I189" i="4"/>
  <c r="I151" i="4"/>
  <c r="I172" i="4" s="1"/>
  <c r="I173" i="4" s="1"/>
  <c r="N7" i="22"/>
  <c r="N8" i="29"/>
  <c r="P58" i="34"/>
  <c r="L7" i="11"/>
  <c r="K8" i="16"/>
  <c r="K10" i="16" s="1"/>
  <c r="AF19" i="11"/>
  <c r="AF22" i="11"/>
  <c r="AF29" i="11" s="1"/>
  <c r="AC6" i="22"/>
  <c r="J156" i="11"/>
  <c r="J163" i="11"/>
  <c r="I170" i="11"/>
  <c r="J152" i="11"/>
  <c r="Z228" i="34"/>
  <c r="Z229" i="34" s="1"/>
  <c r="AB32" i="11"/>
  <c r="M174" i="34"/>
  <c r="AC217" i="34"/>
  <c r="AC218" i="34" s="1"/>
  <c r="AF23" i="11"/>
  <c r="AD213" i="34"/>
  <c r="AD214" i="34" s="1"/>
  <c r="AC31" i="11"/>
  <c r="AB227" i="34"/>
  <c r="AB226" i="34"/>
  <c r="AB219" i="34"/>
  <c r="AB220" i="34" s="1"/>
  <c r="N4" i="34"/>
  <c r="M151" i="34"/>
  <c r="N63" i="34"/>
  <c r="J10" i="11"/>
  <c r="AZ28" i="4"/>
  <c r="J52" i="16"/>
  <c r="I40" i="16"/>
  <c r="J37" i="16" s="1"/>
  <c r="J34" i="16"/>
  <c r="J38" i="16" s="1"/>
  <c r="J39" i="16" s="1"/>
  <c r="J49" i="16"/>
  <c r="J53" i="16" s="1"/>
  <c r="J54" i="16" s="1"/>
  <c r="J11" i="11"/>
  <c r="J10" i="22"/>
  <c r="AF56" i="11"/>
  <c r="AF61" i="11" s="1"/>
  <c r="AG18" i="11"/>
  <c r="D18" i="11"/>
  <c r="L47" i="16"/>
  <c r="M29" i="16"/>
  <c r="I239" i="4"/>
  <c r="I200" i="4"/>
  <c r="H216" i="4"/>
  <c r="H230" i="4" s="1"/>
  <c r="H241" i="4"/>
  <c r="P30" i="4"/>
  <c r="J125" i="4"/>
  <c r="J100" i="4"/>
  <c r="I171" i="4" l="1"/>
  <c r="I159" i="4"/>
  <c r="I170" i="4"/>
  <c r="I169" i="4"/>
  <c r="I162" i="4"/>
  <c r="I158" i="4"/>
  <c r="I168" i="4"/>
  <c r="I167" i="4"/>
  <c r="I155" i="4"/>
  <c r="I154" i="4"/>
  <c r="I165" i="4"/>
  <c r="I163" i="4"/>
  <c r="I161" i="4"/>
  <c r="I166" i="4"/>
  <c r="I157" i="4"/>
  <c r="I152" i="4"/>
  <c r="I153" i="4"/>
  <c r="I164" i="4"/>
  <c r="I160" i="4"/>
  <c r="I156" i="4"/>
  <c r="AF29" i="22"/>
  <c r="AF33" i="22" s="1"/>
  <c r="AF38" i="11"/>
  <c r="N60" i="31"/>
  <c r="N55" i="31"/>
  <c r="M77" i="31"/>
  <c r="N69" i="31"/>
  <c r="H36" i="11"/>
  <c r="N35" i="31"/>
  <c r="N47" i="31"/>
  <c r="I35" i="11"/>
  <c r="I36" i="11" s="1"/>
  <c r="N37" i="31"/>
  <c r="M61" i="31"/>
  <c r="N39" i="31"/>
  <c r="N72" i="31"/>
  <c r="N76" i="31"/>
  <c r="N33" i="31"/>
  <c r="J59" i="11"/>
  <c r="K11" i="16"/>
  <c r="AE43" i="22"/>
  <c r="Q262" i="4"/>
  <c r="Q268" i="4"/>
  <c r="J188" i="4"/>
  <c r="J150" i="4"/>
  <c r="N8" i="22"/>
  <c r="O7" i="29"/>
  <c r="L233" i="34"/>
  <c r="O51" i="31"/>
  <c r="O80" i="31"/>
  <c r="O42" i="31"/>
  <c r="O64" i="31"/>
  <c r="N9" i="31"/>
  <c r="N12" i="31" s="1"/>
  <c r="O28" i="31"/>
  <c r="I9" i="33"/>
  <c r="L8" i="11"/>
  <c r="L128" i="11" s="1"/>
  <c r="L7" i="16"/>
  <c r="AG19" i="11"/>
  <c r="AG22" i="11"/>
  <c r="AG29" i="11" s="1"/>
  <c r="AD6" i="22"/>
  <c r="J153" i="11"/>
  <c r="J168" i="11"/>
  <c r="J160" i="11"/>
  <c r="AA228" i="34"/>
  <c r="AA229" i="34" s="1"/>
  <c r="AC32" i="11"/>
  <c r="D19" i="11"/>
  <c r="D22" i="11" s="1"/>
  <c r="N174" i="34"/>
  <c r="AD31" i="11"/>
  <c r="I209" i="34"/>
  <c r="AG23" i="11"/>
  <c r="AE213" i="34"/>
  <c r="AE214" i="34" s="1"/>
  <c r="AD217" i="34"/>
  <c r="AD218" i="34" s="1"/>
  <c r="AC226" i="34"/>
  <c r="AC219" i="34"/>
  <c r="AC220" i="34" s="1"/>
  <c r="AC227" i="34"/>
  <c r="I199" i="34"/>
  <c r="I17" i="16"/>
  <c r="I94" i="11" s="1"/>
  <c r="G200" i="34"/>
  <c r="O4" i="34"/>
  <c r="N151" i="34"/>
  <c r="O63" i="34"/>
  <c r="BA28" i="4"/>
  <c r="AG56" i="11"/>
  <c r="AG61" i="11" s="1"/>
  <c r="J55" i="16"/>
  <c r="M32" i="16"/>
  <c r="M44" i="16"/>
  <c r="J40" i="16"/>
  <c r="K37" i="16" s="1"/>
  <c r="J126" i="4"/>
  <c r="Q29" i="4"/>
  <c r="J101" i="4"/>
  <c r="I240" i="4"/>
  <c r="I201" i="4"/>
  <c r="I215" i="4"/>
  <c r="I229" i="4" s="1"/>
  <c r="AG29" i="22" l="1"/>
  <c r="AG33" i="22" s="1"/>
  <c r="AG38" i="11"/>
  <c r="N77" i="31"/>
  <c r="N61" i="31"/>
  <c r="O90" i="31"/>
  <c r="O82" i="31"/>
  <c r="O84" i="31"/>
  <c r="O91" i="31"/>
  <c r="O85" i="31"/>
  <c r="O92" i="31"/>
  <c r="O86" i="31"/>
  <c r="O83" i="31"/>
  <c r="O87" i="31"/>
  <c r="O88" i="31"/>
  <c r="O89" i="31"/>
  <c r="J35" i="11"/>
  <c r="J36" i="11" s="1"/>
  <c r="O57" i="31"/>
  <c r="O58" i="31"/>
  <c r="O59" i="31"/>
  <c r="O53" i="31"/>
  <c r="O54" i="31"/>
  <c r="O56" i="31"/>
  <c r="O34" i="31"/>
  <c r="O36" i="31"/>
  <c r="O30" i="31"/>
  <c r="O31" i="31" s="1"/>
  <c r="O32" i="31"/>
  <c r="O38" i="31"/>
  <c r="O52" i="34"/>
  <c r="N11" i="31"/>
  <c r="N13" i="31"/>
  <c r="N14" i="31"/>
  <c r="O57" i="34" s="1"/>
  <c r="O70" i="31"/>
  <c r="O71" i="31"/>
  <c r="O73" i="31"/>
  <c r="O67" i="31"/>
  <c r="O74" i="31"/>
  <c r="O66" i="31"/>
  <c r="O75" i="31"/>
  <c r="O68" i="31"/>
  <c r="J133" i="11"/>
  <c r="O44" i="31"/>
  <c r="O45" i="31"/>
  <c r="O46" i="31"/>
  <c r="AF43" i="22"/>
  <c r="R262" i="4"/>
  <c r="R268" i="4"/>
  <c r="I13" i="33"/>
  <c r="I12" i="33"/>
  <c r="I11" i="33"/>
  <c r="I10" i="33"/>
  <c r="J189" i="4"/>
  <c r="J151" i="4"/>
  <c r="J172" i="4" s="1"/>
  <c r="J173" i="4" s="1"/>
  <c r="O8" i="29"/>
  <c r="O7" i="22"/>
  <c r="M7" i="11"/>
  <c r="L8" i="16"/>
  <c r="L10" i="16" s="1"/>
  <c r="AE6" i="22"/>
  <c r="K156" i="11"/>
  <c r="K163" i="11"/>
  <c r="K152" i="11"/>
  <c r="J170" i="11"/>
  <c r="AB228" i="34"/>
  <c r="AB229" i="34" s="1"/>
  <c r="AD32" i="11"/>
  <c r="D23" i="11"/>
  <c r="D29" i="11" s="1"/>
  <c r="O174" i="34"/>
  <c r="AE217" i="34"/>
  <c r="AE218" i="34" s="1"/>
  <c r="AE31" i="11"/>
  <c r="AD227" i="34"/>
  <c r="AD226" i="34"/>
  <c r="AD219" i="34"/>
  <c r="AD220" i="34" s="1"/>
  <c r="P4" i="34"/>
  <c r="O151" i="34"/>
  <c r="P63" i="34"/>
  <c r="K10" i="11"/>
  <c r="BB28" i="4"/>
  <c r="K52" i="16"/>
  <c r="K11" i="11"/>
  <c r="K49" i="16"/>
  <c r="K53" i="16" s="1"/>
  <c r="K34" i="16"/>
  <c r="K38" i="16" s="1"/>
  <c r="K39" i="16" s="1"/>
  <c r="K10" i="22"/>
  <c r="I241" i="4"/>
  <c r="N29" i="16"/>
  <c r="M47" i="16"/>
  <c r="J239" i="4"/>
  <c r="J200" i="4"/>
  <c r="I216" i="4"/>
  <c r="I230" i="4" s="1"/>
  <c r="K125" i="4"/>
  <c r="Q30" i="4"/>
  <c r="K100" i="4"/>
  <c r="J170" i="4" l="1"/>
  <c r="J158" i="4"/>
  <c r="J169" i="4"/>
  <c r="J168" i="4"/>
  <c r="J167" i="4"/>
  <c r="J155" i="4"/>
  <c r="J154" i="4"/>
  <c r="J153" i="4"/>
  <c r="J161" i="4"/>
  <c r="J166" i="4"/>
  <c r="J159" i="4"/>
  <c r="J157" i="4"/>
  <c r="J162" i="4"/>
  <c r="J164" i="4"/>
  <c r="J156" i="4"/>
  <c r="J163" i="4"/>
  <c r="J171" i="4"/>
  <c r="J160" i="4"/>
  <c r="J165" i="4"/>
  <c r="J152" i="4"/>
  <c r="O60" i="31"/>
  <c r="O55" i="31"/>
  <c r="O61" i="31" s="1"/>
  <c r="O39" i="31"/>
  <c r="O69" i="31"/>
  <c r="O33" i="31"/>
  <c r="O47" i="31"/>
  <c r="O37" i="31"/>
  <c r="O76" i="31"/>
  <c r="O35" i="31"/>
  <c r="O72" i="31"/>
  <c r="L11" i="16"/>
  <c r="AG43" i="22"/>
  <c r="K133" i="11"/>
  <c r="K188" i="4"/>
  <c r="K150" i="4"/>
  <c r="O8" i="22"/>
  <c r="P64" i="31"/>
  <c r="P42" i="31"/>
  <c r="P51" i="31"/>
  <c r="P7" i="29"/>
  <c r="O9" i="31"/>
  <c r="O12" i="31" s="1"/>
  <c r="M233" i="34"/>
  <c r="P80" i="31"/>
  <c r="P28" i="31"/>
  <c r="J9" i="33"/>
  <c r="M8" i="11"/>
  <c r="M128" i="11" s="1"/>
  <c r="M7" i="16"/>
  <c r="AF6" i="22"/>
  <c r="K153" i="11"/>
  <c r="K168" i="11"/>
  <c r="K160" i="11"/>
  <c r="AC228" i="34"/>
  <c r="AC229" i="34" s="1"/>
  <c r="AE32" i="11"/>
  <c r="P174" i="34"/>
  <c r="AF31" i="11"/>
  <c r="J209" i="34"/>
  <c r="D30" i="11"/>
  <c r="D31" i="11" s="1"/>
  <c r="D32" i="11" s="1"/>
  <c r="AE226" i="34"/>
  <c r="AE219" i="34"/>
  <c r="AE220" i="34" s="1"/>
  <c r="J199" i="34"/>
  <c r="J17" i="16"/>
  <c r="J94" i="11" s="1"/>
  <c r="H200" i="34"/>
  <c r="Q4" i="34"/>
  <c r="P151" i="34"/>
  <c r="Q63" i="34"/>
  <c r="BC28" i="4"/>
  <c r="K40" i="16"/>
  <c r="L37" i="16" s="1"/>
  <c r="K54" i="16"/>
  <c r="K55" i="16" s="1"/>
  <c r="N44" i="16"/>
  <c r="N32" i="16"/>
  <c r="R29" i="4"/>
  <c r="K126" i="4"/>
  <c r="K101" i="4"/>
  <c r="J215" i="4"/>
  <c r="J229" i="4" s="1"/>
  <c r="J240" i="4"/>
  <c r="J201" i="4"/>
  <c r="O77" i="31" l="1"/>
  <c r="P84" i="31"/>
  <c r="P91" i="31"/>
  <c r="P83" i="31"/>
  <c r="P92" i="31"/>
  <c r="P86" i="31"/>
  <c r="P87" i="31"/>
  <c r="P88" i="31"/>
  <c r="P89" i="31"/>
  <c r="P90" i="31"/>
  <c r="P82" i="31"/>
  <c r="P85" i="31"/>
  <c r="P34" i="31"/>
  <c r="P36" i="31"/>
  <c r="P30" i="31"/>
  <c r="P31" i="31" s="1"/>
  <c r="P38" i="31"/>
  <c r="P32" i="31"/>
  <c r="P58" i="31"/>
  <c r="P59" i="31"/>
  <c r="P53" i="31"/>
  <c r="P54" i="31"/>
  <c r="P56" i="31"/>
  <c r="P57" i="31"/>
  <c r="P45" i="31"/>
  <c r="P46" i="31"/>
  <c r="P44" i="31"/>
  <c r="P71" i="31"/>
  <c r="P73" i="31"/>
  <c r="P74" i="31"/>
  <c r="P66" i="31"/>
  <c r="P75" i="31"/>
  <c r="P67" i="31"/>
  <c r="P68" i="31"/>
  <c r="P70" i="31"/>
  <c r="P52" i="34"/>
  <c r="O11" i="31"/>
  <c r="O13" i="31"/>
  <c r="O14" i="31"/>
  <c r="K35" i="11"/>
  <c r="K36" i="11" s="1"/>
  <c r="K59" i="11"/>
  <c r="J13" i="33"/>
  <c r="J12" i="33"/>
  <c r="J11" i="33"/>
  <c r="J10" i="33"/>
  <c r="K189" i="4"/>
  <c r="K151" i="4"/>
  <c r="K172" i="4" s="1"/>
  <c r="K173" i="4" s="1"/>
  <c r="P7" i="22"/>
  <c r="P8" i="29"/>
  <c r="N7" i="11"/>
  <c r="M8" i="16"/>
  <c r="M10" i="16" s="1"/>
  <c r="AG6" i="22"/>
  <c r="L156" i="11"/>
  <c r="L163" i="11"/>
  <c r="L152" i="11"/>
  <c r="K170" i="11"/>
  <c r="AD228" i="34"/>
  <c r="AD229" i="34" s="1"/>
  <c r="AF32" i="11"/>
  <c r="Q174" i="34"/>
  <c r="AG31" i="11"/>
  <c r="D55" i="11"/>
  <c r="D56" i="11" s="1"/>
  <c r="D61" i="11" s="1"/>
  <c r="AE227" i="34"/>
  <c r="R4" i="34"/>
  <c r="Q151" i="34"/>
  <c r="R63" i="34"/>
  <c r="L10" i="11"/>
  <c r="BD28" i="4"/>
  <c r="L52" i="16"/>
  <c r="L34" i="16"/>
  <c r="L38" i="16" s="1"/>
  <c r="L39" i="16" s="1"/>
  <c r="L49" i="16"/>
  <c r="L53" i="16" s="1"/>
  <c r="L54" i="16" s="1"/>
  <c r="L11" i="11"/>
  <c r="L10" i="22"/>
  <c r="O29" i="16"/>
  <c r="N47" i="16"/>
  <c r="L125" i="4"/>
  <c r="R30" i="4"/>
  <c r="L100" i="4"/>
  <c r="J216" i="4"/>
  <c r="J230" i="4" s="1"/>
  <c r="J241" i="4"/>
  <c r="K239" i="4"/>
  <c r="K200" i="4"/>
  <c r="K169" i="4" l="1"/>
  <c r="K157" i="4"/>
  <c r="K168" i="4"/>
  <c r="K167" i="4"/>
  <c r="K154" i="4"/>
  <c r="K156" i="4"/>
  <c r="K152" i="4"/>
  <c r="K161" i="4"/>
  <c r="K153" i="4"/>
  <c r="K166" i="4"/>
  <c r="K159" i="4"/>
  <c r="K170" i="4"/>
  <c r="K162" i="4"/>
  <c r="K155" i="4"/>
  <c r="K171" i="4"/>
  <c r="K160" i="4"/>
  <c r="K158" i="4"/>
  <c r="K165" i="4"/>
  <c r="K163" i="4"/>
  <c r="K164" i="4"/>
  <c r="P72" i="31"/>
  <c r="P33" i="31"/>
  <c r="P35" i="31"/>
  <c r="P60" i="31"/>
  <c r="P39" i="31"/>
  <c r="P37" i="31"/>
  <c r="P55" i="31"/>
  <c r="P69" i="31"/>
  <c r="P76" i="31"/>
  <c r="P57" i="34"/>
  <c r="D14" i="31"/>
  <c r="D57" i="34" s="1"/>
  <c r="P47" i="31"/>
  <c r="L59" i="11"/>
  <c r="M11" i="16"/>
  <c r="L133" i="11"/>
  <c r="L188" i="4"/>
  <c r="L150" i="4"/>
  <c r="P8" i="22"/>
  <c r="Q51" i="31"/>
  <c r="Q80" i="31"/>
  <c r="N233" i="34"/>
  <c r="Q64" i="31"/>
  <c r="Q7" i="29"/>
  <c r="Q28" i="31"/>
  <c r="Q42" i="31"/>
  <c r="K9" i="33"/>
  <c r="N8" i="11"/>
  <c r="N128" i="11" s="1"/>
  <c r="N7" i="16"/>
  <c r="AH6" i="22"/>
  <c r="L153" i="11"/>
  <c r="L168" i="11"/>
  <c r="L160" i="11"/>
  <c r="AE228" i="34"/>
  <c r="AE229" i="34" s="1"/>
  <c r="AG32" i="11"/>
  <c r="K209" i="34"/>
  <c r="K199" i="34"/>
  <c r="K17" i="16"/>
  <c r="K94" i="11" s="1"/>
  <c r="I200" i="34"/>
  <c r="R151" i="34"/>
  <c r="R174" i="34"/>
  <c r="BE28" i="4"/>
  <c r="L40" i="16"/>
  <c r="M37" i="16" s="1"/>
  <c r="O44" i="16"/>
  <c r="O47" i="16" s="1"/>
  <c r="O32" i="16"/>
  <c r="L55" i="16"/>
  <c r="K215" i="4"/>
  <c r="K229" i="4" s="1"/>
  <c r="S29" i="4"/>
  <c r="L126" i="4"/>
  <c r="L101" i="4"/>
  <c r="K240" i="4"/>
  <c r="K201" i="4"/>
  <c r="P61" i="31" l="1"/>
  <c r="Q34" i="31"/>
  <c r="Q36" i="31"/>
  <c r="Q30" i="31"/>
  <c r="Q31" i="31" s="1"/>
  <c r="Q32" i="31"/>
  <c r="Q38" i="31"/>
  <c r="Q71" i="31"/>
  <c r="Q73" i="31"/>
  <c r="Q74" i="31"/>
  <c r="Q66" i="31"/>
  <c r="Q75" i="31"/>
  <c r="Q67" i="31"/>
  <c r="Q68" i="31"/>
  <c r="Q70" i="31"/>
  <c r="Q45" i="31"/>
  <c r="Q46" i="31"/>
  <c r="Q44" i="31"/>
  <c r="Q58" i="31"/>
  <c r="Q59" i="31"/>
  <c r="Q53" i="31"/>
  <c r="Q54" i="31"/>
  <c r="Q56" i="31"/>
  <c r="Q57" i="31"/>
  <c r="P77" i="31"/>
  <c r="Q91" i="31"/>
  <c r="Q83" i="31"/>
  <c r="Q85" i="31"/>
  <c r="Q86" i="31"/>
  <c r="Q92" i="31"/>
  <c r="Q87" i="31"/>
  <c r="Q89" i="31"/>
  <c r="Q88" i="31"/>
  <c r="Q90" i="31"/>
  <c r="Q82" i="31"/>
  <c r="Q84" i="31"/>
  <c r="L35" i="11"/>
  <c r="L36" i="11" s="1"/>
  <c r="K12" i="33"/>
  <c r="K11" i="33"/>
  <c r="K10" i="33"/>
  <c r="K13" i="33"/>
  <c r="L189" i="4"/>
  <c r="L151" i="4"/>
  <c r="L172" i="4" s="1"/>
  <c r="L173" i="4" s="1"/>
  <c r="Q8" i="29"/>
  <c r="Q7" i="22"/>
  <c r="O7" i="11"/>
  <c r="N8" i="16"/>
  <c r="N10" i="16" s="1"/>
  <c r="AI6" i="22"/>
  <c r="M156" i="11"/>
  <c r="M163" i="11"/>
  <c r="L170" i="11"/>
  <c r="M152" i="11"/>
  <c r="M10" i="11"/>
  <c r="BF28" i="4"/>
  <c r="M52" i="16"/>
  <c r="M34" i="16"/>
  <c r="M38" i="16" s="1"/>
  <c r="M39" i="16" s="1"/>
  <c r="M49" i="16"/>
  <c r="M53" i="16" s="1"/>
  <c r="M54" i="16" s="1"/>
  <c r="M11" i="11"/>
  <c r="M10" i="22"/>
  <c r="K241" i="4"/>
  <c r="P29" i="16"/>
  <c r="K216" i="4"/>
  <c r="K230" i="4" s="1"/>
  <c r="L239" i="4"/>
  <c r="L200" i="4"/>
  <c r="S30" i="4"/>
  <c r="M125" i="4"/>
  <c r="M100" i="4"/>
  <c r="L168" i="4" l="1"/>
  <c r="L156" i="4"/>
  <c r="L167" i="4"/>
  <c r="L166" i="4"/>
  <c r="L161" i="4"/>
  <c r="L153" i="4"/>
  <c r="L159" i="4"/>
  <c r="L152" i="4"/>
  <c r="L162" i="4"/>
  <c r="L157" i="4"/>
  <c r="L155" i="4"/>
  <c r="L170" i="4"/>
  <c r="L160" i="4"/>
  <c r="L158" i="4"/>
  <c r="L164" i="4"/>
  <c r="L171" i="4"/>
  <c r="L165" i="4"/>
  <c r="L154" i="4"/>
  <c r="L163" i="4"/>
  <c r="L169" i="4"/>
  <c r="Q33" i="31"/>
  <c r="Q47" i="31"/>
  <c r="Q39" i="31"/>
  <c r="Q60" i="31"/>
  <c r="Q55" i="31"/>
  <c r="Q76" i="31"/>
  <c r="Q69" i="31"/>
  <c r="Q37" i="31"/>
  <c r="Q72" i="31"/>
  <c r="Q35" i="31"/>
  <c r="M59" i="11"/>
  <c r="N11" i="16"/>
  <c r="M133" i="11"/>
  <c r="M188" i="4"/>
  <c r="M150" i="4"/>
  <c r="Q8" i="22"/>
  <c r="O233" i="34"/>
  <c r="R42" i="31"/>
  <c r="R7" i="29"/>
  <c r="R28" i="31"/>
  <c r="R80" i="31"/>
  <c r="R51" i="31"/>
  <c r="R64" i="31"/>
  <c r="L9" i="33"/>
  <c r="O8" i="11"/>
  <c r="O128" i="11" s="1"/>
  <c r="O7" i="16"/>
  <c r="AJ6" i="22"/>
  <c r="M153" i="11"/>
  <c r="M168" i="11"/>
  <c r="M160" i="11"/>
  <c r="L209" i="34"/>
  <c r="L199" i="34"/>
  <c r="L17" i="16"/>
  <c r="L94" i="11" s="1"/>
  <c r="J200" i="34"/>
  <c r="BG28" i="4"/>
  <c r="M40" i="16"/>
  <c r="N37" i="16" s="1"/>
  <c r="P44" i="16"/>
  <c r="P47" i="16" s="1"/>
  <c r="M55" i="16"/>
  <c r="P32" i="16"/>
  <c r="T29" i="4"/>
  <c r="M126" i="4"/>
  <c r="M101" i="4"/>
  <c r="L215" i="4"/>
  <c r="L229" i="4" s="1"/>
  <c r="L240" i="4"/>
  <c r="L201" i="4"/>
  <c r="Q61" i="31" l="1"/>
  <c r="Q77" i="31"/>
  <c r="M35" i="11"/>
  <c r="M36" i="11" s="1"/>
  <c r="R59" i="31"/>
  <c r="R53" i="31"/>
  <c r="R54" i="31"/>
  <c r="R56" i="31"/>
  <c r="R57" i="31"/>
  <c r="R58" i="31"/>
  <c r="R85" i="31"/>
  <c r="R92" i="31"/>
  <c r="R86" i="31"/>
  <c r="R87" i="31"/>
  <c r="R88" i="31"/>
  <c r="R89" i="31"/>
  <c r="R90" i="31"/>
  <c r="R82" i="31"/>
  <c r="R84" i="31"/>
  <c r="R91" i="31"/>
  <c r="R83" i="31"/>
  <c r="R36" i="31"/>
  <c r="R30" i="31"/>
  <c r="R31" i="31" s="1"/>
  <c r="R32" i="31"/>
  <c r="R38" i="31"/>
  <c r="R34" i="31"/>
  <c r="R73" i="31"/>
  <c r="R74" i="31"/>
  <c r="R66" i="31"/>
  <c r="R75" i="31"/>
  <c r="R67" i="31"/>
  <c r="R70" i="31"/>
  <c r="R68" i="31"/>
  <c r="R71" i="31"/>
  <c r="R46" i="31"/>
  <c r="R44" i="31"/>
  <c r="R45" i="31"/>
  <c r="L13" i="33"/>
  <c r="L12" i="33"/>
  <c r="L11" i="33"/>
  <c r="L10" i="33"/>
  <c r="M189" i="4"/>
  <c r="M151" i="4"/>
  <c r="M172" i="4" s="1"/>
  <c r="M173" i="4" s="1"/>
  <c r="R8" i="29"/>
  <c r="R7" i="22"/>
  <c r="P7" i="11"/>
  <c r="O8" i="16"/>
  <c r="O10" i="16" s="1"/>
  <c r="AK6" i="22"/>
  <c r="N156" i="11"/>
  <c r="N163" i="11"/>
  <c r="M170" i="11"/>
  <c r="N152" i="11"/>
  <c r="N10" i="11"/>
  <c r="BH28" i="4"/>
  <c r="N52" i="16"/>
  <c r="N34" i="16"/>
  <c r="N38" i="16" s="1"/>
  <c r="N49" i="16"/>
  <c r="N53" i="16" s="1"/>
  <c r="N54" i="16" s="1"/>
  <c r="N11" i="11"/>
  <c r="N10" i="22"/>
  <c r="L241" i="4"/>
  <c r="Q29" i="16"/>
  <c r="T30" i="4"/>
  <c r="N125" i="4"/>
  <c r="N100" i="4"/>
  <c r="L216" i="4"/>
  <c r="L230" i="4" s="1"/>
  <c r="M239" i="4"/>
  <c r="M200" i="4"/>
  <c r="M167" i="4" l="1"/>
  <c r="M166" i="4"/>
  <c r="M165" i="4"/>
  <c r="M152" i="4"/>
  <c r="M159" i="4"/>
  <c r="M156" i="4"/>
  <c r="M168" i="4"/>
  <c r="M155" i="4"/>
  <c r="M170" i="4"/>
  <c r="M161" i="4"/>
  <c r="M157" i="4"/>
  <c r="M163" i="4"/>
  <c r="M153" i="4"/>
  <c r="M154" i="4"/>
  <c r="M164" i="4"/>
  <c r="M171" i="4"/>
  <c r="M158" i="4"/>
  <c r="M162" i="4"/>
  <c r="M169" i="4"/>
  <c r="M160" i="4"/>
  <c r="R33" i="31"/>
  <c r="R39" i="31"/>
  <c r="R35" i="31"/>
  <c r="R37" i="31"/>
  <c r="R55" i="31"/>
  <c r="R72" i="31"/>
  <c r="R47" i="31"/>
  <c r="R60" i="31"/>
  <c r="R69" i="31"/>
  <c r="R76" i="31"/>
  <c r="O11" i="16"/>
  <c r="N188" i="4"/>
  <c r="N150" i="4"/>
  <c r="R8" i="22"/>
  <c r="P233" i="34"/>
  <c r="S80" i="31"/>
  <c r="S7" i="29"/>
  <c r="S28" i="31"/>
  <c r="S51" i="31"/>
  <c r="S64" i="31"/>
  <c r="S42" i="31"/>
  <c r="M9" i="33"/>
  <c r="P8" i="11"/>
  <c r="P128" i="11" s="1"/>
  <c r="P7" i="16"/>
  <c r="AL6" i="22"/>
  <c r="N153" i="11"/>
  <c r="N168" i="11"/>
  <c r="N160" i="11"/>
  <c r="M209" i="34"/>
  <c r="M199" i="34"/>
  <c r="M17" i="16"/>
  <c r="M94" i="11" s="1"/>
  <c r="K200" i="34"/>
  <c r="BI28" i="4"/>
  <c r="N55" i="16"/>
  <c r="Q32" i="16"/>
  <c r="Q44" i="16"/>
  <c r="Q47" i="16" s="1"/>
  <c r="N39" i="16"/>
  <c r="N59" i="11" s="1"/>
  <c r="M215" i="4"/>
  <c r="M229" i="4" s="1"/>
  <c r="N126" i="4"/>
  <c r="U29" i="4"/>
  <c r="N101" i="4"/>
  <c r="M240" i="4"/>
  <c r="M201" i="4"/>
  <c r="R61" i="31" l="1"/>
  <c r="N35" i="11"/>
  <c r="N36" i="11" s="1"/>
  <c r="R77" i="31"/>
  <c r="S36" i="31"/>
  <c r="S30" i="31"/>
  <c r="S31" i="31" s="1"/>
  <c r="S32" i="31"/>
  <c r="S38" i="31"/>
  <c r="S34" i="31"/>
  <c r="S92" i="31"/>
  <c r="S86" i="31"/>
  <c r="S87" i="31"/>
  <c r="S88" i="31"/>
  <c r="S82" i="31"/>
  <c r="S89" i="31"/>
  <c r="S90" i="31"/>
  <c r="S84" i="31"/>
  <c r="S91" i="31"/>
  <c r="S83" i="31"/>
  <c r="S85" i="31"/>
  <c r="N133" i="11"/>
  <c r="S46" i="31"/>
  <c r="S44" i="31"/>
  <c r="S45" i="31"/>
  <c r="S73" i="31"/>
  <c r="S74" i="31"/>
  <c r="S66" i="31"/>
  <c r="S75" i="31"/>
  <c r="S67" i="31"/>
  <c r="S68" i="31"/>
  <c r="S70" i="31"/>
  <c r="S71" i="31"/>
  <c r="S59" i="31"/>
  <c r="S53" i="31"/>
  <c r="S54" i="31"/>
  <c r="S57" i="31"/>
  <c r="S56" i="31"/>
  <c r="S58" i="31"/>
  <c r="M10" i="33"/>
  <c r="M11" i="33"/>
  <c r="M13" i="33"/>
  <c r="M12" i="33"/>
  <c r="N189" i="4"/>
  <c r="N151" i="4"/>
  <c r="N172" i="4" s="1"/>
  <c r="N173" i="4" s="1"/>
  <c r="S8" i="29"/>
  <c r="S7" i="22"/>
  <c r="Q7" i="11"/>
  <c r="P8" i="16"/>
  <c r="P10" i="16" s="1"/>
  <c r="AM6" i="22"/>
  <c r="O156" i="11"/>
  <c r="O163" i="11"/>
  <c r="O152" i="11"/>
  <c r="N170" i="11"/>
  <c r="O10" i="11"/>
  <c r="BJ28" i="4"/>
  <c r="O52" i="16"/>
  <c r="N40" i="16"/>
  <c r="O37" i="16" s="1"/>
  <c r="O49" i="16"/>
  <c r="O53" i="16" s="1"/>
  <c r="O54" i="16" s="1"/>
  <c r="O34" i="16"/>
  <c r="O38" i="16" s="1"/>
  <c r="O39" i="16" s="1"/>
  <c r="O11" i="11"/>
  <c r="O10" i="22"/>
  <c r="R29" i="16"/>
  <c r="O125" i="4"/>
  <c r="U30" i="4"/>
  <c r="O100" i="4"/>
  <c r="N239" i="4"/>
  <c r="N200" i="4"/>
  <c r="M216" i="4"/>
  <c r="M230" i="4" s="1"/>
  <c r="M241" i="4"/>
  <c r="N166" i="4" l="1"/>
  <c r="N165" i="4"/>
  <c r="N164" i="4"/>
  <c r="N159" i="4"/>
  <c r="N156" i="4"/>
  <c r="N168" i="4"/>
  <c r="N169" i="4"/>
  <c r="N170" i="4"/>
  <c r="N161" i="4"/>
  <c r="N167" i="4"/>
  <c r="N152" i="4"/>
  <c r="N163" i="4"/>
  <c r="N155" i="4"/>
  <c r="N154" i="4"/>
  <c r="N153" i="4"/>
  <c r="N171" i="4"/>
  <c r="N160" i="4"/>
  <c r="N157" i="4"/>
  <c r="N158" i="4"/>
  <c r="N162" i="4"/>
  <c r="O59" i="11"/>
  <c r="S39" i="31"/>
  <c r="S35" i="31"/>
  <c r="S72" i="31"/>
  <c r="S33" i="31"/>
  <c r="S47" i="31"/>
  <c r="S55" i="31"/>
  <c r="S76" i="31"/>
  <c r="S37" i="31"/>
  <c r="S60" i="31"/>
  <c r="S69" i="31"/>
  <c r="P11" i="16"/>
  <c r="O188" i="4"/>
  <c r="O150" i="4"/>
  <c r="S8" i="22"/>
  <c r="T80" i="31"/>
  <c r="T51" i="31"/>
  <c r="T28" i="31"/>
  <c r="T7" i="29"/>
  <c r="T42" i="31"/>
  <c r="Q233" i="34"/>
  <c r="T64" i="31"/>
  <c r="N9" i="33"/>
  <c r="Q8" i="11"/>
  <c r="Q128" i="11" s="1"/>
  <c r="Q7" i="16"/>
  <c r="AN6" i="22"/>
  <c r="O153" i="11"/>
  <c r="O168" i="11"/>
  <c r="O160" i="11"/>
  <c r="N209" i="34"/>
  <c r="N199" i="34"/>
  <c r="N17" i="16"/>
  <c r="N94" i="11" s="1"/>
  <c r="L200" i="34"/>
  <c r="BK28" i="4"/>
  <c r="BL28" i="4" s="1"/>
  <c r="BM28" i="4" s="1"/>
  <c r="BN28" i="4" s="1"/>
  <c r="BO28" i="4" s="1"/>
  <c r="BP28" i="4" s="1"/>
  <c r="O40" i="16"/>
  <c r="P37" i="16" s="1"/>
  <c r="R44" i="16"/>
  <c r="R47" i="16" s="1"/>
  <c r="R32" i="16"/>
  <c r="O55" i="16"/>
  <c r="N240" i="4"/>
  <c r="N201" i="4"/>
  <c r="O126" i="4"/>
  <c r="V29" i="4"/>
  <c r="O101" i="4"/>
  <c r="N215" i="4"/>
  <c r="N229" i="4" s="1"/>
  <c r="S61" i="31" l="1"/>
  <c r="T74" i="31"/>
  <c r="T66" i="31"/>
  <c r="T75" i="31"/>
  <c r="T67" i="31"/>
  <c r="T68" i="31"/>
  <c r="T70" i="31"/>
  <c r="T71" i="31"/>
  <c r="T73" i="31"/>
  <c r="S77" i="31"/>
  <c r="T44" i="31"/>
  <c r="T45" i="31"/>
  <c r="T46" i="31"/>
  <c r="T53" i="31"/>
  <c r="T54" i="31"/>
  <c r="T56" i="31"/>
  <c r="T58" i="31"/>
  <c r="T57" i="31"/>
  <c r="T59" i="31"/>
  <c r="T87" i="31"/>
  <c r="T88" i="31"/>
  <c r="T89" i="31"/>
  <c r="T90" i="31"/>
  <c r="T82" i="31"/>
  <c r="T84" i="31"/>
  <c r="T83" i="31"/>
  <c r="T91" i="31"/>
  <c r="T85" i="31"/>
  <c r="T92" i="31"/>
  <c r="T86" i="31"/>
  <c r="O35" i="11"/>
  <c r="O36" i="11" s="1"/>
  <c r="T30" i="31"/>
  <c r="T31" i="31" s="1"/>
  <c r="T32" i="31"/>
  <c r="T38" i="31"/>
  <c r="T34" i="31"/>
  <c r="T36" i="31"/>
  <c r="O133" i="11"/>
  <c r="N13" i="33"/>
  <c r="N12" i="33"/>
  <c r="N11" i="33"/>
  <c r="N10" i="33"/>
  <c r="O189" i="4"/>
  <c r="O151" i="4"/>
  <c r="O172" i="4" s="1"/>
  <c r="O173" i="4" s="1"/>
  <c r="T8" i="29"/>
  <c r="T7" i="22"/>
  <c r="R7" i="11"/>
  <c r="Q8" i="16"/>
  <c r="Q10" i="16" s="1"/>
  <c r="AO6" i="22"/>
  <c r="P156" i="11"/>
  <c r="P163" i="11"/>
  <c r="O170" i="11"/>
  <c r="P152" i="11"/>
  <c r="P10" i="11"/>
  <c r="BQ28" i="4"/>
  <c r="P52" i="16"/>
  <c r="P11" i="11"/>
  <c r="P34" i="16"/>
  <c r="P38" i="16" s="1"/>
  <c r="P49" i="16"/>
  <c r="P53" i="16" s="1"/>
  <c r="P54" i="16" s="1"/>
  <c r="P10" i="22"/>
  <c r="N241" i="4"/>
  <c r="S29" i="16"/>
  <c r="N216" i="4"/>
  <c r="N230" i="4" s="1"/>
  <c r="P125" i="4"/>
  <c r="V30" i="4"/>
  <c r="P100" i="4"/>
  <c r="O239" i="4"/>
  <c r="O200" i="4"/>
  <c r="O165" i="4" l="1"/>
  <c r="O164" i="4"/>
  <c r="O168" i="4"/>
  <c r="O169" i="4"/>
  <c r="O170" i="4"/>
  <c r="O161" i="4"/>
  <c r="O167" i="4"/>
  <c r="O160" i="4"/>
  <c r="O158" i="4"/>
  <c r="O162" i="4"/>
  <c r="O155" i="4"/>
  <c r="O154" i="4"/>
  <c r="O152" i="4"/>
  <c r="O159" i="4"/>
  <c r="O153" i="4"/>
  <c r="O171" i="4"/>
  <c r="O156" i="4"/>
  <c r="O163" i="4"/>
  <c r="O166" i="4"/>
  <c r="O157" i="4"/>
  <c r="T76" i="31"/>
  <c r="T37" i="31"/>
  <c r="T35" i="31"/>
  <c r="T39" i="31"/>
  <c r="T33" i="31"/>
  <c r="T55" i="31"/>
  <c r="T72" i="31"/>
  <c r="T47" i="31"/>
  <c r="T60" i="31"/>
  <c r="T69" i="31"/>
  <c r="Q11" i="16"/>
  <c r="P188" i="4"/>
  <c r="P150" i="4"/>
  <c r="T8" i="22"/>
  <c r="U28" i="31"/>
  <c r="U80" i="31"/>
  <c r="U51" i="31"/>
  <c r="U64" i="31"/>
  <c r="R233" i="34"/>
  <c r="U42" i="31"/>
  <c r="O9" i="33"/>
  <c r="R8" i="11"/>
  <c r="R128" i="11" s="1"/>
  <c r="R7" i="16"/>
  <c r="AP6" i="22"/>
  <c r="P153" i="11"/>
  <c r="P168" i="11"/>
  <c r="P160" i="11"/>
  <c r="O209" i="34"/>
  <c r="O199" i="34"/>
  <c r="O17" i="16"/>
  <c r="O94" i="11" s="1"/>
  <c r="M200" i="34"/>
  <c r="BR28" i="4"/>
  <c r="P55" i="16"/>
  <c r="S44" i="16"/>
  <c r="S47" i="16" s="1"/>
  <c r="S32" i="16"/>
  <c r="P39" i="16"/>
  <c r="P59" i="11" s="1"/>
  <c r="O215" i="4"/>
  <c r="O229" i="4" s="1"/>
  <c r="O240" i="4"/>
  <c r="O201" i="4"/>
  <c r="W29" i="4"/>
  <c r="P126" i="4"/>
  <c r="P101" i="4"/>
  <c r="T61" i="31" l="1"/>
  <c r="U44" i="31"/>
  <c r="U45" i="31"/>
  <c r="U46" i="31"/>
  <c r="T77" i="31"/>
  <c r="U74" i="31"/>
  <c r="U66" i="31"/>
  <c r="U75" i="31"/>
  <c r="U67" i="31"/>
  <c r="U68" i="31"/>
  <c r="U70" i="31"/>
  <c r="U71" i="31"/>
  <c r="U73" i="31"/>
  <c r="U53" i="31"/>
  <c r="U54" i="31"/>
  <c r="U56" i="31"/>
  <c r="U57" i="31"/>
  <c r="U58" i="31"/>
  <c r="U59" i="31"/>
  <c r="U87" i="31"/>
  <c r="U89" i="31"/>
  <c r="U85" i="31"/>
  <c r="U90" i="31"/>
  <c r="U82" i="31"/>
  <c r="U84" i="31"/>
  <c r="U91" i="31"/>
  <c r="U83" i="31"/>
  <c r="U92" i="31"/>
  <c r="U86" i="31"/>
  <c r="U88" i="31"/>
  <c r="U30" i="31"/>
  <c r="U31" i="31" s="1"/>
  <c r="U32" i="31"/>
  <c r="U38" i="31"/>
  <c r="U34" i="31"/>
  <c r="U36" i="31"/>
  <c r="P35" i="11"/>
  <c r="P36" i="11" s="1"/>
  <c r="P133" i="11"/>
  <c r="O11" i="33"/>
  <c r="O10" i="33"/>
  <c r="O12" i="33"/>
  <c r="O13" i="33"/>
  <c r="P189" i="4"/>
  <c r="P151" i="4"/>
  <c r="P172" i="4" s="1"/>
  <c r="P173" i="4" s="1"/>
  <c r="S7" i="11"/>
  <c r="R8" i="16"/>
  <c r="R10" i="16" s="1"/>
  <c r="AQ6" i="22"/>
  <c r="Q156" i="11"/>
  <c r="Q163" i="11"/>
  <c r="P170" i="11"/>
  <c r="Q152" i="11"/>
  <c r="Q10" i="11"/>
  <c r="Q52" i="16"/>
  <c r="P40" i="16"/>
  <c r="Q37" i="16" s="1"/>
  <c r="Q34" i="16"/>
  <c r="Q38" i="16" s="1"/>
  <c r="Q39" i="16" s="1"/>
  <c r="Q49" i="16"/>
  <c r="Q53" i="16" s="1"/>
  <c r="Q54" i="16" s="1"/>
  <c r="Q11" i="11"/>
  <c r="Q10" i="22"/>
  <c r="O241" i="4"/>
  <c r="T29" i="16"/>
  <c r="W30" i="4"/>
  <c r="Q125" i="4"/>
  <c r="Q100" i="4"/>
  <c r="O216" i="4"/>
  <c r="O230" i="4" s="1"/>
  <c r="P239" i="4"/>
  <c r="P200" i="4"/>
  <c r="P164" i="4" l="1"/>
  <c r="P163" i="4"/>
  <c r="P169" i="4"/>
  <c r="P160" i="4"/>
  <c r="P157" i="4"/>
  <c r="P170" i="4"/>
  <c r="P167" i="4"/>
  <c r="P168" i="4"/>
  <c r="P158" i="4"/>
  <c r="P152" i="4"/>
  <c r="P154" i="4"/>
  <c r="P162" i="4"/>
  <c r="P155" i="4"/>
  <c r="P166" i="4"/>
  <c r="P156" i="4"/>
  <c r="P159" i="4"/>
  <c r="P153" i="4"/>
  <c r="P161" i="4"/>
  <c r="P165" i="4"/>
  <c r="P171" i="4"/>
  <c r="U76" i="31"/>
  <c r="U35" i="31"/>
  <c r="U33" i="31"/>
  <c r="U39" i="31"/>
  <c r="U37" i="31"/>
  <c r="U55" i="31"/>
  <c r="U69" i="31"/>
  <c r="U60" i="31"/>
  <c r="U72" i="31"/>
  <c r="U47" i="31"/>
  <c r="Q59" i="11"/>
  <c r="R11" i="16"/>
  <c r="Q133" i="11"/>
  <c r="Q188" i="4"/>
  <c r="Q150" i="4"/>
  <c r="P9" i="33"/>
  <c r="S8" i="11"/>
  <c r="S128" i="11" s="1"/>
  <c r="S7" i="16"/>
  <c r="AR6" i="22"/>
  <c r="Q153" i="11"/>
  <c r="Q168" i="11"/>
  <c r="Q160" i="11"/>
  <c r="P209" i="34"/>
  <c r="P199" i="34"/>
  <c r="P17" i="16"/>
  <c r="P94" i="11" s="1"/>
  <c r="N200" i="34"/>
  <c r="T44" i="16"/>
  <c r="T47" i="16" s="1"/>
  <c r="Q55" i="16"/>
  <c r="T32" i="16"/>
  <c r="Q40" i="16"/>
  <c r="R37" i="16" s="1"/>
  <c r="P215" i="4"/>
  <c r="P229" i="4" s="1"/>
  <c r="X29" i="4"/>
  <c r="Q126" i="4"/>
  <c r="Q101" i="4"/>
  <c r="P240" i="4"/>
  <c r="P201" i="4"/>
  <c r="U61" i="31" l="1"/>
  <c r="Q35" i="11"/>
  <c r="Q36" i="11" s="1"/>
  <c r="U77" i="31"/>
  <c r="P13" i="33"/>
  <c r="P12" i="33"/>
  <c r="P11" i="33"/>
  <c r="P10" i="33"/>
  <c r="Q189" i="4"/>
  <c r="Q151" i="4"/>
  <c r="Q172" i="4" s="1"/>
  <c r="Q173" i="4" s="1"/>
  <c r="T7" i="11"/>
  <c r="S8" i="16"/>
  <c r="S10" i="16" s="1"/>
  <c r="AS6" i="22"/>
  <c r="R156" i="11"/>
  <c r="R163" i="11"/>
  <c r="R152" i="11"/>
  <c r="Q170" i="11"/>
  <c r="R10" i="11"/>
  <c r="R52" i="16"/>
  <c r="R34" i="16"/>
  <c r="R38" i="16" s="1"/>
  <c r="R39" i="16" s="1"/>
  <c r="R49" i="16"/>
  <c r="R53" i="16" s="1"/>
  <c r="R54" i="16" s="1"/>
  <c r="R11" i="11"/>
  <c r="R10" i="22"/>
  <c r="U29" i="16"/>
  <c r="Q239" i="4"/>
  <c r="Q200" i="4"/>
  <c r="P216" i="4"/>
  <c r="P230" i="4" s="1"/>
  <c r="P241" i="4"/>
  <c r="X30" i="4"/>
  <c r="R125" i="4"/>
  <c r="R100" i="4"/>
  <c r="Q163" i="4" l="1"/>
  <c r="Q162" i="4"/>
  <c r="Q169" i="4"/>
  <c r="Q160" i="4"/>
  <c r="Q157" i="4"/>
  <c r="Q170" i="4"/>
  <c r="Q164" i="4"/>
  <c r="Q152" i="4"/>
  <c r="Q168" i="4"/>
  <c r="Q158" i="4"/>
  <c r="Q156" i="4"/>
  <c r="Q171" i="4"/>
  <c r="Q154" i="4"/>
  <c r="Q165" i="4"/>
  <c r="Q155" i="4"/>
  <c r="Q167" i="4"/>
  <c r="Q159" i="4"/>
  <c r="Q153" i="4"/>
  <c r="Q166" i="4"/>
  <c r="Q161" i="4"/>
  <c r="R59" i="11"/>
  <c r="S11" i="16"/>
  <c r="R133" i="11"/>
  <c r="R188" i="4"/>
  <c r="R150" i="4"/>
  <c r="Q9" i="33"/>
  <c r="T8" i="11"/>
  <c r="T128" i="11" s="1"/>
  <c r="T7" i="16"/>
  <c r="AT6" i="22"/>
  <c r="R153" i="11"/>
  <c r="R168" i="11"/>
  <c r="R160" i="11"/>
  <c r="Q209" i="34"/>
  <c r="Q199" i="34"/>
  <c r="Q17" i="16"/>
  <c r="Q94" i="11" s="1"/>
  <c r="O200" i="34"/>
  <c r="R40" i="16"/>
  <c r="S37" i="16" s="1"/>
  <c r="U44" i="16"/>
  <c r="U47" i="16" s="1"/>
  <c r="U32" i="16"/>
  <c r="R55" i="16"/>
  <c r="Q215" i="4"/>
  <c r="Q229" i="4" s="1"/>
  <c r="Q240" i="4"/>
  <c r="Q201" i="4"/>
  <c r="R126" i="4"/>
  <c r="Y29" i="4"/>
  <c r="R101" i="4"/>
  <c r="R35" i="11" l="1"/>
  <c r="R36" i="11" s="1"/>
  <c r="Q13" i="33"/>
  <c r="Q12" i="33"/>
  <c r="Q10" i="33"/>
  <c r="Q11" i="33"/>
  <c r="R189" i="4"/>
  <c r="R151" i="4"/>
  <c r="R172" i="4" s="1"/>
  <c r="R173" i="4" s="1"/>
  <c r="U7" i="11"/>
  <c r="T8" i="16"/>
  <c r="T10" i="16" s="1"/>
  <c r="AU6" i="22"/>
  <c r="S156" i="11"/>
  <c r="S163" i="11"/>
  <c r="S152" i="11"/>
  <c r="R170" i="11"/>
  <c r="S10" i="11"/>
  <c r="S52" i="16"/>
  <c r="S49" i="16"/>
  <c r="S53" i="16" s="1"/>
  <c r="S54" i="16" s="1"/>
  <c r="S34" i="16"/>
  <c r="S38" i="16" s="1"/>
  <c r="S11" i="11"/>
  <c r="S10" i="22"/>
  <c r="Q241" i="4"/>
  <c r="V29" i="16"/>
  <c r="Y30" i="4"/>
  <c r="S125" i="4"/>
  <c r="S100" i="4"/>
  <c r="R239" i="4"/>
  <c r="R200" i="4"/>
  <c r="Q216" i="4"/>
  <c r="Q230" i="4" s="1"/>
  <c r="R162" i="4" l="1"/>
  <c r="R161" i="4"/>
  <c r="R160" i="4"/>
  <c r="R157" i="4"/>
  <c r="R171" i="4"/>
  <c r="R170" i="4"/>
  <c r="R164" i="4"/>
  <c r="R163" i="4"/>
  <c r="R152" i="4"/>
  <c r="R168" i="4"/>
  <c r="R158" i="4"/>
  <c r="R156" i="4"/>
  <c r="R153" i="4"/>
  <c r="R165" i="4"/>
  <c r="R167" i="4"/>
  <c r="R154" i="4"/>
  <c r="R159" i="4"/>
  <c r="R169" i="4"/>
  <c r="R155" i="4"/>
  <c r="R166" i="4"/>
  <c r="T11" i="16"/>
  <c r="S188" i="4"/>
  <c r="S150" i="4"/>
  <c r="R9" i="33"/>
  <c r="U8" i="11"/>
  <c r="U128" i="11" s="1"/>
  <c r="U7" i="16"/>
  <c r="AV6" i="22"/>
  <c r="S153" i="11"/>
  <c r="S168" i="11"/>
  <c r="S160" i="11"/>
  <c r="R209" i="34"/>
  <c r="R199" i="34"/>
  <c r="R17" i="16"/>
  <c r="R94" i="11" s="1"/>
  <c r="P200" i="34"/>
  <c r="V32" i="16"/>
  <c r="S55" i="16"/>
  <c r="V44" i="16"/>
  <c r="V47" i="16" s="1"/>
  <c r="S39" i="16"/>
  <c r="S59" i="11" s="1"/>
  <c r="R215" i="4"/>
  <c r="R229" i="4" s="1"/>
  <c r="R240" i="4"/>
  <c r="R201" i="4"/>
  <c r="S126" i="4"/>
  <c r="Z29" i="4"/>
  <c r="S101" i="4"/>
  <c r="S35" i="11" l="1"/>
  <c r="S36" i="11" s="1"/>
  <c r="S133" i="11"/>
  <c r="R13" i="33"/>
  <c r="R10" i="33"/>
  <c r="R11" i="33"/>
  <c r="R12" i="33"/>
  <c r="S189" i="4"/>
  <c r="S151" i="4"/>
  <c r="S172" i="4" s="1"/>
  <c r="S173" i="4" s="1"/>
  <c r="V7" i="11"/>
  <c r="U8" i="16"/>
  <c r="U10" i="16" s="1"/>
  <c r="AW6" i="22"/>
  <c r="T156" i="11"/>
  <c r="T163" i="11"/>
  <c r="T152" i="11"/>
  <c r="S170" i="11"/>
  <c r="T10" i="11"/>
  <c r="T52" i="16"/>
  <c r="S40" i="16"/>
  <c r="T37" i="16" s="1"/>
  <c r="T11" i="11"/>
  <c r="T34" i="16"/>
  <c r="T38" i="16" s="1"/>
  <c r="T39" i="16" s="1"/>
  <c r="T49" i="16"/>
  <c r="T53" i="16" s="1"/>
  <c r="T54" i="16" s="1"/>
  <c r="T10" i="22"/>
  <c r="W29" i="16"/>
  <c r="T125" i="4"/>
  <c r="Z30" i="4"/>
  <c r="T100" i="4"/>
  <c r="S239" i="4"/>
  <c r="S200" i="4"/>
  <c r="R216" i="4"/>
  <c r="R230" i="4" s="1"/>
  <c r="R241" i="4"/>
  <c r="S161" i="4" l="1"/>
  <c r="S171" i="4"/>
  <c r="S170" i="4"/>
  <c r="S164" i="4"/>
  <c r="S163" i="4"/>
  <c r="S165" i="4"/>
  <c r="S168" i="4"/>
  <c r="S158" i="4"/>
  <c r="S152" i="4"/>
  <c r="S156" i="4"/>
  <c r="S160" i="4"/>
  <c r="S153" i="4"/>
  <c r="S159" i="4"/>
  <c r="S166" i="4"/>
  <c r="S162" i="4"/>
  <c r="S154" i="4"/>
  <c r="S155" i="4"/>
  <c r="S157" i="4"/>
  <c r="S169" i="4"/>
  <c r="S167" i="4"/>
  <c r="T59" i="11"/>
  <c r="U11" i="16"/>
  <c r="T188" i="4"/>
  <c r="T150" i="4"/>
  <c r="S9" i="33"/>
  <c r="V8" i="11"/>
  <c r="V128" i="11" s="1"/>
  <c r="V7" i="16"/>
  <c r="AX6" i="22"/>
  <c r="T153" i="11"/>
  <c r="T168" i="11"/>
  <c r="T160" i="11"/>
  <c r="S209" i="34"/>
  <c r="S199" i="34"/>
  <c r="S17" i="16"/>
  <c r="S94" i="11" s="1"/>
  <c r="Q200" i="34"/>
  <c r="T40" i="16"/>
  <c r="U37" i="16" s="1"/>
  <c r="T55" i="16"/>
  <c r="W32" i="16"/>
  <c r="W44" i="16"/>
  <c r="W47" i="16" s="1"/>
  <c r="S240" i="4"/>
  <c r="S201" i="4"/>
  <c r="AA29" i="4"/>
  <c r="T126" i="4"/>
  <c r="T101" i="4"/>
  <c r="S215" i="4"/>
  <c r="S229" i="4" s="1"/>
  <c r="T35" i="11" l="1"/>
  <c r="T36" i="11" s="1"/>
  <c r="T133" i="11"/>
  <c r="S11" i="33"/>
  <c r="S12" i="33"/>
  <c r="S13" i="33"/>
  <c r="S10" i="33"/>
  <c r="T189" i="4"/>
  <c r="T151" i="4"/>
  <c r="T172" i="4" s="1"/>
  <c r="T173" i="4" s="1"/>
  <c r="W7" i="11"/>
  <c r="V8" i="16"/>
  <c r="V10" i="16" s="1"/>
  <c r="AY6" i="22"/>
  <c r="U156" i="11"/>
  <c r="U163" i="11"/>
  <c r="U152" i="11"/>
  <c r="T170" i="11"/>
  <c r="U10" i="11"/>
  <c r="U52" i="16"/>
  <c r="U11" i="11"/>
  <c r="U34" i="16"/>
  <c r="U38" i="16" s="1"/>
  <c r="U49" i="16"/>
  <c r="U53" i="16" s="1"/>
  <c r="U54" i="16" s="1"/>
  <c r="U10" i="22"/>
  <c r="S241" i="4"/>
  <c r="X29" i="16"/>
  <c r="U125" i="4"/>
  <c r="AA30" i="4"/>
  <c r="U100" i="4"/>
  <c r="S216" i="4"/>
  <c r="S230" i="4" s="1"/>
  <c r="T239" i="4"/>
  <c r="T200" i="4"/>
  <c r="T160" i="4" l="1"/>
  <c r="T171" i="4"/>
  <c r="T170" i="4"/>
  <c r="T163" i="4"/>
  <c r="T165" i="4"/>
  <c r="T158" i="4"/>
  <c r="T155" i="4"/>
  <c r="T156" i="4"/>
  <c r="T153" i="4"/>
  <c r="T154" i="4"/>
  <c r="T152" i="4"/>
  <c r="T166" i="4"/>
  <c r="T162" i="4"/>
  <c r="T169" i="4"/>
  <c r="T161" i="4"/>
  <c r="T164" i="4"/>
  <c r="T168" i="4"/>
  <c r="T167" i="4"/>
  <c r="T157" i="4"/>
  <c r="T159" i="4"/>
  <c r="U133" i="11"/>
  <c r="V11" i="16"/>
  <c r="U188" i="4"/>
  <c r="U150" i="4"/>
  <c r="T9" i="33"/>
  <c r="W8" i="11"/>
  <c r="W128" i="11" s="1"/>
  <c r="W7" i="16"/>
  <c r="AZ6" i="22"/>
  <c r="U153" i="11"/>
  <c r="U168" i="11"/>
  <c r="U160" i="11"/>
  <c r="T209" i="34"/>
  <c r="T199" i="34"/>
  <c r="T17" i="16"/>
  <c r="T94" i="11" s="1"/>
  <c r="R200" i="34"/>
  <c r="U39" i="16"/>
  <c r="U59" i="11" s="1"/>
  <c r="X32" i="16"/>
  <c r="U55" i="16"/>
  <c r="X44" i="16"/>
  <c r="X47" i="16" s="1"/>
  <c r="AB29" i="4"/>
  <c r="U126" i="4"/>
  <c r="U101" i="4"/>
  <c r="T215" i="4"/>
  <c r="T229" i="4" s="1"/>
  <c r="T240" i="4"/>
  <c r="T201" i="4"/>
  <c r="U35" i="11" l="1"/>
  <c r="U36" i="11" s="1"/>
  <c r="T11" i="33"/>
  <c r="T12" i="33"/>
  <c r="T13" i="33"/>
  <c r="T10" i="33"/>
  <c r="U189" i="4"/>
  <c r="U151" i="4"/>
  <c r="U172" i="4" s="1"/>
  <c r="U173" i="4" s="1"/>
  <c r="X7" i="11"/>
  <c r="W8" i="16"/>
  <c r="W10" i="16" s="1"/>
  <c r="BA6" i="22"/>
  <c r="V156" i="11"/>
  <c r="V163" i="11"/>
  <c r="V152" i="11"/>
  <c r="U170" i="11"/>
  <c r="V10" i="11"/>
  <c r="V52" i="16"/>
  <c r="U40" i="16"/>
  <c r="V37" i="16" s="1"/>
  <c r="V34" i="16"/>
  <c r="V38" i="16" s="1"/>
  <c r="V39" i="16" s="1"/>
  <c r="V49" i="16"/>
  <c r="V53" i="16" s="1"/>
  <c r="V54" i="16" s="1"/>
  <c r="V11" i="11"/>
  <c r="V10" i="22"/>
  <c r="T241" i="4"/>
  <c r="Y29" i="16"/>
  <c r="AB30" i="4"/>
  <c r="V125" i="4"/>
  <c r="V100" i="4"/>
  <c r="T216" i="4"/>
  <c r="T230" i="4" s="1"/>
  <c r="U239" i="4"/>
  <c r="U200" i="4"/>
  <c r="U171" i="4" l="1"/>
  <c r="U159" i="4"/>
  <c r="U170" i="4"/>
  <c r="U169" i="4"/>
  <c r="U165" i="4"/>
  <c r="U155" i="4"/>
  <c r="U154" i="4"/>
  <c r="U158" i="4"/>
  <c r="U166" i="4"/>
  <c r="U162" i="4"/>
  <c r="U153" i="4"/>
  <c r="U160" i="4"/>
  <c r="U164" i="4"/>
  <c r="U156" i="4"/>
  <c r="U168" i="4"/>
  <c r="U163" i="4"/>
  <c r="U161" i="4"/>
  <c r="U167" i="4"/>
  <c r="U157" i="4"/>
  <c r="U152" i="4"/>
  <c r="V133" i="11"/>
  <c r="V59" i="11"/>
  <c r="W11" i="16"/>
  <c r="V188" i="4"/>
  <c r="V150" i="4"/>
  <c r="U9" i="33"/>
  <c r="X8" i="11"/>
  <c r="X128" i="11" s="1"/>
  <c r="X7" i="16"/>
  <c r="BB6" i="22"/>
  <c r="V153" i="11"/>
  <c r="V168" i="11"/>
  <c r="V160" i="11"/>
  <c r="U209" i="34"/>
  <c r="U199" i="34"/>
  <c r="U17" i="16"/>
  <c r="U94" i="11" s="1"/>
  <c r="S200" i="34"/>
  <c r="V40" i="16"/>
  <c r="W37" i="16" s="1"/>
  <c r="Y44" i="16"/>
  <c r="Y47" i="16" s="1"/>
  <c r="V55" i="16"/>
  <c r="Y32" i="16"/>
  <c r="AC29" i="4"/>
  <c r="V126" i="4"/>
  <c r="V101" i="4"/>
  <c r="U240" i="4"/>
  <c r="U201" i="4"/>
  <c r="U215" i="4"/>
  <c r="U229" i="4" s="1"/>
  <c r="V35" i="11" l="1"/>
  <c r="V36" i="11" s="1"/>
  <c r="U12" i="33"/>
  <c r="U10" i="33"/>
  <c r="U11" i="33"/>
  <c r="U13" i="33"/>
  <c r="V189" i="4"/>
  <c r="V151" i="4"/>
  <c r="V172" i="4" s="1"/>
  <c r="V173" i="4" s="1"/>
  <c r="Y7" i="11"/>
  <c r="X8" i="16"/>
  <c r="X10" i="16" s="1"/>
  <c r="BC6" i="22"/>
  <c r="W156" i="11"/>
  <c r="W163" i="11"/>
  <c r="V170" i="11"/>
  <c r="W152" i="11"/>
  <c r="W10" i="11"/>
  <c r="W52" i="16"/>
  <c r="W49" i="16"/>
  <c r="W53" i="16" s="1"/>
  <c r="W54" i="16" s="1"/>
  <c r="W34" i="16"/>
  <c r="W38" i="16" s="1"/>
  <c r="W11" i="11"/>
  <c r="W10" i="22"/>
  <c r="U241" i="4"/>
  <c r="Z29" i="16"/>
  <c r="V239" i="4"/>
  <c r="V200" i="4"/>
  <c r="U216" i="4"/>
  <c r="U230" i="4" s="1"/>
  <c r="AC30" i="4"/>
  <c r="W125" i="4"/>
  <c r="W100" i="4"/>
  <c r="V170" i="4" l="1"/>
  <c r="V158" i="4"/>
  <c r="V169" i="4"/>
  <c r="V168" i="4"/>
  <c r="V155" i="4"/>
  <c r="V166" i="4"/>
  <c r="V162" i="4"/>
  <c r="V154" i="4"/>
  <c r="V153" i="4"/>
  <c r="V171" i="4"/>
  <c r="V160" i="4"/>
  <c r="V164" i="4"/>
  <c r="V163" i="4"/>
  <c r="V159" i="4"/>
  <c r="V161" i="4"/>
  <c r="V167" i="4"/>
  <c r="V157" i="4"/>
  <c r="V152" i="4"/>
  <c r="V165" i="4"/>
  <c r="V156" i="4"/>
  <c r="W133" i="11"/>
  <c r="X11" i="16"/>
  <c r="W188" i="4"/>
  <c r="W150" i="4"/>
  <c r="V9" i="33"/>
  <c r="Y8" i="11"/>
  <c r="Y128" i="11" s="1"/>
  <c r="Y7" i="16"/>
  <c r="BD6" i="22"/>
  <c r="W153" i="11"/>
  <c r="W168" i="11"/>
  <c r="W160" i="11"/>
  <c r="V209" i="34"/>
  <c r="V199" i="34"/>
  <c r="V17" i="16"/>
  <c r="V94" i="11" s="1"/>
  <c r="T200" i="34"/>
  <c r="Z44" i="16"/>
  <c r="Z47" i="16" s="1"/>
  <c r="W39" i="16"/>
  <c r="W59" i="11" s="1"/>
  <c r="W55" i="16"/>
  <c r="Z32" i="16"/>
  <c r="AD29" i="4"/>
  <c r="V215" i="4"/>
  <c r="V229" i="4" s="1"/>
  <c r="V240" i="4"/>
  <c r="V201" i="4"/>
  <c r="W126" i="4"/>
  <c r="W101" i="4"/>
  <c r="W35" i="11" l="1"/>
  <c r="W36" i="11" s="1"/>
  <c r="V10" i="33"/>
  <c r="V13" i="33"/>
  <c r="V12" i="33"/>
  <c r="V11" i="33"/>
  <c r="W189" i="4"/>
  <c r="W151" i="4"/>
  <c r="W172" i="4" s="1"/>
  <c r="W173" i="4" s="1"/>
  <c r="Z7" i="11"/>
  <c r="Y8" i="16"/>
  <c r="Y10" i="16" s="1"/>
  <c r="BE6" i="22"/>
  <c r="X156" i="11"/>
  <c r="X163" i="11"/>
  <c r="W170" i="11"/>
  <c r="X152" i="11"/>
  <c r="X10" i="11"/>
  <c r="X52" i="16"/>
  <c r="W40" i="16"/>
  <c r="X37" i="16" s="1"/>
  <c r="X11" i="11"/>
  <c r="X34" i="16"/>
  <c r="X38" i="16" s="1"/>
  <c r="X39" i="16" s="1"/>
  <c r="X49" i="16"/>
  <c r="X53" i="16" s="1"/>
  <c r="X54" i="16" s="1"/>
  <c r="X10" i="22"/>
  <c r="V241" i="4"/>
  <c r="AA29" i="16"/>
  <c r="X100" i="4"/>
  <c r="X125" i="4"/>
  <c r="AD30" i="4"/>
  <c r="V216" i="4"/>
  <c r="V230" i="4" s="1"/>
  <c r="W239" i="4"/>
  <c r="W200" i="4"/>
  <c r="W169" i="4" l="1"/>
  <c r="W157" i="4"/>
  <c r="W168" i="4"/>
  <c r="W167" i="4"/>
  <c r="W166" i="4"/>
  <c r="W162" i="4"/>
  <c r="W158" i="4"/>
  <c r="W154" i="4"/>
  <c r="W153" i="4"/>
  <c r="W171" i="4"/>
  <c r="W152" i="4"/>
  <c r="W163" i="4"/>
  <c r="W165" i="4"/>
  <c r="W164" i="4"/>
  <c r="W155" i="4"/>
  <c r="W160" i="4"/>
  <c r="W159" i="4"/>
  <c r="W170" i="4"/>
  <c r="W161" i="4"/>
  <c r="W156" i="4"/>
  <c r="X133" i="11"/>
  <c r="X59" i="11"/>
  <c r="Y11" i="16"/>
  <c r="X188" i="4"/>
  <c r="X150" i="4"/>
  <c r="W9" i="33"/>
  <c r="Z8" i="11"/>
  <c r="Z128" i="11" s="1"/>
  <c r="Z7" i="16"/>
  <c r="BF6" i="22"/>
  <c r="X153" i="11"/>
  <c r="X168" i="11"/>
  <c r="X160" i="11"/>
  <c r="W209" i="34"/>
  <c r="W199" i="34"/>
  <c r="W17" i="16"/>
  <c r="W94" i="11" s="1"/>
  <c r="U200" i="34"/>
  <c r="X55" i="16"/>
  <c r="AA44" i="16"/>
  <c r="AA47" i="16" s="1"/>
  <c r="AA32" i="16"/>
  <c r="X40" i="16"/>
  <c r="Y37" i="16" s="1"/>
  <c r="X101" i="4"/>
  <c r="X126" i="4"/>
  <c r="AE29" i="4"/>
  <c r="W240" i="4"/>
  <c r="W201" i="4"/>
  <c r="W215" i="4"/>
  <c r="W229" i="4" s="1"/>
  <c r="X35" i="11" l="1"/>
  <c r="X36" i="11" s="1"/>
  <c r="W11" i="33"/>
  <c r="W13" i="33"/>
  <c r="W10" i="33"/>
  <c r="W12" i="33"/>
  <c r="X189" i="4"/>
  <c r="X151" i="4"/>
  <c r="X172" i="4" s="1"/>
  <c r="X173" i="4" s="1"/>
  <c r="AA7" i="11"/>
  <c r="Z8" i="16"/>
  <c r="Z10" i="16" s="1"/>
  <c r="BG6" i="22"/>
  <c r="Y156" i="11"/>
  <c r="Y163" i="11"/>
  <c r="Y152" i="11"/>
  <c r="X170" i="11"/>
  <c r="Y10" i="11"/>
  <c r="Y52" i="16"/>
  <c r="Y34" i="16"/>
  <c r="Y38" i="16" s="1"/>
  <c r="Y39" i="16" s="1"/>
  <c r="Y49" i="16"/>
  <c r="Y53" i="16" s="1"/>
  <c r="Y11" i="11"/>
  <c r="Y10" i="22"/>
  <c r="W241" i="4"/>
  <c r="AB29" i="16"/>
  <c r="X200" i="4"/>
  <c r="X239" i="4"/>
  <c r="Y100" i="4"/>
  <c r="Y125" i="4"/>
  <c r="AE30" i="4"/>
  <c r="W216" i="4"/>
  <c r="W230" i="4" s="1"/>
  <c r="X168" i="4" l="1"/>
  <c r="X156" i="4"/>
  <c r="X167" i="4"/>
  <c r="X166" i="4"/>
  <c r="X171" i="4"/>
  <c r="X153" i="4"/>
  <c r="X152" i="4"/>
  <c r="X161" i="4"/>
  <c r="X165" i="4"/>
  <c r="X164" i="4"/>
  <c r="X154" i="4"/>
  <c r="X159" i="4"/>
  <c r="X169" i="4"/>
  <c r="X163" i="4"/>
  <c r="X158" i="4"/>
  <c r="X160" i="4"/>
  <c r="X155" i="4"/>
  <c r="X157" i="4"/>
  <c r="X170" i="4"/>
  <c r="X162" i="4"/>
  <c r="Y133" i="11"/>
  <c r="Z11" i="16"/>
  <c r="Y188" i="4"/>
  <c r="Y150" i="4"/>
  <c r="X9" i="33"/>
  <c r="AA8" i="11"/>
  <c r="AA128" i="11" s="1"/>
  <c r="AA7" i="16"/>
  <c r="BH6" i="22"/>
  <c r="Y153" i="11"/>
  <c r="Y168" i="11"/>
  <c r="Y160" i="11"/>
  <c r="X209" i="34"/>
  <c r="X199" i="34"/>
  <c r="X17" i="16"/>
  <c r="X94" i="11" s="1"/>
  <c r="V200" i="34"/>
  <c r="AB44" i="16"/>
  <c r="AB47" i="16" s="1"/>
  <c r="Y54" i="16"/>
  <c r="Y55" i="16" s="1"/>
  <c r="Y40" i="16"/>
  <c r="Z37" i="16" s="1"/>
  <c r="AB32" i="16"/>
  <c r="X201" i="4"/>
  <c r="X240" i="4"/>
  <c r="X215" i="4"/>
  <c r="X229" i="4" s="1"/>
  <c r="Y101" i="4"/>
  <c r="Y126" i="4"/>
  <c r="AF29" i="4"/>
  <c r="Y35" i="11" l="1"/>
  <c r="Y36" i="11" s="1"/>
  <c r="Y59" i="11"/>
  <c r="X13" i="33"/>
  <c r="X11" i="33"/>
  <c r="X10" i="33"/>
  <c r="X12" i="33"/>
  <c r="Y189" i="4"/>
  <c r="Y151" i="4"/>
  <c r="Y172" i="4" s="1"/>
  <c r="Y173" i="4" s="1"/>
  <c r="AB7" i="11"/>
  <c r="AA8" i="16"/>
  <c r="AA10" i="16" s="1"/>
  <c r="BI6" i="22"/>
  <c r="Z156" i="11"/>
  <c r="Z163" i="11"/>
  <c r="Y170" i="11"/>
  <c r="Z152" i="11"/>
  <c r="Z10" i="11"/>
  <c r="Z52" i="16"/>
  <c r="Z34" i="16"/>
  <c r="Z38" i="16" s="1"/>
  <c r="Z39" i="16" s="1"/>
  <c r="Z49" i="16"/>
  <c r="Z53" i="16" s="1"/>
  <c r="Z54" i="16" s="1"/>
  <c r="Z11" i="11"/>
  <c r="Z10" i="22"/>
  <c r="X241" i="4"/>
  <c r="AC29" i="16"/>
  <c r="Y200" i="4"/>
  <c r="Y239" i="4"/>
  <c r="X216" i="4"/>
  <c r="X230" i="4" s="1"/>
  <c r="Z100" i="4"/>
  <c r="Z125" i="4"/>
  <c r="AF30" i="4"/>
  <c r="Y167" i="4" l="1"/>
  <c r="Y155" i="4"/>
  <c r="Y166" i="4"/>
  <c r="Y165" i="4"/>
  <c r="Y152" i="4"/>
  <c r="Y161" i="4"/>
  <c r="Y156" i="4"/>
  <c r="Y159" i="4"/>
  <c r="Y164" i="4"/>
  <c r="Y154" i="4"/>
  <c r="Y157" i="4"/>
  <c r="Y163" i="4"/>
  <c r="Y171" i="4"/>
  <c r="Y162" i="4"/>
  <c r="Y169" i="4"/>
  <c r="Y168" i="4"/>
  <c r="Y153" i="4"/>
  <c r="Y160" i="4"/>
  <c r="Y170" i="4"/>
  <c r="Y158" i="4"/>
  <c r="Z133" i="11"/>
  <c r="Z59" i="11"/>
  <c r="AA11" i="16"/>
  <c r="Z188" i="4"/>
  <c r="Z150" i="4"/>
  <c r="Y9" i="33"/>
  <c r="AB8" i="11"/>
  <c r="AB128" i="11" s="1"/>
  <c r="AB7" i="16"/>
  <c r="BJ6" i="22"/>
  <c r="Z153" i="11"/>
  <c r="Z168" i="11"/>
  <c r="Z160" i="11"/>
  <c r="Y209" i="34"/>
  <c r="Y199" i="34"/>
  <c r="Y17" i="16"/>
  <c r="Y94" i="11" s="1"/>
  <c r="W200" i="34"/>
  <c r="Z55" i="16"/>
  <c r="AC32" i="16"/>
  <c r="AC44" i="16"/>
  <c r="AC47" i="16" s="1"/>
  <c r="Z40" i="16"/>
  <c r="AA37" i="16" s="1"/>
  <c r="Y201" i="4"/>
  <c r="Y240" i="4"/>
  <c r="Y215" i="4"/>
  <c r="Y229" i="4" s="1"/>
  <c r="Z101" i="4"/>
  <c r="Z126" i="4"/>
  <c r="AG29" i="4"/>
  <c r="Z35" i="11" l="1"/>
  <c r="Z36" i="11" s="1"/>
  <c r="Y11" i="33"/>
  <c r="Y10" i="33"/>
  <c r="Y12" i="33"/>
  <c r="Y13" i="33"/>
  <c r="Z189" i="4"/>
  <c r="Z151" i="4"/>
  <c r="Z172" i="4" s="1"/>
  <c r="Z173" i="4" s="1"/>
  <c r="AC7" i="11"/>
  <c r="AB8" i="16"/>
  <c r="AB10" i="16" s="1"/>
  <c r="BK6" i="22"/>
  <c r="AA156" i="11"/>
  <c r="AA163" i="11"/>
  <c r="AA152" i="11"/>
  <c r="Z170" i="11"/>
  <c r="AA10" i="11"/>
  <c r="AA52" i="16"/>
  <c r="AA11" i="11"/>
  <c r="AA49" i="16"/>
  <c r="AA53" i="16" s="1"/>
  <c r="AA34" i="16"/>
  <c r="AA38" i="16" s="1"/>
  <c r="AA39" i="16" s="1"/>
  <c r="AA10" i="22"/>
  <c r="Y241" i="4"/>
  <c r="AD29" i="16"/>
  <c r="Z200" i="4"/>
  <c r="Z239" i="4"/>
  <c r="Y216" i="4"/>
  <c r="Y230" i="4" s="1"/>
  <c r="AA100" i="4"/>
  <c r="AA125" i="4"/>
  <c r="AG30" i="4"/>
  <c r="Z166" i="4" l="1"/>
  <c r="Z165" i="4"/>
  <c r="Z164" i="4"/>
  <c r="Z161" i="4"/>
  <c r="Z156" i="4"/>
  <c r="Z159" i="4"/>
  <c r="Z167" i="4"/>
  <c r="Z163" i="4"/>
  <c r="Z154" i="4"/>
  <c r="Z171" i="4"/>
  <c r="Z169" i="4"/>
  <c r="Z157" i="4"/>
  <c r="Z162" i="4"/>
  <c r="Z155" i="4"/>
  <c r="Z170" i="4"/>
  <c r="Z168" i="4"/>
  <c r="Z152" i="4"/>
  <c r="Z158" i="4"/>
  <c r="Z153" i="4"/>
  <c r="Z160" i="4"/>
  <c r="AA133" i="11"/>
  <c r="AB11" i="16"/>
  <c r="AA188" i="4"/>
  <c r="AA150" i="4"/>
  <c r="Z9" i="33"/>
  <c r="AC8" i="11"/>
  <c r="AC128" i="11" s="1"/>
  <c r="AC7" i="16"/>
  <c r="BL6" i="22"/>
  <c r="AA153" i="11"/>
  <c r="AA168" i="11"/>
  <c r="AA160" i="11"/>
  <c r="Z209" i="34"/>
  <c r="Z199" i="34"/>
  <c r="Z17" i="16"/>
  <c r="Z94" i="11" s="1"/>
  <c r="X200" i="34"/>
  <c r="AA40" i="16"/>
  <c r="AB37" i="16" s="1"/>
  <c r="AD32" i="16"/>
  <c r="AA54" i="16"/>
  <c r="AA55" i="16" s="1"/>
  <c r="AD44" i="16"/>
  <c r="AD47" i="16" s="1"/>
  <c r="Z201" i="4"/>
  <c r="Z240" i="4"/>
  <c r="Z215" i="4"/>
  <c r="Z229" i="4" s="1"/>
  <c r="AA101" i="4"/>
  <c r="AA126" i="4"/>
  <c r="AH29" i="4"/>
  <c r="AA35" i="11" l="1"/>
  <c r="AA36" i="11" s="1"/>
  <c r="AA59" i="11"/>
  <c r="Z13" i="33"/>
  <c r="Z12" i="33"/>
  <c r="Z11" i="33"/>
  <c r="Z10" i="33"/>
  <c r="AA189" i="4"/>
  <c r="AA151" i="4"/>
  <c r="AA172" i="4" s="1"/>
  <c r="AA173" i="4" s="1"/>
  <c r="AD7" i="11"/>
  <c r="AC8" i="16"/>
  <c r="AC10" i="16" s="1"/>
  <c r="BM6" i="22"/>
  <c r="AB156" i="11"/>
  <c r="AB163" i="11"/>
  <c r="AB152" i="11"/>
  <c r="AA170" i="11"/>
  <c r="AB11" i="11"/>
  <c r="AB52" i="16"/>
  <c r="AB34" i="16"/>
  <c r="AB38" i="16" s="1"/>
  <c r="AB39" i="16" s="1"/>
  <c r="AB49" i="16"/>
  <c r="AB53" i="16" s="1"/>
  <c r="AB54" i="16" s="1"/>
  <c r="AB10" i="11"/>
  <c r="AB10" i="22"/>
  <c r="Z241" i="4"/>
  <c r="AE29" i="16"/>
  <c r="AA200" i="4"/>
  <c r="AA239" i="4"/>
  <c r="Z216" i="4"/>
  <c r="Z230" i="4" s="1"/>
  <c r="AB100" i="4"/>
  <c r="AB125" i="4"/>
  <c r="AH30" i="4"/>
  <c r="AA165" i="4" l="1"/>
  <c r="AA164" i="4"/>
  <c r="AA159" i="4"/>
  <c r="AA156" i="4"/>
  <c r="AA167" i="4"/>
  <c r="AA168" i="4"/>
  <c r="AA155" i="4"/>
  <c r="AA171" i="4"/>
  <c r="AA169" i="4"/>
  <c r="AA157" i="4"/>
  <c r="AA162" i="4"/>
  <c r="AA153" i="4"/>
  <c r="AA170" i="4"/>
  <c r="AA158" i="4"/>
  <c r="AA160" i="4"/>
  <c r="AA154" i="4"/>
  <c r="AA166" i="4"/>
  <c r="AA161" i="4"/>
  <c r="AA163" i="4"/>
  <c r="AA152" i="4"/>
  <c r="AB133" i="11"/>
  <c r="AB59" i="11"/>
  <c r="AC11" i="16"/>
  <c r="AB188" i="4"/>
  <c r="AB150" i="4"/>
  <c r="AA9" i="33"/>
  <c r="AD8" i="11"/>
  <c r="AD128" i="11" s="1"/>
  <c r="AD7" i="16"/>
  <c r="AB153" i="11"/>
  <c r="AB168" i="11"/>
  <c r="AB160" i="11"/>
  <c r="AA209" i="34"/>
  <c r="AA199" i="34"/>
  <c r="AA17" i="16"/>
  <c r="AA94" i="11" s="1"/>
  <c r="Y200" i="34"/>
  <c r="AB40" i="16"/>
  <c r="AC37" i="16" s="1"/>
  <c r="AE32" i="16"/>
  <c r="AB55" i="16"/>
  <c r="AE44" i="16"/>
  <c r="AE47" i="16" s="1"/>
  <c r="AA201" i="4"/>
  <c r="AA240" i="4"/>
  <c r="AA215" i="4"/>
  <c r="AA229" i="4" s="1"/>
  <c r="AB101" i="4"/>
  <c r="AB126" i="4"/>
  <c r="AI29" i="4"/>
  <c r="AB35" i="11" l="1"/>
  <c r="AB36" i="11" s="1"/>
  <c r="AA11" i="33"/>
  <c r="AA12" i="33"/>
  <c r="AA13" i="33"/>
  <c r="AA10" i="33"/>
  <c r="AB189" i="4"/>
  <c r="AB151" i="4"/>
  <c r="AB172" i="4" s="1"/>
  <c r="AB173" i="4" s="1"/>
  <c r="AE7" i="11"/>
  <c r="AD8" i="16"/>
  <c r="AD10" i="16" s="1"/>
  <c r="AC156" i="11"/>
  <c r="AC163" i="11"/>
  <c r="AB170" i="11"/>
  <c r="AC152" i="11"/>
  <c r="AC10" i="11"/>
  <c r="AC52" i="16"/>
  <c r="AC34" i="16"/>
  <c r="AC38" i="16" s="1"/>
  <c r="AC39" i="16" s="1"/>
  <c r="AC49" i="16"/>
  <c r="AC53" i="16" s="1"/>
  <c r="AC54" i="16" s="1"/>
  <c r="AC11" i="11"/>
  <c r="AC10" i="22"/>
  <c r="AA241" i="4"/>
  <c r="AF29" i="16"/>
  <c r="AB200" i="4"/>
  <c r="AB239" i="4"/>
  <c r="AA216" i="4"/>
  <c r="AA230" i="4" s="1"/>
  <c r="AC100" i="4"/>
  <c r="AC125" i="4"/>
  <c r="AI30" i="4"/>
  <c r="AB164" i="4" l="1"/>
  <c r="AB163" i="4"/>
  <c r="AB167" i="4"/>
  <c r="AB168" i="4"/>
  <c r="AB171" i="4"/>
  <c r="AB169" i="4"/>
  <c r="AB157" i="4"/>
  <c r="AB162" i="4"/>
  <c r="AB155" i="4"/>
  <c r="AB166" i="4"/>
  <c r="AB165" i="4"/>
  <c r="AB159" i="4"/>
  <c r="AB158" i="4"/>
  <c r="AB153" i="4"/>
  <c r="AB170" i="4"/>
  <c r="AB161" i="4"/>
  <c r="AB160" i="4"/>
  <c r="AB154" i="4"/>
  <c r="AB152" i="4"/>
  <c r="AB156" i="4"/>
  <c r="AC133" i="11"/>
  <c r="AC59" i="11"/>
  <c r="AD11" i="16"/>
  <c r="AC188" i="4"/>
  <c r="AC150" i="4"/>
  <c r="AB9" i="33"/>
  <c r="AE8" i="11"/>
  <c r="AE128" i="11" s="1"/>
  <c r="AE7" i="16"/>
  <c r="AC153" i="11"/>
  <c r="AC168" i="11"/>
  <c r="AC160" i="11"/>
  <c r="AB209" i="34"/>
  <c r="AB199" i="34"/>
  <c r="AB17" i="16"/>
  <c r="AB94" i="11" s="1"/>
  <c r="Z200" i="34"/>
  <c r="AC40" i="16"/>
  <c r="AD37" i="16" s="1"/>
  <c r="AC55" i="16"/>
  <c r="AF44" i="16"/>
  <c r="AF47" i="16" s="1"/>
  <c r="AF32" i="16"/>
  <c r="AB240" i="4"/>
  <c r="AB201" i="4"/>
  <c r="AB215" i="4"/>
  <c r="AB229" i="4" s="1"/>
  <c r="AC101" i="4"/>
  <c r="AC126" i="4"/>
  <c r="AJ29" i="4"/>
  <c r="AC35" i="11" l="1"/>
  <c r="AC36" i="11" s="1"/>
  <c r="AB13" i="33"/>
  <c r="AB12" i="33"/>
  <c r="AB11" i="33"/>
  <c r="AB10" i="33"/>
  <c r="AC189" i="4"/>
  <c r="AC151" i="4"/>
  <c r="AC172" i="4" s="1"/>
  <c r="AC173" i="4" s="1"/>
  <c r="AF7" i="11"/>
  <c r="AE8" i="16"/>
  <c r="AE10" i="16" s="1"/>
  <c r="AD156" i="11"/>
  <c r="AD163" i="11"/>
  <c r="AC170" i="11"/>
  <c r="AD152" i="11"/>
  <c r="AD10" i="11"/>
  <c r="AA200" i="34"/>
  <c r="AD52" i="16"/>
  <c r="AD34" i="16"/>
  <c r="AD38" i="16" s="1"/>
  <c r="AD49" i="16"/>
  <c r="AD53" i="16" s="1"/>
  <c r="AD11" i="11"/>
  <c r="AD10" i="22"/>
  <c r="AB241" i="4"/>
  <c r="AG29" i="16"/>
  <c r="AC239" i="4"/>
  <c r="AC200" i="4"/>
  <c r="AB216" i="4"/>
  <c r="AB230" i="4" s="1"/>
  <c r="AD100" i="4"/>
  <c r="AD125" i="4"/>
  <c r="AJ30" i="4"/>
  <c r="AC163" i="4" l="1"/>
  <c r="AC162" i="4"/>
  <c r="AC157" i="4"/>
  <c r="AC168" i="4"/>
  <c r="AC160" i="4"/>
  <c r="AC169" i="4"/>
  <c r="AC155" i="4"/>
  <c r="AC166" i="4"/>
  <c r="AC165" i="4"/>
  <c r="AC159" i="4"/>
  <c r="AC161" i="4"/>
  <c r="AC153" i="4"/>
  <c r="AC167" i="4"/>
  <c r="AC156" i="4"/>
  <c r="AC170" i="4"/>
  <c r="AC154" i="4"/>
  <c r="AC152" i="4"/>
  <c r="AC164" i="4"/>
  <c r="AC171" i="4"/>
  <c r="AC158" i="4"/>
  <c r="AD133" i="11"/>
  <c r="AE11" i="16"/>
  <c r="AD188" i="4"/>
  <c r="AD150" i="4"/>
  <c r="AC9" i="33"/>
  <c r="AF8" i="11"/>
  <c r="AF128" i="11" s="1"/>
  <c r="AF7" i="16"/>
  <c r="AD153" i="11"/>
  <c r="AD168" i="11"/>
  <c r="AD160" i="11"/>
  <c r="AC209" i="34"/>
  <c r="AC199" i="34"/>
  <c r="AC17" i="16"/>
  <c r="AC94" i="11" s="1"/>
  <c r="AD54" i="16"/>
  <c r="AD55" i="16" s="1"/>
  <c r="AG44" i="16"/>
  <c r="AG47" i="16" s="1"/>
  <c r="AD39" i="16"/>
  <c r="AG32" i="16"/>
  <c r="AC201" i="4"/>
  <c r="AC240" i="4"/>
  <c r="AC215" i="4"/>
  <c r="AC229" i="4" s="1"/>
  <c r="AD101" i="4"/>
  <c r="AD126" i="4"/>
  <c r="AK29" i="4"/>
  <c r="AD35" i="11" l="1"/>
  <c r="AD36" i="11" s="1"/>
  <c r="AD59" i="11"/>
  <c r="AC11" i="33"/>
  <c r="AC12" i="33"/>
  <c r="AC13" i="33"/>
  <c r="AC10" i="33"/>
  <c r="AD189" i="4"/>
  <c r="AD151" i="4"/>
  <c r="AD172" i="4" s="1"/>
  <c r="AD173" i="4" s="1"/>
  <c r="AG7" i="11"/>
  <c r="AF8" i="16"/>
  <c r="AF10" i="16" s="1"/>
  <c r="AE156" i="11"/>
  <c r="AE163" i="11"/>
  <c r="AE152" i="11"/>
  <c r="AD170" i="11"/>
  <c r="AE10" i="11"/>
  <c r="AH29" i="16"/>
  <c r="AH32" i="16" s="1"/>
  <c r="AE52" i="16"/>
  <c r="AD40" i="16"/>
  <c r="AE37" i="16" s="1"/>
  <c r="AE11" i="11"/>
  <c r="AE49" i="16"/>
  <c r="AE53" i="16" s="1"/>
  <c r="AE54" i="16" s="1"/>
  <c r="AE34" i="16"/>
  <c r="AE38" i="16" s="1"/>
  <c r="AE39" i="16" s="1"/>
  <c r="AE10" i="22"/>
  <c r="AC241" i="4"/>
  <c r="AD200" i="4"/>
  <c r="AD239" i="4"/>
  <c r="AC216" i="4"/>
  <c r="AC230" i="4" s="1"/>
  <c r="AE100" i="4"/>
  <c r="AE125" i="4"/>
  <c r="AK30" i="4"/>
  <c r="AD162" i="4" l="1"/>
  <c r="AD161" i="4"/>
  <c r="AD168" i="4"/>
  <c r="AD160" i="4"/>
  <c r="AD157" i="4"/>
  <c r="AD169" i="4"/>
  <c r="AD165" i="4"/>
  <c r="AD159" i="4"/>
  <c r="AD167" i="4"/>
  <c r="AD170" i="4"/>
  <c r="AD166" i="4"/>
  <c r="AD155" i="4"/>
  <c r="AD152" i="4"/>
  <c r="AD156" i="4"/>
  <c r="AD171" i="4"/>
  <c r="AD153" i="4"/>
  <c r="AD163" i="4"/>
  <c r="AD154" i="4"/>
  <c r="AD164" i="4"/>
  <c r="AD158" i="4"/>
  <c r="AE133" i="11"/>
  <c r="AE59" i="11"/>
  <c r="AF11" i="16"/>
  <c r="AE188" i="4"/>
  <c r="AE150" i="4"/>
  <c r="AD9" i="33"/>
  <c r="AG8" i="11"/>
  <c r="AG128" i="11" s="1"/>
  <c r="AG7" i="16"/>
  <c r="AE153" i="11"/>
  <c r="AE168" i="11"/>
  <c r="AE160" i="11"/>
  <c r="AD209" i="34"/>
  <c r="AD199" i="34"/>
  <c r="AD17" i="16"/>
  <c r="AD94" i="11" s="1"/>
  <c r="AB200" i="34"/>
  <c r="AI29" i="16"/>
  <c r="AI32" i="16" s="1"/>
  <c r="AH44" i="16"/>
  <c r="AH47" i="16" s="1"/>
  <c r="AE55" i="16"/>
  <c r="AE40" i="16"/>
  <c r="AF37" i="16" s="1"/>
  <c r="AD240" i="4"/>
  <c r="AD201" i="4"/>
  <c r="AD215" i="4"/>
  <c r="AD229" i="4" s="1"/>
  <c r="AE101" i="4"/>
  <c r="AE126" i="4"/>
  <c r="AL29" i="4"/>
  <c r="AE35" i="11" l="1"/>
  <c r="AE36" i="11" s="1"/>
  <c r="AD11" i="33"/>
  <c r="AD13" i="33"/>
  <c r="AD12" i="33"/>
  <c r="AD10" i="33"/>
  <c r="AE189" i="4"/>
  <c r="AE151" i="4"/>
  <c r="AE172" i="4" s="1"/>
  <c r="AE173" i="4" s="1"/>
  <c r="AH7" i="11"/>
  <c r="AG8" i="16"/>
  <c r="AG10" i="16" s="1"/>
  <c r="AF156" i="11"/>
  <c r="AF163" i="11"/>
  <c r="AE170" i="11"/>
  <c r="AF152" i="11"/>
  <c r="AF10" i="11"/>
  <c r="AI44" i="16"/>
  <c r="AI47" i="16" s="1"/>
  <c r="AJ29" i="16"/>
  <c r="AJ32" i="16" s="1"/>
  <c r="AF52" i="16"/>
  <c r="AF34" i="16"/>
  <c r="AF38" i="16" s="1"/>
  <c r="AF39" i="16" s="1"/>
  <c r="AF49" i="16"/>
  <c r="AF53" i="16" s="1"/>
  <c r="AF54" i="16" s="1"/>
  <c r="AF11" i="11"/>
  <c r="AF10" i="22"/>
  <c r="AD241" i="4"/>
  <c r="AE239" i="4"/>
  <c r="AE200" i="4"/>
  <c r="AD216" i="4"/>
  <c r="AD230" i="4" s="1"/>
  <c r="AF100" i="4"/>
  <c r="AF125" i="4"/>
  <c r="AL30" i="4"/>
  <c r="AE161" i="4" l="1"/>
  <c r="AE171" i="4"/>
  <c r="AE160" i="4"/>
  <c r="AE157" i="4"/>
  <c r="AE170" i="4"/>
  <c r="AE169" i="4"/>
  <c r="AE162" i="4"/>
  <c r="AE167" i="4"/>
  <c r="AE166" i="4"/>
  <c r="AE152" i="4"/>
  <c r="AE154" i="4"/>
  <c r="AE165" i="4"/>
  <c r="AE155" i="4"/>
  <c r="AE156" i="4"/>
  <c r="AE159" i="4"/>
  <c r="AE168" i="4"/>
  <c r="AE163" i="4"/>
  <c r="AE164" i="4"/>
  <c r="AE158" i="4"/>
  <c r="AE153" i="4"/>
  <c r="AF133" i="11"/>
  <c r="AF59" i="11"/>
  <c r="AG11" i="16"/>
  <c r="AF188" i="4"/>
  <c r="AF150" i="4"/>
  <c r="AM29" i="4"/>
  <c r="AG125" i="4" s="1"/>
  <c r="AE9" i="33"/>
  <c r="AH8" i="11"/>
  <c r="AH128" i="11" s="1"/>
  <c r="AH7" i="16"/>
  <c r="AF153" i="11"/>
  <c r="AF168" i="11"/>
  <c r="AF160" i="11"/>
  <c r="AE209" i="34"/>
  <c r="AE199" i="34"/>
  <c r="AE17" i="16"/>
  <c r="AE94" i="11" s="1"/>
  <c r="AC200" i="34"/>
  <c r="AK29" i="16"/>
  <c r="AK32" i="16" s="1"/>
  <c r="AJ44" i="16"/>
  <c r="AJ47" i="16" s="1"/>
  <c r="AM30" i="4"/>
  <c r="AG100" i="4"/>
  <c r="AF40" i="16"/>
  <c r="AG37" i="16" s="1"/>
  <c r="AF55" i="16"/>
  <c r="AE201" i="4"/>
  <c r="AE240" i="4"/>
  <c r="AE215" i="4"/>
  <c r="AE229" i="4" s="1"/>
  <c r="AF101" i="4"/>
  <c r="AF126" i="4"/>
  <c r="AF35" i="11" l="1"/>
  <c r="AF36" i="11" s="1"/>
  <c r="AE10" i="33"/>
  <c r="AE13" i="33"/>
  <c r="AE11" i="33"/>
  <c r="AE12" i="33"/>
  <c r="AG188" i="4"/>
  <c r="AG150" i="4"/>
  <c r="AF189" i="4"/>
  <c r="AF151" i="4"/>
  <c r="AF172" i="4" s="1"/>
  <c r="AF173" i="4" s="1"/>
  <c r="AF9" i="33"/>
  <c r="AI7" i="11"/>
  <c r="AH8" i="16"/>
  <c r="AH10" i="16" s="1"/>
  <c r="G100" i="29"/>
  <c r="E125" i="29"/>
  <c r="E102" i="29"/>
  <c r="F53" i="31" s="1"/>
  <c r="E122" i="29"/>
  <c r="F115" i="29"/>
  <c r="E140" i="29"/>
  <c r="G111" i="29"/>
  <c r="G121" i="29"/>
  <c r="H66" i="31" s="1"/>
  <c r="G101" i="29"/>
  <c r="F100" i="29"/>
  <c r="E141" i="29"/>
  <c r="F102" i="29"/>
  <c r="G53" i="31" s="1"/>
  <c r="E124" i="29"/>
  <c r="E110" i="29"/>
  <c r="F56" i="31" s="1"/>
  <c r="E111" i="29"/>
  <c r="G110" i="29"/>
  <c r="H56" i="31" s="1"/>
  <c r="E121" i="29"/>
  <c r="F66" i="31" s="1"/>
  <c r="G105" i="29"/>
  <c r="F113" i="29"/>
  <c r="E105" i="29"/>
  <c r="G103" i="29"/>
  <c r="G139" i="29"/>
  <c r="G115" i="29"/>
  <c r="F99" i="29"/>
  <c r="E103" i="29"/>
  <c r="G124" i="29"/>
  <c r="E98" i="29"/>
  <c r="G104" i="29"/>
  <c r="E130" i="29"/>
  <c r="F70" i="31" s="1"/>
  <c r="E99" i="29"/>
  <c r="F126" i="29"/>
  <c r="G67" i="31" s="1"/>
  <c r="G106" i="29"/>
  <c r="E131" i="29"/>
  <c r="E115" i="29"/>
  <c r="F123" i="29"/>
  <c r="F110" i="29"/>
  <c r="G56" i="31" s="1"/>
  <c r="E132" i="29"/>
  <c r="G98" i="29"/>
  <c r="F133" i="29"/>
  <c r="E123" i="29"/>
  <c r="F111" i="29"/>
  <c r="E137" i="29"/>
  <c r="F73" i="31" s="1"/>
  <c r="E138" i="29"/>
  <c r="F74" i="31" s="1"/>
  <c r="F105" i="29"/>
  <c r="G138" i="29"/>
  <c r="H74" i="31" s="1"/>
  <c r="F140" i="29"/>
  <c r="G131" i="29"/>
  <c r="F98" i="29"/>
  <c r="F125" i="29"/>
  <c r="F122" i="29"/>
  <c r="E100" i="29"/>
  <c r="F104" i="29"/>
  <c r="G125" i="29"/>
  <c r="F112" i="29"/>
  <c r="G57" i="31" s="1"/>
  <c r="E101" i="29"/>
  <c r="G123" i="29"/>
  <c r="G141" i="29"/>
  <c r="F106" i="29"/>
  <c r="E112" i="29"/>
  <c r="F57" i="31" s="1"/>
  <c r="F121" i="29"/>
  <c r="G66" i="31" s="1"/>
  <c r="G133" i="29"/>
  <c r="E139" i="29"/>
  <c r="G99" i="29"/>
  <c r="F130" i="29"/>
  <c r="G70" i="31" s="1"/>
  <c r="G126" i="29"/>
  <c r="H67" i="31" s="1"/>
  <c r="F101" i="29"/>
  <c r="F131" i="29"/>
  <c r="F137" i="29"/>
  <c r="G73" i="31" s="1"/>
  <c r="G113" i="29"/>
  <c r="E104" i="29"/>
  <c r="F138" i="29"/>
  <c r="G74" i="31" s="1"/>
  <c r="E106" i="29"/>
  <c r="E126" i="29"/>
  <c r="F67" i="31" s="1"/>
  <c r="G132" i="29"/>
  <c r="G112" i="29"/>
  <c r="H57" i="31" s="1"/>
  <c r="F141" i="29"/>
  <c r="E113" i="29"/>
  <c r="F103" i="29"/>
  <c r="G122" i="29"/>
  <c r="F139" i="29"/>
  <c r="G102" i="29"/>
  <c r="H53" i="31" s="1"/>
  <c r="G137" i="29"/>
  <c r="H73" i="31" s="1"/>
  <c r="G140" i="29"/>
  <c r="G130" i="29"/>
  <c r="H70" i="31" s="1"/>
  <c r="F124" i="29"/>
  <c r="E133" i="29"/>
  <c r="F132" i="29"/>
  <c r="H113" i="29"/>
  <c r="H104" i="29"/>
  <c r="H106" i="29"/>
  <c r="H139" i="29"/>
  <c r="H102" i="29"/>
  <c r="I53" i="31" s="1"/>
  <c r="H121" i="29"/>
  <c r="I66" i="31" s="1"/>
  <c r="H138" i="29"/>
  <c r="I74" i="31" s="1"/>
  <c r="H105" i="29"/>
  <c r="H112" i="29"/>
  <c r="I57" i="31" s="1"/>
  <c r="H126" i="29"/>
  <c r="I67" i="31" s="1"/>
  <c r="H125" i="29"/>
  <c r="H130" i="29"/>
  <c r="I70" i="31" s="1"/>
  <c r="H131" i="29"/>
  <c r="H141" i="29"/>
  <c r="H99" i="29"/>
  <c r="H103" i="29"/>
  <c r="H110" i="29"/>
  <c r="I56" i="31" s="1"/>
  <c r="H101" i="29"/>
  <c r="H124" i="29"/>
  <c r="H140" i="29"/>
  <c r="H133" i="29"/>
  <c r="H122" i="29"/>
  <c r="H123" i="29"/>
  <c r="H111" i="29"/>
  <c r="H100" i="29"/>
  <c r="H137" i="29"/>
  <c r="I73" i="31" s="1"/>
  <c r="H115" i="29"/>
  <c r="H132" i="29"/>
  <c r="H98" i="29"/>
  <c r="I105" i="29"/>
  <c r="I124" i="29"/>
  <c r="I121" i="29"/>
  <c r="J66" i="31" s="1"/>
  <c r="I138" i="29"/>
  <c r="J74" i="31" s="1"/>
  <c r="I106" i="29"/>
  <c r="I133" i="29"/>
  <c r="I137" i="29"/>
  <c r="J73" i="31" s="1"/>
  <c r="I100" i="29"/>
  <c r="I132" i="29"/>
  <c r="I141" i="29"/>
  <c r="I104" i="29"/>
  <c r="I130" i="29"/>
  <c r="J70" i="31" s="1"/>
  <c r="I98" i="29"/>
  <c r="I140" i="29"/>
  <c r="I111" i="29"/>
  <c r="I139" i="29"/>
  <c r="I131" i="29"/>
  <c r="I115" i="29"/>
  <c r="I126" i="29"/>
  <c r="J67" i="31" s="1"/>
  <c r="I123" i="29"/>
  <c r="I99" i="29"/>
  <c r="I122" i="29"/>
  <c r="I110" i="29"/>
  <c r="J56" i="31" s="1"/>
  <c r="I101" i="29"/>
  <c r="I113" i="29"/>
  <c r="I112" i="29"/>
  <c r="J57" i="31" s="1"/>
  <c r="I103" i="29"/>
  <c r="I102" i="29"/>
  <c r="J53" i="31" s="1"/>
  <c r="I125" i="29"/>
  <c r="J125" i="29"/>
  <c r="J140" i="29"/>
  <c r="J130" i="29"/>
  <c r="K70" i="31" s="1"/>
  <c r="K132" i="29"/>
  <c r="K98" i="29"/>
  <c r="K122" i="29"/>
  <c r="K100" i="29"/>
  <c r="J105" i="29"/>
  <c r="K130" i="29"/>
  <c r="K99" i="29"/>
  <c r="J124" i="29"/>
  <c r="K131" i="29"/>
  <c r="J112" i="29"/>
  <c r="K57" i="31" s="1"/>
  <c r="J98" i="29"/>
  <c r="J138" i="29"/>
  <c r="K74" i="31" s="1"/>
  <c r="K139" i="29"/>
  <c r="K115" i="29"/>
  <c r="K103" i="29"/>
  <c r="K123" i="29"/>
  <c r="K111" i="29"/>
  <c r="K112" i="29"/>
  <c r="K125" i="29"/>
  <c r="J122" i="29"/>
  <c r="J121" i="29"/>
  <c r="K66" i="31" s="1"/>
  <c r="J101" i="29"/>
  <c r="K113" i="29"/>
  <c r="K138" i="29"/>
  <c r="J106" i="29"/>
  <c r="K124" i="29"/>
  <c r="K126" i="29"/>
  <c r="J102" i="29"/>
  <c r="K53" i="31" s="1"/>
  <c r="J115" i="29"/>
  <c r="K104" i="29"/>
  <c r="K137" i="29"/>
  <c r="J133" i="29"/>
  <c r="J139" i="29"/>
  <c r="K101" i="29"/>
  <c r="J141" i="29"/>
  <c r="J132" i="29"/>
  <c r="K110" i="29"/>
  <c r="K141" i="29"/>
  <c r="J137" i="29"/>
  <c r="K73" i="31" s="1"/>
  <c r="J111" i="29"/>
  <c r="K133" i="29"/>
  <c r="J100" i="29"/>
  <c r="J110" i="29"/>
  <c r="K56" i="31" s="1"/>
  <c r="J126" i="29"/>
  <c r="K67" i="31" s="1"/>
  <c r="K121" i="29"/>
  <c r="K106" i="29"/>
  <c r="J113" i="29"/>
  <c r="J103" i="29"/>
  <c r="K140" i="29"/>
  <c r="K105" i="29"/>
  <c r="J99" i="29"/>
  <c r="J123" i="29"/>
  <c r="K102" i="29"/>
  <c r="J131" i="29"/>
  <c r="J104" i="29"/>
  <c r="L141" i="29"/>
  <c r="T115" i="29"/>
  <c r="R141" i="29"/>
  <c r="P112" i="29"/>
  <c r="T105" i="29"/>
  <c r="T132" i="29"/>
  <c r="P140" i="29"/>
  <c r="Q122" i="29"/>
  <c r="S105" i="29"/>
  <c r="R121" i="29"/>
  <c r="T124" i="29"/>
  <c r="T113" i="29"/>
  <c r="P124" i="29"/>
  <c r="L105" i="29"/>
  <c r="L139" i="29"/>
  <c r="T122" i="29"/>
  <c r="O99" i="29"/>
  <c r="N113" i="29"/>
  <c r="N131" i="29"/>
  <c r="L111" i="29"/>
  <c r="T106" i="29"/>
  <c r="N98" i="29"/>
  <c r="T139" i="29"/>
  <c r="T131" i="29"/>
  <c r="R100" i="29"/>
  <c r="T111" i="29"/>
  <c r="M121" i="29"/>
  <c r="Q133" i="29"/>
  <c r="P100" i="29"/>
  <c r="Q125" i="29"/>
  <c r="Q112" i="29"/>
  <c r="O139" i="29"/>
  <c r="O98" i="29"/>
  <c r="O111" i="29"/>
  <c r="P110" i="29"/>
  <c r="L124" i="29"/>
  <c r="N122" i="29"/>
  <c r="Q101" i="29"/>
  <c r="O104" i="29"/>
  <c r="P113" i="29"/>
  <c r="N132" i="29"/>
  <c r="M124" i="29"/>
  <c r="O106" i="29"/>
  <c r="M139" i="29"/>
  <c r="S139" i="29"/>
  <c r="T110" i="29"/>
  <c r="S138" i="29"/>
  <c r="T133" i="29"/>
  <c r="T121" i="29"/>
  <c r="N106" i="29"/>
  <c r="S113" i="29"/>
  <c r="O105" i="29"/>
  <c r="S103" i="29"/>
  <c r="O110" i="29"/>
  <c r="T99" i="29"/>
  <c r="T104" i="29"/>
  <c r="O131" i="29"/>
  <c r="Q111" i="29"/>
  <c r="Q123" i="29"/>
  <c r="P133" i="29"/>
  <c r="Q131" i="29"/>
  <c r="Q104" i="29"/>
  <c r="M105" i="29"/>
  <c r="O132" i="29"/>
  <c r="S140" i="29"/>
  <c r="S110" i="29"/>
  <c r="M122" i="29"/>
  <c r="P98" i="29"/>
  <c r="N103" i="29"/>
  <c r="L133" i="29"/>
  <c r="N141" i="29"/>
  <c r="Q113" i="29"/>
  <c r="O122" i="29"/>
  <c r="M112" i="29"/>
  <c r="L99" i="29"/>
  <c r="M104" i="29"/>
  <c r="P104" i="29"/>
  <c r="R106" i="29"/>
  <c r="O123" i="29"/>
  <c r="O100" i="29"/>
  <c r="R101" i="29"/>
  <c r="N101" i="29"/>
  <c r="O103" i="29"/>
  <c r="M100" i="29"/>
  <c r="S133" i="29"/>
  <c r="P99" i="29"/>
  <c r="Q98" i="29"/>
  <c r="P125" i="29"/>
  <c r="Q106" i="29"/>
  <c r="L140" i="29"/>
  <c r="S123" i="29"/>
  <c r="Q140" i="29"/>
  <c r="P103" i="29"/>
  <c r="R115" i="29"/>
  <c r="N133" i="29"/>
  <c r="S106" i="29"/>
  <c r="S131" i="29"/>
  <c r="O124" i="29"/>
  <c r="P101" i="29"/>
  <c r="Q103" i="29"/>
  <c r="L138" i="29"/>
  <c r="P111" i="29"/>
  <c r="Q115" i="29"/>
  <c r="M111" i="29"/>
  <c r="R122" i="29"/>
  <c r="O121" i="29"/>
  <c r="M138" i="29"/>
  <c r="R133" i="29"/>
  <c r="L98" i="29"/>
  <c r="N105" i="29"/>
  <c r="Q110" i="29"/>
  <c r="L104" i="29"/>
  <c r="S101" i="29"/>
  <c r="T103" i="29"/>
  <c r="Q100" i="29"/>
  <c r="S98" i="29"/>
  <c r="T101" i="29"/>
  <c r="S99" i="29"/>
  <c r="M110" i="29"/>
  <c r="N112" i="29"/>
  <c r="N115" i="29"/>
  <c r="M141" i="29"/>
  <c r="M125" i="29"/>
  <c r="S111" i="29"/>
  <c r="N124" i="29"/>
  <c r="S104" i="29"/>
  <c r="R138" i="29"/>
  <c r="L115" i="29"/>
  <c r="N100" i="29"/>
  <c r="T100" i="29"/>
  <c r="P121" i="29"/>
  <c r="R103" i="29"/>
  <c r="N110" i="29"/>
  <c r="L101" i="29"/>
  <c r="T123" i="29"/>
  <c r="R112" i="29"/>
  <c r="Q139" i="29"/>
  <c r="N140" i="29"/>
  <c r="O138" i="29"/>
  <c r="L132" i="29"/>
  <c r="L121" i="29"/>
  <c r="Q132" i="29"/>
  <c r="P123" i="29"/>
  <c r="P138" i="29"/>
  <c r="P139" i="29"/>
  <c r="P115" i="29"/>
  <c r="P141" i="29"/>
  <c r="L112" i="29"/>
  <c r="P122" i="29"/>
  <c r="O140" i="29"/>
  <c r="L131" i="29"/>
  <c r="T98" i="29"/>
  <c r="O115" i="29"/>
  <c r="T138" i="29"/>
  <c r="S112" i="29"/>
  <c r="S125" i="29"/>
  <c r="L125" i="29"/>
  <c r="Q124" i="29"/>
  <c r="M123" i="29"/>
  <c r="M133" i="29"/>
  <c r="N123" i="29"/>
  <c r="O112" i="29"/>
  <c r="P132" i="29"/>
  <c r="Q141" i="29"/>
  <c r="L122" i="29"/>
  <c r="R132" i="29"/>
  <c r="R124" i="29"/>
  <c r="P131" i="29"/>
  <c r="N138" i="29"/>
  <c r="T112" i="29"/>
  <c r="T141" i="29"/>
  <c r="M115" i="29"/>
  <c r="N121" i="29"/>
  <c r="S122" i="29"/>
  <c r="O125" i="29"/>
  <c r="O101" i="29"/>
  <c r="N104" i="29"/>
  <c r="T140" i="29"/>
  <c r="M99" i="29"/>
  <c r="Q99" i="29"/>
  <c r="M113" i="29"/>
  <c r="N99" i="29"/>
  <c r="O133" i="29"/>
  <c r="R140" i="29"/>
  <c r="Q105" i="29"/>
  <c r="S132" i="29"/>
  <c r="M103" i="29"/>
  <c r="L110" i="29"/>
  <c r="Q138" i="29"/>
  <c r="S121" i="29"/>
  <c r="S124" i="29"/>
  <c r="S115" i="29"/>
  <c r="P106" i="29"/>
  <c r="R105" i="29"/>
  <c r="O141" i="29"/>
  <c r="M132" i="29"/>
  <c r="M98" i="29"/>
  <c r="R131" i="29"/>
  <c r="M101" i="29"/>
  <c r="P105" i="29"/>
  <c r="R123" i="29"/>
  <c r="R104" i="29"/>
  <c r="M131" i="29"/>
  <c r="N111" i="29"/>
  <c r="N139" i="29"/>
  <c r="R110" i="29"/>
  <c r="L100" i="29"/>
  <c r="R98" i="29"/>
  <c r="R99" i="29"/>
  <c r="M140" i="29"/>
  <c r="R125" i="29"/>
  <c r="N125" i="29"/>
  <c r="Q121" i="29"/>
  <c r="L123" i="29"/>
  <c r="S100" i="29"/>
  <c r="R139" i="29"/>
  <c r="S141" i="29"/>
  <c r="L103" i="29"/>
  <c r="L106" i="29"/>
  <c r="L113" i="29"/>
  <c r="M106" i="29"/>
  <c r="R111" i="29"/>
  <c r="T125" i="29"/>
  <c r="O113" i="29"/>
  <c r="R113" i="29"/>
  <c r="AG156" i="11"/>
  <c r="P130" i="29" s="1"/>
  <c r="AG163" i="11"/>
  <c r="AG152" i="11"/>
  <c r="T126" i="29" s="1"/>
  <c r="AF170" i="11"/>
  <c r="AG10" i="11"/>
  <c r="AK44" i="16"/>
  <c r="AK47" i="16" s="1"/>
  <c r="AL29" i="16"/>
  <c r="AL32" i="16" s="1"/>
  <c r="AN29" i="4"/>
  <c r="AG101" i="4"/>
  <c r="AG126" i="4"/>
  <c r="AG52" i="16"/>
  <c r="AG34" i="16"/>
  <c r="AG38" i="16" s="1"/>
  <c r="AG49" i="16"/>
  <c r="AG53" i="16" s="1"/>
  <c r="AG11" i="11"/>
  <c r="AG10" i="22"/>
  <c r="AE241" i="4"/>
  <c r="AF200" i="4"/>
  <c r="AF239" i="4"/>
  <c r="AE216" i="4"/>
  <c r="AE230" i="4" s="1"/>
  <c r="AF160" i="4" l="1"/>
  <c r="AF171" i="4"/>
  <c r="AF170" i="4"/>
  <c r="AF169" i="4"/>
  <c r="AF164" i="4"/>
  <c r="AF163" i="4"/>
  <c r="AF166" i="4"/>
  <c r="AF158" i="4"/>
  <c r="AF167" i="4"/>
  <c r="AF161" i="4"/>
  <c r="AF152" i="4"/>
  <c r="AF168" i="4"/>
  <c r="AF165" i="4"/>
  <c r="AF155" i="4"/>
  <c r="AF162" i="4"/>
  <c r="AF153" i="4"/>
  <c r="AF154" i="4"/>
  <c r="AF157" i="4"/>
  <c r="AF156" i="4"/>
  <c r="AF159" i="4"/>
  <c r="J75" i="31"/>
  <c r="J76" i="31" s="1"/>
  <c r="G59" i="31"/>
  <c r="K68" i="31"/>
  <c r="K69" i="31" s="1"/>
  <c r="J84" i="31"/>
  <c r="G54" i="31"/>
  <c r="G55" i="31" s="1"/>
  <c r="G75" i="31"/>
  <c r="G76" i="31" s="1"/>
  <c r="J59" i="31"/>
  <c r="K59" i="31"/>
  <c r="I59" i="31"/>
  <c r="F75" i="31"/>
  <c r="F76" i="31" s="1"/>
  <c r="H71" i="31"/>
  <c r="H72" i="31" s="1"/>
  <c r="I75" i="31"/>
  <c r="I76" i="31" s="1"/>
  <c r="H68" i="31"/>
  <c r="H69" i="31" s="1"/>
  <c r="G71" i="31"/>
  <c r="G72" i="31" s="1"/>
  <c r="K75" i="31"/>
  <c r="K76" i="31" s="1"/>
  <c r="J71" i="31"/>
  <c r="J72" i="31" s="1"/>
  <c r="I68" i="31"/>
  <c r="I69" i="31" s="1"/>
  <c r="H84" i="31"/>
  <c r="K71" i="31"/>
  <c r="K72" i="31" s="1"/>
  <c r="H75" i="31"/>
  <c r="H76" i="31" s="1"/>
  <c r="J54" i="31"/>
  <c r="J55" i="31" s="1"/>
  <c r="F71" i="31"/>
  <c r="F72" i="31" s="1"/>
  <c r="I54" i="31"/>
  <c r="I55" i="31" s="1"/>
  <c r="H59" i="31"/>
  <c r="J68" i="31"/>
  <c r="J69" i="31" s="1"/>
  <c r="F84" i="31"/>
  <c r="K84" i="31"/>
  <c r="I71" i="31"/>
  <c r="I72" i="31" s="1"/>
  <c r="G84" i="31"/>
  <c r="F68" i="31"/>
  <c r="F69" i="31" s="1"/>
  <c r="K54" i="31"/>
  <c r="K55" i="31" s="1"/>
  <c r="I84" i="31"/>
  <c r="F54" i="31"/>
  <c r="F55" i="31" s="1"/>
  <c r="F59" i="31"/>
  <c r="G68" i="31"/>
  <c r="G69" i="31" s="1"/>
  <c r="H54" i="31"/>
  <c r="H55" i="31" s="1"/>
  <c r="AH11" i="16"/>
  <c r="AF12" i="33"/>
  <c r="AF11" i="33"/>
  <c r="AF10" i="33"/>
  <c r="AF13" i="33"/>
  <c r="AG189" i="4"/>
  <c r="AG151" i="4"/>
  <c r="AG172" i="4" s="1"/>
  <c r="AG173" i="4" s="1"/>
  <c r="AI8" i="11"/>
  <c r="AI128" i="11" s="1"/>
  <c r="AI7" i="16"/>
  <c r="C102" i="34"/>
  <c r="D102" i="34"/>
  <c r="C99" i="34"/>
  <c r="D99" i="34"/>
  <c r="D97" i="34"/>
  <c r="F127" i="29"/>
  <c r="D86" i="34"/>
  <c r="F107" i="29"/>
  <c r="E134" i="29"/>
  <c r="C97" i="34"/>
  <c r="E127" i="29"/>
  <c r="F134" i="29"/>
  <c r="C86" i="34"/>
  <c r="E107" i="29"/>
  <c r="S137" i="29"/>
  <c r="R126" i="29"/>
  <c r="M126" i="29"/>
  <c r="M130" i="29"/>
  <c r="N126" i="29"/>
  <c r="Q130" i="29"/>
  <c r="L137" i="29"/>
  <c r="S126" i="29"/>
  <c r="O130" i="29"/>
  <c r="N137" i="29"/>
  <c r="P126" i="29"/>
  <c r="R130" i="29"/>
  <c r="S130" i="29"/>
  <c r="R137" i="29"/>
  <c r="Q126" i="29"/>
  <c r="N130" i="29"/>
  <c r="Q137" i="29"/>
  <c r="L130" i="29"/>
  <c r="L126" i="29"/>
  <c r="O126" i="29"/>
  <c r="T130" i="29"/>
  <c r="O137" i="29"/>
  <c r="M137" i="29"/>
  <c r="P137" i="29"/>
  <c r="T137" i="29"/>
  <c r="AG153" i="11"/>
  <c r="AG168" i="11"/>
  <c r="AG160" i="11"/>
  <c r="AF209" i="34"/>
  <c r="AF199" i="34"/>
  <c r="AF17" i="16"/>
  <c r="AF94" i="11" s="1"/>
  <c r="AD200" i="34"/>
  <c r="AM29" i="16"/>
  <c r="AM32" i="16" s="1"/>
  <c r="AL44" i="16"/>
  <c r="AL47" i="16" s="1"/>
  <c r="AN30" i="4"/>
  <c r="AH125" i="4"/>
  <c r="AH100" i="4"/>
  <c r="AG200" i="4"/>
  <c r="AG239" i="4"/>
  <c r="E49" i="29"/>
  <c r="E90" i="22" s="1"/>
  <c r="E45" i="29"/>
  <c r="E46" i="29"/>
  <c r="E47" i="29"/>
  <c r="E57" i="22" s="1"/>
  <c r="E48" i="29"/>
  <c r="F48" i="29"/>
  <c r="F46" i="29"/>
  <c r="F45" i="29"/>
  <c r="F49" i="29"/>
  <c r="F90" i="22" s="1"/>
  <c r="F47" i="29"/>
  <c r="F57" i="22" s="1"/>
  <c r="AG39" i="16"/>
  <c r="AG54" i="16"/>
  <c r="AG55" i="16" s="1"/>
  <c r="AH52" i="16" s="1"/>
  <c r="AF201" i="4"/>
  <c r="AF240" i="4"/>
  <c r="AF215" i="4"/>
  <c r="AF229" i="4" s="1"/>
  <c r="AG171" i="4" l="1"/>
  <c r="AG159" i="4"/>
  <c r="AG170" i="4"/>
  <c r="AG169" i="4"/>
  <c r="AG155" i="4"/>
  <c r="AG164" i="4"/>
  <c r="AG163" i="4"/>
  <c r="AG158" i="4"/>
  <c r="AG154" i="4"/>
  <c r="AG156" i="4"/>
  <c r="AG153" i="4"/>
  <c r="AG167" i="4"/>
  <c r="AG161" i="4"/>
  <c r="AG152" i="4"/>
  <c r="AG162" i="4"/>
  <c r="AG157" i="4"/>
  <c r="AG168" i="4"/>
  <c r="AG166" i="4"/>
  <c r="AG165" i="4"/>
  <c r="AG160" i="4"/>
  <c r="N102" i="29"/>
  <c r="S102" i="29"/>
  <c r="O102" i="29"/>
  <c r="T102" i="29"/>
  <c r="M102" i="29"/>
  <c r="R102" i="29"/>
  <c r="Q102" i="29"/>
  <c r="AG133" i="11"/>
  <c r="L102" i="29"/>
  <c r="P102" i="29"/>
  <c r="J77" i="31"/>
  <c r="G77" i="31"/>
  <c r="F77" i="31"/>
  <c r="F49" i="22"/>
  <c r="AG35" i="11"/>
  <c r="AG36" i="11" s="1"/>
  <c r="H77" i="31"/>
  <c r="I77" i="31"/>
  <c r="E49" i="22"/>
  <c r="AG59" i="11"/>
  <c r="K77" i="31"/>
  <c r="AH188" i="4"/>
  <c r="AH150" i="4"/>
  <c r="AG9" i="33"/>
  <c r="AJ7" i="11"/>
  <c r="AI8" i="16"/>
  <c r="AH156" i="11"/>
  <c r="AH163" i="11"/>
  <c r="AH152" i="11"/>
  <c r="AG170" i="11"/>
  <c r="AH10" i="11"/>
  <c r="F50" i="29"/>
  <c r="AM44" i="16"/>
  <c r="AM47" i="16" s="1"/>
  <c r="AN29" i="16"/>
  <c r="AN32" i="16" s="1"/>
  <c r="AH11" i="11"/>
  <c r="AH10" i="22"/>
  <c r="AH49" i="16"/>
  <c r="AH53" i="16" s="1"/>
  <c r="AH54" i="16" s="1"/>
  <c r="AH34" i="16"/>
  <c r="AH38" i="16" s="1"/>
  <c r="AH39" i="16" s="1"/>
  <c r="AG215" i="4"/>
  <c r="AG229" i="4" s="1"/>
  <c r="AG240" i="4"/>
  <c r="AG201" i="4"/>
  <c r="AO29" i="4"/>
  <c r="AH101" i="4"/>
  <c r="AH126" i="4"/>
  <c r="AG40" i="16"/>
  <c r="AH37" i="16" s="1"/>
  <c r="AF241" i="4"/>
  <c r="E50" i="29"/>
  <c r="AF216" i="4"/>
  <c r="AF230" i="4" s="1"/>
  <c r="AH59" i="11" l="1"/>
  <c r="AH133" i="11"/>
  <c r="AH35" i="11"/>
  <c r="AH36" i="11" s="1"/>
  <c r="AI10" i="16"/>
  <c r="W24" i="22"/>
  <c r="BG24" i="22"/>
  <c r="AJ24" i="22"/>
  <c r="BH24" i="22"/>
  <c r="BD22" i="22"/>
  <c r="AL23" i="22"/>
  <c r="AX23" i="22"/>
  <c r="AM23" i="22"/>
  <c r="BK23" i="22"/>
  <c r="AC22" i="22"/>
  <c r="BM22" i="22"/>
  <c r="AP22" i="22"/>
  <c r="AO22" i="22"/>
  <c r="AQ22" i="22"/>
  <c r="AR22" i="22"/>
  <c r="U22" i="22"/>
  <c r="AS22" i="22"/>
  <c r="BL22" i="22"/>
  <c r="Y24" i="22"/>
  <c r="AW24" i="22"/>
  <c r="AN23" i="22"/>
  <c r="AZ23" i="22"/>
  <c r="AH22" i="22"/>
  <c r="AT22" i="22"/>
  <c r="AT23" i="22"/>
  <c r="AH24" i="22"/>
  <c r="V24" i="22"/>
  <c r="BF24" i="22"/>
  <c r="W22" i="22"/>
  <c r="BG22" i="22"/>
  <c r="AJ22" i="22"/>
  <c r="BH22" i="22"/>
  <c r="BD23" i="22"/>
  <c r="AL24" i="22"/>
  <c r="AX24" i="22"/>
  <c r="AM24" i="22"/>
  <c r="BK24" i="22"/>
  <c r="AC23" i="22"/>
  <c r="BM23" i="22"/>
  <c r="AP23" i="22"/>
  <c r="AO23" i="22"/>
  <c r="AQ23" i="22"/>
  <c r="AR23" i="22"/>
  <c r="U23" i="22"/>
  <c r="AS23" i="22"/>
  <c r="Y22" i="22"/>
  <c r="AW22" i="22"/>
  <c r="AN24" i="22"/>
  <c r="AZ24" i="22"/>
  <c r="AH23" i="22"/>
  <c r="W23" i="22"/>
  <c r="BG23" i="22"/>
  <c r="AJ23" i="22"/>
  <c r="BH23" i="22"/>
  <c r="BD24" i="22"/>
  <c r="AL22" i="22"/>
  <c r="AX22" i="22"/>
  <c r="AM22" i="22"/>
  <c r="BK22" i="22"/>
  <c r="AC24" i="22"/>
  <c r="BM24" i="22"/>
  <c r="AP24" i="22"/>
  <c r="AO24" i="22"/>
  <c r="AQ24" i="22"/>
  <c r="AR24" i="22"/>
  <c r="U24" i="22"/>
  <c r="AS24" i="22"/>
  <c r="AN22" i="22"/>
  <c r="AZ22" i="22"/>
  <c r="AT24" i="22"/>
  <c r="Y23" i="22"/>
  <c r="AW23" i="22"/>
  <c r="AB22" i="22"/>
  <c r="AU24" i="22"/>
  <c r="X24" i="22"/>
  <c r="AV24" i="22"/>
  <c r="AF22" i="22"/>
  <c r="AI24" i="22"/>
  <c r="Z23" i="22"/>
  <c r="AA23" i="22"/>
  <c r="AY23" i="22"/>
  <c r="BJ23" i="22"/>
  <c r="BA22" i="22"/>
  <c r="AD22" i="22"/>
  <c r="BB22" i="22"/>
  <c r="AE22" i="22"/>
  <c r="BC22" i="22"/>
  <c r="AG22" i="22"/>
  <c r="BE22" i="22"/>
  <c r="AK24" i="22"/>
  <c r="BI24" i="22"/>
  <c r="AB23" i="22"/>
  <c r="BL23" i="22"/>
  <c r="V22" i="22"/>
  <c r="BF22" i="22"/>
  <c r="AU22" i="22"/>
  <c r="X22" i="22"/>
  <c r="AV22" i="22"/>
  <c r="AF23" i="22"/>
  <c r="AI22" i="22"/>
  <c r="Z24" i="22"/>
  <c r="AA24" i="22"/>
  <c r="AY24" i="22"/>
  <c r="BJ24" i="22"/>
  <c r="BA23" i="22"/>
  <c r="AD23" i="22"/>
  <c r="BB23" i="22"/>
  <c r="AE23" i="22"/>
  <c r="BC23" i="22"/>
  <c r="AG23" i="22"/>
  <c r="BE23" i="22"/>
  <c r="AK22" i="22"/>
  <c r="BI22" i="22"/>
  <c r="AB24" i="22"/>
  <c r="BL24" i="22"/>
  <c r="V23" i="22"/>
  <c r="BF23" i="22"/>
  <c r="AU23" i="22"/>
  <c r="X23" i="22"/>
  <c r="AV23" i="22"/>
  <c r="AF24" i="22"/>
  <c r="AI23" i="22"/>
  <c r="Z22" i="22"/>
  <c r="AA22" i="22"/>
  <c r="AY22" i="22"/>
  <c r="BJ22" i="22"/>
  <c r="BA24" i="22"/>
  <c r="AD24" i="22"/>
  <c r="BB24" i="22"/>
  <c r="AE24" i="22"/>
  <c r="BC24" i="22"/>
  <c r="AG24" i="22"/>
  <c r="BE24" i="22"/>
  <c r="AK23" i="22"/>
  <c r="BI23" i="22"/>
  <c r="E23" i="22"/>
  <c r="E24" i="22"/>
  <c r="F23" i="22"/>
  <c r="F24" i="22"/>
  <c r="G23" i="22"/>
  <c r="G24" i="22"/>
  <c r="I23" i="22"/>
  <c r="I24" i="22"/>
  <c r="H24" i="22"/>
  <c r="H23" i="22"/>
  <c r="J23" i="22"/>
  <c r="J24" i="22"/>
  <c r="K24" i="22"/>
  <c r="K23" i="22"/>
  <c r="AI11" i="16"/>
  <c r="AG13" i="33"/>
  <c r="AG12" i="33"/>
  <c r="AG10" i="33"/>
  <c r="AG11" i="33"/>
  <c r="AH189" i="4"/>
  <c r="AH151" i="4"/>
  <c r="AH172" i="4" s="1"/>
  <c r="AH173" i="4" s="1"/>
  <c r="AJ8" i="11"/>
  <c r="AJ128" i="11" s="1"/>
  <c r="AJ7" i="16"/>
  <c r="AH153" i="11"/>
  <c r="AH168" i="11"/>
  <c r="AH160" i="11"/>
  <c r="AG209" i="34"/>
  <c r="AG199" i="34"/>
  <c r="AG17" i="16"/>
  <c r="AG94" i="11" s="1"/>
  <c r="AE200" i="34"/>
  <c r="AH40" i="16"/>
  <c r="AI37" i="16" s="1"/>
  <c r="AH55" i="16"/>
  <c r="AI52" i="16" s="1"/>
  <c r="AO29" i="16"/>
  <c r="AO32" i="16" s="1"/>
  <c r="AN44" i="16"/>
  <c r="AN47" i="16" s="1"/>
  <c r="AO30" i="4"/>
  <c r="AI100" i="4"/>
  <c r="AI125" i="4"/>
  <c r="AG216" i="4"/>
  <c r="AG230" i="4" s="1"/>
  <c r="AH200" i="4"/>
  <c r="AH239" i="4"/>
  <c r="AG241" i="4"/>
  <c r="AH170" i="4" l="1"/>
  <c r="AH158" i="4"/>
  <c r="AH169" i="4"/>
  <c r="AH168" i="4"/>
  <c r="AH164" i="4"/>
  <c r="AH163" i="4"/>
  <c r="AH155" i="4"/>
  <c r="AH154" i="4"/>
  <c r="AH165" i="4"/>
  <c r="AH153" i="4"/>
  <c r="AH167" i="4"/>
  <c r="AH161" i="4"/>
  <c r="AH152" i="4"/>
  <c r="AH156" i="4"/>
  <c r="AH166" i="4"/>
  <c r="AH160" i="4"/>
  <c r="AH157" i="4"/>
  <c r="AH171" i="4"/>
  <c r="AH159" i="4"/>
  <c r="AH162" i="4"/>
  <c r="V25" i="22"/>
  <c r="V26" i="22"/>
  <c r="V32" i="22" s="1"/>
  <c r="V34" i="22" s="1"/>
  <c r="AM25" i="22"/>
  <c r="AM26" i="22"/>
  <c r="AM32" i="22" s="1"/>
  <c r="AM34" i="22" s="1"/>
  <c r="Y25" i="22"/>
  <c r="Y26" i="22"/>
  <c r="Y32" i="22" s="1"/>
  <c r="Y34" i="22" s="1"/>
  <c r="AC25" i="22"/>
  <c r="AC26" i="22"/>
  <c r="AC32" i="22" s="1"/>
  <c r="AC34" i="22" s="1"/>
  <c r="BM26" i="22"/>
  <c r="BM32" i="22" s="1"/>
  <c r="BM34" i="22" s="1"/>
  <c r="BM25" i="22"/>
  <c r="AZ25" i="22"/>
  <c r="AZ26" i="22"/>
  <c r="AZ32" i="22" s="1"/>
  <c r="AZ34" i="22" s="1"/>
  <c r="AN25" i="22"/>
  <c r="AN26" i="22"/>
  <c r="AN32" i="22" s="1"/>
  <c r="AN34" i="22" s="1"/>
  <c r="AL25" i="22"/>
  <c r="AL26" i="22"/>
  <c r="AL32" i="22" s="1"/>
  <c r="AL34" i="22" s="1"/>
  <c r="BH26" i="22"/>
  <c r="BH32" i="22" s="1"/>
  <c r="BH34" i="22" s="1"/>
  <c r="BH25" i="22"/>
  <c r="AJ26" i="22"/>
  <c r="AJ32" i="22" s="1"/>
  <c r="AJ34" i="22" s="1"/>
  <c r="AJ25" i="22"/>
  <c r="BG25" i="22"/>
  <c r="BG26" i="22"/>
  <c r="BG32" i="22" s="1"/>
  <c r="BG34" i="22" s="1"/>
  <c r="BL25" i="22"/>
  <c r="BL26" i="22"/>
  <c r="BL32" i="22" s="1"/>
  <c r="BL34" i="22" s="1"/>
  <c r="AY25" i="22"/>
  <c r="AY26" i="22"/>
  <c r="AY32" i="22" s="1"/>
  <c r="AY34" i="22" s="1"/>
  <c r="BI26" i="22"/>
  <c r="BI32" i="22" s="1"/>
  <c r="BI34" i="22" s="1"/>
  <c r="BI25" i="22"/>
  <c r="BE26" i="22"/>
  <c r="BE32" i="22" s="1"/>
  <c r="BE34" i="22" s="1"/>
  <c r="BE25" i="22"/>
  <c r="AF26" i="22"/>
  <c r="AF32" i="22" s="1"/>
  <c r="AF34" i="22" s="1"/>
  <c r="AF25" i="22"/>
  <c r="W25" i="22"/>
  <c r="W26" i="22"/>
  <c r="W32" i="22" s="1"/>
  <c r="W34" i="22" s="1"/>
  <c r="AS26" i="22"/>
  <c r="AS32" i="22" s="1"/>
  <c r="AS34" i="22" s="1"/>
  <c r="AS25" i="22"/>
  <c r="BD26" i="22"/>
  <c r="BD32" i="22" s="1"/>
  <c r="BD34" i="22" s="1"/>
  <c r="BD25" i="22"/>
  <c r="BF25" i="22"/>
  <c r="BF26" i="22"/>
  <c r="BF32" i="22" s="1"/>
  <c r="BF34" i="22" s="1"/>
  <c r="AA26" i="22"/>
  <c r="AA32" i="22" s="1"/>
  <c r="AA34" i="22" s="1"/>
  <c r="AA25" i="22"/>
  <c r="AK25" i="22"/>
  <c r="AK26" i="22"/>
  <c r="AK32" i="22" s="1"/>
  <c r="AK34" i="22" s="1"/>
  <c r="AI26" i="22"/>
  <c r="AI32" i="22" s="1"/>
  <c r="AI34" i="22" s="1"/>
  <c r="AI25" i="22"/>
  <c r="AG26" i="22"/>
  <c r="AG32" i="22" s="1"/>
  <c r="AG34" i="22" s="1"/>
  <c r="AG25" i="22"/>
  <c r="U25" i="22"/>
  <c r="U26" i="22"/>
  <c r="U32" i="22" s="1"/>
  <c r="U34" i="22" s="1"/>
  <c r="AW25" i="22"/>
  <c r="AW26" i="22"/>
  <c r="AW32" i="22" s="1"/>
  <c r="AW34" i="22" s="1"/>
  <c r="Z26" i="22"/>
  <c r="Z32" i="22" s="1"/>
  <c r="Z34" i="22" s="1"/>
  <c r="Z25" i="22"/>
  <c r="BC26" i="22"/>
  <c r="BC32" i="22" s="1"/>
  <c r="BC34" i="22" s="1"/>
  <c r="BC25" i="22"/>
  <c r="AR25" i="22"/>
  <c r="AR26" i="22"/>
  <c r="AR32" i="22" s="1"/>
  <c r="AR34" i="22" s="1"/>
  <c r="BA26" i="22"/>
  <c r="BA32" i="22" s="1"/>
  <c r="BA34" i="22" s="1"/>
  <c r="BA25" i="22"/>
  <c r="AV25" i="22"/>
  <c r="AV26" i="22"/>
  <c r="AV32" i="22" s="1"/>
  <c r="AV34" i="22" s="1"/>
  <c r="AE25" i="22"/>
  <c r="AE26" i="22"/>
  <c r="AE32" i="22" s="1"/>
  <c r="AE34" i="22" s="1"/>
  <c r="AQ26" i="22"/>
  <c r="AQ32" i="22" s="1"/>
  <c r="AQ34" i="22" s="1"/>
  <c r="AQ25" i="22"/>
  <c r="BK25" i="22"/>
  <c r="BK26" i="22"/>
  <c r="BK32" i="22" s="1"/>
  <c r="BK34" i="22" s="1"/>
  <c r="X26" i="22"/>
  <c r="X32" i="22" s="1"/>
  <c r="X34" i="22" s="1"/>
  <c r="X25" i="22"/>
  <c r="BB25" i="22"/>
  <c r="BB26" i="22"/>
  <c r="BB32" i="22" s="1"/>
  <c r="BB34" i="22" s="1"/>
  <c r="AB25" i="22"/>
  <c r="AB26" i="22"/>
  <c r="AB32" i="22" s="1"/>
  <c r="AB34" i="22" s="1"/>
  <c r="AO25" i="22"/>
  <c r="AO26" i="22"/>
  <c r="AO32" i="22" s="1"/>
  <c r="AO34" i="22" s="1"/>
  <c r="AH25" i="22"/>
  <c r="AH26" i="22"/>
  <c r="AH32" i="22" s="1"/>
  <c r="AH34" i="22" s="1"/>
  <c r="AX26" i="22"/>
  <c r="AX32" i="22" s="1"/>
  <c r="AX34" i="22" s="1"/>
  <c r="AX25" i="22"/>
  <c r="BJ25" i="22"/>
  <c r="BJ26" i="22"/>
  <c r="BJ32" i="22" s="1"/>
  <c r="BJ34" i="22" s="1"/>
  <c r="AU25" i="22"/>
  <c r="AU26" i="22"/>
  <c r="AU32" i="22" s="1"/>
  <c r="AU34" i="22" s="1"/>
  <c r="AD25" i="22"/>
  <c r="AD26" i="22"/>
  <c r="AD32" i="22" s="1"/>
  <c r="AD34" i="22" s="1"/>
  <c r="AT25" i="22"/>
  <c r="AT26" i="22"/>
  <c r="AT32" i="22" s="1"/>
  <c r="AT34" i="22" s="1"/>
  <c r="AP25" i="22"/>
  <c r="AP26" i="22"/>
  <c r="AP32" i="22" s="1"/>
  <c r="AP34" i="22" s="1"/>
  <c r="AI188" i="4"/>
  <c r="AI150" i="4"/>
  <c r="AH9" i="33"/>
  <c r="AK7" i="11"/>
  <c r="AJ8" i="16"/>
  <c r="AJ10" i="16" s="1"/>
  <c r="C88" i="34"/>
  <c r="AI156" i="11"/>
  <c r="AI163" i="11"/>
  <c r="AH170" i="11"/>
  <c r="AI152" i="11"/>
  <c r="AH17" i="16"/>
  <c r="AH94" i="11" s="1"/>
  <c r="AF200" i="34"/>
  <c r="AI11" i="11"/>
  <c r="AO44" i="16"/>
  <c r="AO47" i="16" s="1"/>
  <c r="AP29" i="16"/>
  <c r="AP32" i="16" s="1"/>
  <c r="AI49" i="16"/>
  <c r="AI53" i="16" s="1"/>
  <c r="AI34" i="16"/>
  <c r="AI38" i="16" s="1"/>
  <c r="AI10" i="22"/>
  <c r="AI10" i="11"/>
  <c r="D88" i="34"/>
  <c r="AH215" i="4"/>
  <c r="AH229" i="4" s="1"/>
  <c r="AH201" i="4"/>
  <c r="AH240" i="4"/>
  <c r="AP29" i="4"/>
  <c r="AI126" i="4"/>
  <c r="AI101" i="4"/>
  <c r="AI133" i="11" l="1"/>
  <c r="AI35" i="11"/>
  <c r="AI36" i="11" s="1"/>
  <c r="AJ11" i="16"/>
  <c r="AH11" i="33"/>
  <c r="AH10" i="33"/>
  <c r="AH13" i="33"/>
  <c r="AH12" i="33"/>
  <c r="AI189" i="4"/>
  <c r="AI151" i="4"/>
  <c r="AI172" i="4" s="1"/>
  <c r="AI173" i="4" s="1"/>
  <c r="AK8" i="11"/>
  <c r="AK128" i="11" s="1"/>
  <c r="AK7" i="16"/>
  <c r="AI153" i="11"/>
  <c r="AI168" i="11"/>
  <c r="AI160" i="11"/>
  <c r="AH209" i="34"/>
  <c r="AH199" i="34"/>
  <c r="AH241" i="4"/>
  <c r="AI17" i="16" s="1"/>
  <c r="AI94" i="11" s="1"/>
  <c r="C106" i="34"/>
  <c r="G99" i="34"/>
  <c r="E102" i="34"/>
  <c r="H99" i="34"/>
  <c r="F102" i="34"/>
  <c r="F99" i="34"/>
  <c r="I99" i="34"/>
  <c r="I102" i="34"/>
  <c r="G102" i="34"/>
  <c r="H102" i="34"/>
  <c r="E99" i="34"/>
  <c r="D106" i="34"/>
  <c r="F106" i="34"/>
  <c r="H88" i="34"/>
  <c r="F88" i="34"/>
  <c r="AQ29" i="16"/>
  <c r="AQ32" i="16" s="1"/>
  <c r="AP44" i="16"/>
  <c r="AP47" i="16" s="1"/>
  <c r="G88" i="34"/>
  <c r="AI39" i="16"/>
  <c r="E88" i="34"/>
  <c r="I142" i="29"/>
  <c r="I127" i="29"/>
  <c r="G97" i="34"/>
  <c r="AI54" i="16"/>
  <c r="AI55" i="16" s="1"/>
  <c r="AJ52" i="16" s="1"/>
  <c r="K107" i="29"/>
  <c r="I86" i="34"/>
  <c r="I134" i="29"/>
  <c r="H127" i="29"/>
  <c r="F97" i="34"/>
  <c r="E142" i="29"/>
  <c r="K134" i="29"/>
  <c r="H134" i="29"/>
  <c r="F86" i="34"/>
  <c r="H107" i="29"/>
  <c r="F142" i="29"/>
  <c r="J127" i="29"/>
  <c r="H97" i="34"/>
  <c r="K127" i="29"/>
  <c r="I97" i="34"/>
  <c r="J142" i="29"/>
  <c r="G142" i="29"/>
  <c r="E97" i="34"/>
  <c r="G127" i="29"/>
  <c r="G107" i="29"/>
  <c r="E86" i="34"/>
  <c r="K142" i="29"/>
  <c r="J134" i="29"/>
  <c r="G86" i="34"/>
  <c r="I107" i="29"/>
  <c r="H86" i="34"/>
  <c r="J107" i="29"/>
  <c r="H142" i="29"/>
  <c r="G134" i="29"/>
  <c r="AP30" i="4"/>
  <c r="AJ100" i="4"/>
  <c r="AJ125" i="4"/>
  <c r="AI239" i="4"/>
  <c r="AI200" i="4"/>
  <c r="AH216" i="4"/>
  <c r="AH230" i="4" s="1"/>
  <c r="AI169" i="4" l="1"/>
  <c r="AI157" i="4"/>
  <c r="AI168" i="4"/>
  <c r="AI167" i="4"/>
  <c r="AI155" i="4"/>
  <c r="AI154" i="4"/>
  <c r="AI153" i="4"/>
  <c r="AI165" i="4"/>
  <c r="AI158" i="4"/>
  <c r="AI170" i="4"/>
  <c r="AI162" i="4"/>
  <c r="AI152" i="4"/>
  <c r="AI156" i="4"/>
  <c r="AI160" i="4"/>
  <c r="AI161" i="4"/>
  <c r="AI171" i="4"/>
  <c r="AI159" i="4"/>
  <c r="AI166" i="4"/>
  <c r="AI163" i="4"/>
  <c r="AI164" i="4"/>
  <c r="E144" i="29"/>
  <c r="E81" i="22"/>
  <c r="E76" i="22"/>
  <c r="J76" i="22"/>
  <c r="J81" i="22"/>
  <c r="G81" i="22"/>
  <c r="G76" i="22"/>
  <c r="F144" i="29"/>
  <c r="F81" i="22"/>
  <c r="F76" i="22"/>
  <c r="K76" i="22"/>
  <c r="K81" i="22"/>
  <c r="I76" i="22"/>
  <c r="I81" i="22"/>
  <c r="H81" i="22"/>
  <c r="H76" i="22"/>
  <c r="AI59" i="11"/>
  <c r="AJ188" i="4"/>
  <c r="AJ150" i="4"/>
  <c r="AI40" i="16"/>
  <c r="AJ37" i="16" s="1"/>
  <c r="AI9" i="33"/>
  <c r="AL7" i="11"/>
  <c r="AK8" i="16"/>
  <c r="AK10" i="16" s="1"/>
  <c r="AJ156" i="11"/>
  <c r="AJ163" i="11"/>
  <c r="AI170" i="11"/>
  <c r="AJ152" i="11"/>
  <c r="AG200" i="34"/>
  <c r="I106" i="34"/>
  <c r="E106" i="34"/>
  <c r="G106" i="34"/>
  <c r="H106" i="34"/>
  <c r="AJ10" i="11"/>
  <c r="AQ44" i="16"/>
  <c r="AQ47" i="16" s="1"/>
  <c r="K144" i="29"/>
  <c r="AR29" i="16"/>
  <c r="AR32" i="16" s="1"/>
  <c r="AJ11" i="11"/>
  <c r="J144" i="29"/>
  <c r="H144" i="29"/>
  <c r="G144" i="29"/>
  <c r="I144" i="29"/>
  <c r="AJ10" i="22"/>
  <c r="AJ34" i="16"/>
  <c r="AJ38" i="16" s="1"/>
  <c r="AJ39" i="16" s="1"/>
  <c r="AJ49" i="16"/>
  <c r="AJ53" i="16" s="1"/>
  <c r="AJ54" i="16" s="1"/>
  <c r="AI215" i="4"/>
  <c r="AI229" i="4" s="1"/>
  <c r="AI240" i="4"/>
  <c r="AI201" i="4"/>
  <c r="AQ29" i="4"/>
  <c r="AJ126" i="4"/>
  <c r="AJ101" i="4"/>
  <c r="AJ133" i="11" l="1"/>
  <c r="AJ35" i="11"/>
  <c r="AJ36" i="11" s="1"/>
  <c r="AJ59" i="11"/>
  <c r="AK11" i="16"/>
  <c r="AI10" i="33"/>
  <c r="AI13" i="33"/>
  <c r="AI11" i="33"/>
  <c r="AI12" i="33"/>
  <c r="AJ189" i="4"/>
  <c r="AJ151" i="4"/>
  <c r="AJ172" i="4" s="1"/>
  <c r="AJ173" i="4" s="1"/>
  <c r="AL8" i="11"/>
  <c r="AL128" i="11" s="1"/>
  <c r="AL7" i="16"/>
  <c r="AJ153" i="11"/>
  <c r="AJ168" i="11"/>
  <c r="AJ160" i="11"/>
  <c r="AI209" i="34"/>
  <c r="AI199" i="34"/>
  <c r="AS29" i="16"/>
  <c r="AS32" i="16" s="1"/>
  <c r="AR44" i="16"/>
  <c r="AR47" i="16" s="1"/>
  <c r="AJ40" i="16"/>
  <c r="AK37" i="16" s="1"/>
  <c r="AJ55" i="16"/>
  <c r="AK52" i="16" s="1"/>
  <c r="AQ30" i="4"/>
  <c r="AK100" i="4"/>
  <c r="AK125" i="4"/>
  <c r="AI216" i="4"/>
  <c r="AI230" i="4" s="1"/>
  <c r="AI241" i="4"/>
  <c r="AJ200" i="4"/>
  <c r="AJ239" i="4"/>
  <c r="AJ168" i="4" l="1"/>
  <c r="AJ156" i="4"/>
  <c r="AJ167" i="4"/>
  <c r="AJ166" i="4"/>
  <c r="AJ165" i="4"/>
  <c r="AJ158" i="4"/>
  <c r="AJ153" i="4"/>
  <c r="AJ152" i="4"/>
  <c r="AJ171" i="4"/>
  <c r="AJ170" i="4"/>
  <c r="AJ162" i="4"/>
  <c r="AJ160" i="4"/>
  <c r="AJ163" i="4"/>
  <c r="AJ154" i="4"/>
  <c r="AJ159" i="4"/>
  <c r="AJ155" i="4"/>
  <c r="AJ161" i="4"/>
  <c r="AJ157" i="4"/>
  <c r="AJ164" i="4"/>
  <c r="AJ169" i="4"/>
  <c r="AK188" i="4"/>
  <c r="AK150" i="4"/>
  <c r="AJ9" i="33"/>
  <c r="AM7" i="11"/>
  <c r="AL8" i="16"/>
  <c r="AL10" i="16" s="1"/>
  <c r="AK156" i="11"/>
  <c r="AK163" i="11"/>
  <c r="AK152" i="11"/>
  <c r="AJ170" i="11"/>
  <c r="AJ17" i="16"/>
  <c r="AJ94" i="11" s="1"/>
  <c r="AH200" i="34"/>
  <c r="AK10" i="11"/>
  <c r="AS44" i="16"/>
  <c r="AS47" i="16" s="1"/>
  <c r="AT29" i="16"/>
  <c r="AT32" i="16" s="1"/>
  <c r="AK11" i="11"/>
  <c r="AK49" i="16"/>
  <c r="AK53" i="16" s="1"/>
  <c r="AK54" i="16" s="1"/>
  <c r="AK34" i="16"/>
  <c r="AK38" i="16" s="1"/>
  <c r="AK39" i="16" s="1"/>
  <c r="AK10" i="22"/>
  <c r="AJ215" i="4"/>
  <c r="AJ229" i="4" s="1"/>
  <c r="AJ201" i="4"/>
  <c r="AJ240" i="4"/>
  <c r="AR29" i="4"/>
  <c r="AK126" i="4"/>
  <c r="AK101" i="4"/>
  <c r="AK133" i="11" l="1"/>
  <c r="AK59" i="11"/>
  <c r="AK35" i="11"/>
  <c r="AK36" i="11" s="1"/>
  <c r="AL11" i="16"/>
  <c r="AJ13" i="33"/>
  <c r="AJ12" i="33"/>
  <c r="AJ10" i="33"/>
  <c r="AJ11" i="33"/>
  <c r="AK189" i="4"/>
  <c r="AK151" i="4"/>
  <c r="AK172" i="4" s="1"/>
  <c r="AK173" i="4" s="1"/>
  <c r="AM8" i="11"/>
  <c r="AM128" i="11" s="1"/>
  <c r="AM7" i="16"/>
  <c r="AK153" i="11"/>
  <c r="AK168" i="11"/>
  <c r="AK160" i="11"/>
  <c r="AJ209" i="34"/>
  <c r="AJ199" i="34"/>
  <c r="AU29" i="16"/>
  <c r="AU32" i="16" s="1"/>
  <c r="AT44" i="16"/>
  <c r="AT47" i="16" s="1"/>
  <c r="AK55" i="16"/>
  <c r="AL52" i="16" s="1"/>
  <c r="AK40" i="16"/>
  <c r="AL37" i="16" s="1"/>
  <c r="AJ216" i="4"/>
  <c r="AJ230" i="4" s="1"/>
  <c r="AR30" i="4"/>
  <c r="AL100" i="4"/>
  <c r="AL125" i="4"/>
  <c r="AK200" i="4"/>
  <c r="AK239" i="4"/>
  <c r="AJ241" i="4"/>
  <c r="I88" i="34"/>
  <c r="AK167" i="4" l="1"/>
  <c r="AK155" i="4"/>
  <c r="AK166" i="4"/>
  <c r="AK165" i="4"/>
  <c r="AK170" i="4"/>
  <c r="AK162" i="4"/>
  <c r="AK152" i="4"/>
  <c r="AK171" i="4"/>
  <c r="AK156" i="4"/>
  <c r="AK168" i="4"/>
  <c r="AK160" i="4"/>
  <c r="AK153" i="4"/>
  <c r="AK158" i="4"/>
  <c r="AK157" i="4"/>
  <c r="AK154" i="4"/>
  <c r="AK161" i="4"/>
  <c r="AK163" i="4"/>
  <c r="AK164" i="4"/>
  <c r="AK159" i="4"/>
  <c r="AK169" i="4"/>
  <c r="AL188" i="4"/>
  <c r="AL150" i="4"/>
  <c r="AK9" i="33"/>
  <c r="AN7" i="11"/>
  <c r="AM8" i="16"/>
  <c r="AM10" i="16" s="1"/>
  <c r="AL156" i="11"/>
  <c r="AL163" i="11"/>
  <c r="AL152" i="11"/>
  <c r="AK170" i="11"/>
  <c r="AK17" i="16"/>
  <c r="AK94" i="11" s="1"/>
  <c r="AI200" i="34"/>
  <c r="AL10" i="11"/>
  <c r="AU44" i="16"/>
  <c r="AU47" i="16" s="1"/>
  <c r="AV29" i="16"/>
  <c r="AV32" i="16" s="1"/>
  <c r="AL11" i="11"/>
  <c r="AL10" i="22"/>
  <c r="AL49" i="16"/>
  <c r="AL53" i="16" s="1"/>
  <c r="AL54" i="16" s="1"/>
  <c r="AL34" i="16"/>
  <c r="AL38" i="16" s="1"/>
  <c r="AL39" i="16" s="1"/>
  <c r="AK215" i="4"/>
  <c r="AK229" i="4" s="1"/>
  <c r="AS29" i="4"/>
  <c r="AL101" i="4"/>
  <c r="AL126" i="4"/>
  <c r="AK201" i="4"/>
  <c r="AK240" i="4"/>
  <c r="AL133" i="11" l="1"/>
  <c r="AL35" i="11"/>
  <c r="AL36" i="11" s="1"/>
  <c r="AL59" i="11"/>
  <c r="AM11" i="16"/>
  <c r="AK12" i="33"/>
  <c r="AK10" i="33"/>
  <c r="AK13" i="33"/>
  <c r="AK11" i="33"/>
  <c r="AL189" i="4"/>
  <c r="AL151" i="4"/>
  <c r="AL172" i="4" s="1"/>
  <c r="AL173" i="4" s="1"/>
  <c r="AN8" i="11"/>
  <c r="AN128" i="11" s="1"/>
  <c r="AN7" i="16"/>
  <c r="AL153" i="11"/>
  <c r="AL168" i="11"/>
  <c r="AL160" i="11"/>
  <c r="AK209" i="34"/>
  <c r="AK199" i="34"/>
  <c r="AW29" i="16"/>
  <c r="AW32" i="16" s="1"/>
  <c r="AL55" i="16"/>
  <c r="AM52" i="16" s="1"/>
  <c r="AV44" i="16"/>
  <c r="AV47" i="16" s="1"/>
  <c r="AL40" i="16"/>
  <c r="AM37" i="16" s="1"/>
  <c r="AS30" i="4"/>
  <c r="AM125" i="4"/>
  <c r="AM100" i="4"/>
  <c r="AK216" i="4"/>
  <c r="AK230" i="4" s="1"/>
  <c r="AK241" i="4"/>
  <c r="AL239" i="4"/>
  <c r="AL200" i="4"/>
  <c r="AL166" i="4" l="1"/>
  <c r="AL165" i="4"/>
  <c r="AL164" i="4"/>
  <c r="AL159" i="4"/>
  <c r="AL171" i="4"/>
  <c r="AL161" i="4"/>
  <c r="AL156" i="4"/>
  <c r="AL160" i="4"/>
  <c r="AL168" i="4"/>
  <c r="AL158" i="4"/>
  <c r="AL153" i="4"/>
  <c r="AL170" i="4"/>
  <c r="AL154" i="4"/>
  <c r="AL163" i="4"/>
  <c r="AL167" i="4"/>
  <c r="AL152" i="4"/>
  <c r="AL155" i="4"/>
  <c r="AL162" i="4"/>
  <c r="AL169" i="4"/>
  <c r="AL157" i="4"/>
  <c r="AM188" i="4"/>
  <c r="AM150" i="4"/>
  <c r="AL9" i="33"/>
  <c r="AO7" i="11"/>
  <c r="AN8" i="16"/>
  <c r="AN10" i="16" s="1"/>
  <c r="AM156" i="11"/>
  <c r="AM163" i="11"/>
  <c r="AL170" i="11"/>
  <c r="AM152" i="11"/>
  <c r="AL17" i="16"/>
  <c r="AL94" i="11" s="1"/>
  <c r="AJ200" i="34"/>
  <c r="AM10" i="11"/>
  <c r="AM11" i="11"/>
  <c r="AW44" i="16"/>
  <c r="AW47" i="16" s="1"/>
  <c r="AX29" i="16"/>
  <c r="AX32" i="16" s="1"/>
  <c r="AM49" i="16"/>
  <c r="AM53" i="16" s="1"/>
  <c r="AM34" i="16"/>
  <c r="AM38" i="16" s="1"/>
  <c r="AM39" i="16" s="1"/>
  <c r="AM10" i="22"/>
  <c r="AT29" i="4"/>
  <c r="AM126" i="4"/>
  <c r="AM101" i="4"/>
  <c r="AL215" i="4"/>
  <c r="AL229" i="4" s="1"/>
  <c r="AL240" i="4"/>
  <c r="AL201" i="4"/>
  <c r="AM133" i="11" l="1"/>
  <c r="AM35" i="11"/>
  <c r="AM36" i="11" s="1"/>
  <c r="AN11" i="16"/>
  <c r="AL10" i="33"/>
  <c r="AL11" i="33"/>
  <c r="AL12" i="33"/>
  <c r="AL13" i="33"/>
  <c r="AM189" i="4"/>
  <c r="AM151" i="4"/>
  <c r="AM172" i="4" s="1"/>
  <c r="AM173" i="4" s="1"/>
  <c r="AO8" i="11"/>
  <c r="AO128" i="11" s="1"/>
  <c r="AO7" i="16"/>
  <c r="AM153" i="11"/>
  <c r="AM168" i="11"/>
  <c r="AM160" i="11"/>
  <c r="AL209" i="34"/>
  <c r="AL241" i="4"/>
  <c r="AM17" i="16" s="1"/>
  <c r="AM94" i="11" s="1"/>
  <c r="AL199" i="34"/>
  <c r="AM40" i="16"/>
  <c r="AN37" i="16" s="1"/>
  <c r="AX44" i="16"/>
  <c r="AX47" i="16" s="1"/>
  <c r="AY29" i="16"/>
  <c r="AY32" i="16" s="1"/>
  <c r="AM54" i="16"/>
  <c r="AM55" i="16" s="1"/>
  <c r="AN52" i="16" s="1"/>
  <c r="AL216" i="4"/>
  <c r="AL230" i="4" s="1"/>
  <c r="AM239" i="4"/>
  <c r="AM200" i="4"/>
  <c r="AT30" i="4"/>
  <c r="AN125" i="4"/>
  <c r="AN100" i="4"/>
  <c r="AM165" i="4" l="1"/>
  <c r="AM164" i="4"/>
  <c r="AM171" i="4"/>
  <c r="AM161" i="4"/>
  <c r="AM159" i="4"/>
  <c r="AM156" i="4"/>
  <c r="AM166" i="4"/>
  <c r="AM158" i="4"/>
  <c r="AM153" i="4"/>
  <c r="AM154" i="4"/>
  <c r="AM170" i="4"/>
  <c r="AM168" i="4"/>
  <c r="AM163" i="4"/>
  <c r="AM160" i="4"/>
  <c r="AM152" i="4"/>
  <c r="AM155" i="4"/>
  <c r="AM162" i="4"/>
  <c r="AM157" i="4"/>
  <c r="AM169" i="4"/>
  <c r="AM167" i="4"/>
  <c r="AM59" i="11"/>
  <c r="AN188" i="4"/>
  <c r="AN150" i="4"/>
  <c r="AM9" i="33"/>
  <c r="AP7" i="11"/>
  <c r="AO8" i="16"/>
  <c r="AO10" i="16" s="1"/>
  <c r="AN156" i="11"/>
  <c r="AN163" i="11"/>
  <c r="AN152" i="11"/>
  <c r="AM170" i="11"/>
  <c r="AK200" i="34"/>
  <c r="AN10" i="11"/>
  <c r="AZ29" i="16"/>
  <c r="AZ32" i="16" s="1"/>
  <c r="AY44" i="16"/>
  <c r="AY47" i="16" s="1"/>
  <c r="AN49" i="16"/>
  <c r="AN53" i="16" s="1"/>
  <c r="AN54" i="16" s="1"/>
  <c r="AN34" i="16"/>
  <c r="AN38" i="16" s="1"/>
  <c r="AN11" i="11"/>
  <c r="AN10" i="22"/>
  <c r="AU29" i="4"/>
  <c r="AN126" i="4"/>
  <c r="AN101" i="4"/>
  <c r="AM201" i="4"/>
  <c r="AM240" i="4"/>
  <c r="AM215" i="4"/>
  <c r="AM229" i="4" s="1"/>
  <c r="AN133" i="11" l="1"/>
  <c r="AN35" i="11"/>
  <c r="AN36" i="11" s="1"/>
  <c r="AO11" i="16"/>
  <c r="AM10" i="33"/>
  <c r="AM11" i="33"/>
  <c r="AM13" i="33"/>
  <c r="AM12" i="33"/>
  <c r="AN189" i="4"/>
  <c r="AN151" i="4"/>
  <c r="AN172" i="4" s="1"/>
  <c r="AN173" i="4" s="1"/>
  <c r="AP8" i="11"/>
  <c r="AP128" i="11" s="1"/>
  <c r="AP7" i="16"/>
  <c r="AN153" i="11"/>
  <c r="AN168" i="11"/>
  <c r="AN160" i="11"/>
  <c r="AM209" i="34"/>
  <c r="AM199" i="34"/>
  <c r="AM241" i="4"/>
  <c r="AN17" i="16" s="1"/>
  <c r="AN94" i="11" s="1"/>
  <c r="AZ44" i="16"/>
  <c r="AZ47" i="16" s="1"/>
  <c r="BA29" i="16"/>
  <c r="BA32" i="16" s="1"/>
  <c r="AN55" i="16"/>
  <c r="AO52" i="16" s="1"/>
  <c r="AN39" i="16"/>
  <c r="AN59" i="11" s="1"/>
  <c r="AM216" i="4"/>
  <c r="AM230" i="4" s="1"/>
  <c r="AN200" i="4"/>
  <c r="AN239" i="4"/>
  <c r="AU30" i="4"/>
  <c r="AO100" i="4"/>
  <c r="AO125" i="4"/>
  <c r="AN164" i="4" l="1"/>
  <c r="AN163" i="4"/>
  <c r="AN161" i="4"/>
  <c r="AN159" i="4"/>
  <c r="AN156" i="4"/>
  <c r="AN166" i="4"/>
  <c r="AN170" i="4"/>
  <c r="AN168" i="4"/>
  <c r="AN154" i="4"/>
  <c r="AN169" i="4"/>
  <c r="AN155" i="4"/>
  <c r="AN165" i="4"/>
  <c r="AN162" i="4"/>
  <c r="AN171" i="4"/>
  <c r="AN167" i="4"/>
  <c r="AN152" i="4"/>
  <c r="AN158" i="4"/>
  <c r="AN153" i="4"/>
  <c r="AN157" i="4"/>
  <c r="AN160" i="4"/>
  <c r="AO188" i="4"/>
  <c r="AO150" i="4"/>
  <c r="AN9" i="33"/>
  <c r="AQ7" i="11"/>
  <c r="AP8" i="16"/>
  <c r="AP10" i="16" s="1"/>
  <c r="AO156" i="11"/>
  <c r="AO163" i="11"/>
  <c r="AO152" i="11"/>
  <c r="AN170" i="11"/>
  <c r="AL200" i="34"/>
  <c r="AO10" i="11"/>
  <c r="AO11" i="11"/>
  <c r="AN40" i="16"/>
  <c r="AO37" i="16" s="1"/>
  <c r="BB29" i="16"/>
  <c r="BB32" i="16" s="1"/>
  <c r="BA44" i="16"/>
  <c r="BA47" i="16" s="1"/>
  <c r="AO49" i="16"/>
  <c r="AO53" i="16" s="1"/>
  <c r="AO34" i="16"/>
  <c r="AO38" i="16" s="1"/>
  <c r="AO39" i="16" s="1"/>
  <c r="AO10" i="22"/>
  <c r="AN201" i="4"/>
  <c r="AN240" i="4"/>
  <c r="AV29" i="4"/>
  <c r="AO101" i="4"/>
  <c r="AO126" i="4"/>
  <c r="AN215" i="4"/>
  <c r="AN229" i="4" s="1"/>
  <c r="AO133" i="11" l="1"/>
  <c r="AO35" i="11"/>
  <c r="AO36" i="11" s="1"/>
  <c r="AP11" i="16"/>
  <c r="AN13" i="33"/>
  <c r="AN12" i="33"/>
  <c r="AN11" i="33"/>
  <c r="AN10" i="33"/>
  <c r="AO189" i="4"/>
  <c r="AO151" i="4"/>
  <c r="AO172" i="4" s="1"/>
  <c r="AO173" i="4" s="1"/>
  <c r="AQ8" i="11"/>
  <c r="AQ128" i="11" s="1"/>
  <c r="AQ7" i="16"/>
  <c r="AO153" i="11"/>
  <c r="AO168" i="11"/>
  <c r="AO160" i="11"/>
  <c r="AN209" i="34"/>
  <c r="AN241" i="4"/>
  <c r="AO17" i="16" s="1"/>
  <c r="AO94" i="11" s="1"/>
  <c r="AN199" i="34"/>
  <c r="BB44" i="16"/>
  <c r="BB47" i="16" s="1"/>
  <c r="AO40" i="16"/>
  <c r="AP37" i="16" s="1"/>
  <c r="BC29" i="16"/>
  <c r="BC32" i="16" s="1"/>
  <c r="AO54" i="16"/>
  <c r="AO55" i="16" s="1"/>
  <c r="AP52" i="16" s="1"/>
  <c r="AV30" i="4"/>
  <c r="AP125" i="4"/>
  <c r="AP100" i="4"/>
  <c r="AN216" i="4"/>
  <c r="AN230" i="4" s="1"/>
  <c r="AO200" i="4"/>
  <c r="AO239" i="4"/>
  <c r="AO163" i="4" l="1"/>
  <c r="AO162" i="4"/>
  <c r="AO166" i="4"/>
  <c r="AO167" i="4"/>
  <c r="AO170" i="4"/>
  <c r="AO168" i="4"/>
  <c r="AO154" i="4"/>
  <c r="AO157" i="4"/>
  <c r="AO169" i="4"/>
  <c r="AO152" i="4"/>
  <c r="AO160" i="4"/>
  <c r="AO171" i="4"/>
  <c r="AO164" i="4"/>
  <c r="AO156" i="4"/>
  <c r="AO165" i="4"/>
  <c r="AO158" i="4"/>
  <c r="AO161" i="4"/>
  <c r="AO159" i="4"/>
  <c r="AO155" i="4"/>
  <c r="AO153" i="4"/>
  <c r="AO59" i="11"/>
  <c r="AP188" i="4"/>
  <c r="AP150" i="4"/>
  <c r="AO9" i="33"/>
  <c r="AR7" i="11"/>
  <c r="AQ8" i="16"/>
  <c r="AQ10" i="16" s="1"/>
  <c r="AP156" i="11"/>
  <c r="AP163" i="11"/>
  <c r="AO170" i="11"/>
  <c r="AP152" i="11"/>
  <c r="AM200" i="34"/>
  <c r="AP10" i="11"/>
  <c r="BC44" i="16"/>
  <c r="BC47" i="16" s="1"/>
  <c r="BD29" i="16"/>
  <c r="BD32" i="16" s="1"/>
  <c r="AP10" i="22"/>
  <c r="AP11" i="11"/>
  <c r="AP49" i="16"/>
  <c r="AP53" i="16" s="1"/>
  <c r="AP54" i="16" s="1"/>
  <c r="AP34" i="16"/>
  <c r="AP38" i="16" s="1"/>
  <c r="AO215" i="4"/>
  <c r="AO229" i="4" s="1"/>
  <c r="AO240" i="4"/>
  <c r="AO201" i="4"/>
  <c r="AW29" i="4"/>
  <c r="AP101" i="4"/>
  <c r="AP126" i="4"/>
  <c r="AP133" i="11" l="1"/>
  <c r="AP35" i="11"/>
  <c r="AP36" i="11" s="1"/>
  <c r="AQ11" i="16"/>
  <c r="AO12" i="33"/>
  <c r="AO10" i="33"/>
  <c r="AO13" i="33"/>
  <c r="AO11" i="33"/>
  <c r="AP189" i="4"/>
  <c r="AP151" i="4"/>
  <c r="AP172" i="4" s="1"/>
  <c r="AP173" i="4" s="1"/>
  <c r="AR8" i="11"/>
  <c r="AR128" i="11" s="1"/>
  <c r="AR7" i="16"/>
  <c r="AP153" i="11"/>
  <c r="AP168" i="11"/>
  <c r="AP160" i="11"/>
  <c r="AO209" i="34"/>
  <c r="AO199" i="34"/>
  <c r="BE29" i="16"/>
  <c r="BE32" i="16" s="1"/>
  <c r="BD44" i="16"/>
  <c r="BD47" i="16" s="1"/>
  <c r="AP39" i="16"/>
  <c r="AP59" i="11" s="1"/>
  <c r="AP55" i="16"/>
  <c r="AQ52" i="16" s="1"/>
  <c r="AP200" i="4"/>
  <c r="AP239" i="4"/>
  <c r="AW30" i="4"/>
  <c r="AQ100" i="4"/>
  <c r="AQ125" i="4"/>
  <c r="AO216" i="4"/>
  <c r="AO230" i="4" s="1"/>
  <c r="AO241" i="4"/>
  <c r="AP162" i="4" l="1"/>
  <c r="AP161" i="4"/>
  <c r="AP167" i="4"/>
  <c r="AP157" i="4"/>
  <c r="AP168" i="4"/>
  <c r="AP160" i="4"/>
  <c r="AP155" i="4"/>
  <c r="AP163" i="4"/>
  <c r="AP164" i="4"/>
  <c r="AP171" i="4"/>
  <c r="AP154" i="4"/>
  <c r="AP152" i="4"/>
  <c r="AP165" i="4"/>
  <c r="AP158" i="4"/>
  <c r="AP153" i="4"/>
  <c r="AP170" i="4"/>
  <c r="AP159" i="4"/>
  <c r="AP156" i="4"/>
  <c r="AP166" i="4"/>
  <c r="AP169" i="4"/>
  <c r="AQ188" i="4"/>
  <c r="AQ150" i="4"/>
  <c r="AP9" i="33"/>
  <c r="AS7" i="11"/>
  <c r="AR8" i="16"/>
  <c r="AR10" i="16" s="1"/>
  <c r="AQ156" i="11"/>
  <c r="AQ163" i="11"/>
  <c r="AQ152" i="11"/>
  <c r="AP170" i="11"/>
  <c r="AP17" i="16"/>
  <c r="AP94" i="11" s="1"/>
  <c r="AN200" i="34"/>
  <c r="AQ10" i="11"/>
  <c r="BE44" i="16"/>
  <c r="BE47" i="16" s="1"/>
  <c r="BF29" i="16"/>
  <c r="BF32" i="16" s="1"/>
  <c r="AP40" i="16"/>
  <c r="AQ37" i="16" s="1"/>
  <c r="AQ11" i="11"/>
  <c r="AQ49" i="16"/>
  <c r="AQ53" i="16" s="1"/>
  <c r="AQ54" i="16" s="1"/>
  <c r="AQ34" i="16"/>
  <c r="AQ38" i="16" s="1"/>
  <c r="AQ39" i="16" s="1"/>
  <c r="AQ10" i="22"/>
  <c r="AX29" i="4"/>
  <c r="AQ101" i="4"/>
  <c r="AQ126" i="4"/>
  <c r="AP240" i="4"/>
  <c r="AP201" i="4"/>
  <c r="AP215" i="4"/>
  <c r="AP229" i="4" s="1"/>
  <c r="AQ59" i="11" l="1"/>
  <c r="AQ133" i="11"/>
  <c r="AQ35" i="11"/>
  <c r="AQ36" i="11" s="1"/>
  <c r="AR11" i="16"/>
  <c r="AP13" i="33"/>
  <c r="AP11" i="33"/>
  <c r="AP12" i="33"/>
  <c r="AP10" i="33"/>
  <c r="AQ189" i="4"/>
  <c r="AQ151" i="4"/>
  <c r="AQ172" i="4" s="1"/>
  <c r="AQ173" i="4" s="1"/>
  <c r="AS8" i="11"/>
  <c r="AS128" i="11" s="1"/>
  <c r="AS7" i="16"/>
  <c r="AQ153" i="11"/>
  <c r="AQ168" i="11"/>
  <c r="AQ160" i="11"/>
  <c r="AP209" i="34"/>
  <c r="AP199" i="34"/>
  <c r="BG29" i="16"/>
  <c r="BG32" i="16" s="1"/>
  <c r="BF44" i="16"/>
  <c r="BF47" i="16" s="1"/>
  <c r="AQ40" i="16"/>
  <c r="AR37" i="16" s="1"/>
  <c r="AQ55" i="16"/>
  <c r="AR52" i="16" s="1"/>
  <c r="AQ239" i="4"/>
  <c r="AQ200" i="4"/>
  <c r="AP216" i="4"/>
  <c r="AP230" i="4" s="1"/>
  <c r="AP241" i="4"/>
  <c r="AX30" i="4"/>
  <c r="AR100" i="4"/>
  <c r="AR125" i="4"/>
  <c r="AQ161" i="4" l="1"/>
  <c r="AQ171" i="4"/>
  <c r="AQ167" i="4"/>
  <c r="AQ160" i="4"/>
  <c r="AQ157" i="4"/>
  <c r="AQ168" i="4"/>
  <c r="AQ163" i="4"/>
  <c r="AQ155" i="4"/>
  <c r="AQ164" i="4"/>
  <c r="AQ159" i="4"/>
  <c r="AQ169" i="4"/>
  <c r="AQ156" i="4"/>
  <c r="AQ153" i="4"/>
  <c r="AQ170" i="4"/>
  <c r="AQ165" i="4"/>
  <c r="AQ158" i="4"/>
  <c r="AQ162" i="4"/>
  <c r="AQ166" i="4"/>
  <c r="AQ152" i="4"/>
  <c r="AQ154" i="4"/>
  <c r="AR188" i="4"/>
  <c r="AR150" i="4"/>
  <c r="AQ9" i="33"/>
  <c r="AT7" i="11"/>
  <c r="AS8" i="16"/>
  <c r="AS10" i="16" s="1"/>
  <c r="AR156" i="11"/>
  <c r="AR163" i="11"/>
  <c r="AQ170" i="11"/>
  <c r="AR152" i="11"/>
  <c r="AQ17" i="16"/>
  <c r="AQ94" i="11" s="1"/>
  <c r="AO200" i="34"/>
  <c r="AR10" i="11"/>
  <c r="AR11" i="11"/>
  <c r="BG44" i="16"/>
  <c r="BG47" i="16" s="1"/>
  <c r="BH29" i="16"/>
  <c r="BH32" i="16" s="1"/>
  <c r="AR49" i="16"/>
  <c r="AR53" i="16" s="1"/>
  <c r="AR54" i="16" s="1"/>
  <c r="AR34" i="16"/>
  <c r="AR38" i="16" s="1"/>
  <c r="AR10" i="22"/>
  <c r="AQ240" i="4"/>
  <c r="AQ201" i="4"/>
  <c r="AY29" i="4"/>
  <c r="AR126" i="4"/>
  <c r="AR101" i="4"/>
  <c r="AQ215" i="4"/>
  <c r="AQ229" i="4" s="1"/>
  <c r="AR133" i="11" l="1"/>
  <c r="AR35" i="11"/>
  <c r="AR36" i="11" s="1"/>
  <c r="AS11" i="16"/>
  <c r="AQ12" i="33"/>
  <c r="AQ13" i="33"/>
  <c r="AQ11" i="33"/>
  <c r="AQ10" i="33"/>
  <c r="AR189" i="4"/>
  <c r="AR151" i="4"/>
  <c r="AR172" i="4" s="1"/>
  <c r="AR173" i="4" s="1"/>
  <c r="AT8" i="11"/>
  <c r="AT128" i="11" s="1"/>
  <c r="AT7" i="16"/>
  <c r="AR153" i="11"/>
  <c r="AR168" i="11"/>
  <c r="AR160" i="11"/>
  <c r="AQ209" i="34"/>
  <c r="AQ199" i="34"/>
  <c r="AQ241" i="4"/>
  <c r="AR17" i="16" s="1"/>
  <c r="AR94" i="11" s="1"/>
  <c r="BI29" i="16"/>
  <c r="BI32" i="16" s="1"/>
  <c r="BH44" i="16"/>
  <c r="BH47" i="16" s="1"/>
  <c r="AR55" i="16"/>
  <c r="AS52" i="16" s="1"/>
  <c r="AR39" i="16"/>
  <c r="AR59" i="11" s="1"/>
  <c r="AR200" i="4"/>
  <c r="AR239" i="4"/>
  <c r="AY30" i="4"/>
  <c r="AS100" i="4"/>
  <c r="AS125" i="4"/>
  <c r="AQ216" i="4"/>
  <c r="AQ230" i="4" s="1"/>
  <c r="AR160" i="4" l="1"/>
  <c r="AR171" i="4"/>
  <c r="AR170" i="4"/>
  <c r="AR157" i="4"/>
  <c r="AR168" i="4"/>
  <c r="AR169" i="4"/>
  <c r="AR162" i="4"/>
  <c r="AR163" i="4"/>
  <c r="AR155" i="4"/>
  <c r="AR164" i="4"/>
  <c r="AR159" i="4"/>
  <c r="AR165" i="4"/>
  <c r="AR166" i="4"/>
  <c r="AR161" i="4"/>
  <c r="AR167" i="4"/>
  <c r="AR156" i="4"/>
  <c r="AR153" i="4"/>
  <c r="AR154" i="4"/>
  <c r="AR152" i="4"/>
  <c r="AR158" i="4"/>
  <c r="AS188" i="4"/>
  <c r="AS150" i="4"/>
  <c r="AR9" i="33"/>
  <c r="AU7" i="11"/>
  <c r="AT8" i="16"/>
  <c r="AT10" i="16" s="1"/>
  <c r="AS156" i="11"/>
  <c r="AS163" i="11"/>
  <c r="AR170" i="11"/>
  <c r="AS152" i="11"/>
  <c r="AP200" i="34"/>
  <c r="AS10" i="11"/>
  <c r="AS11" i="11"/>
  <c r="BI44" i="16"/>
  <c r="BI47" i="16" s="1"/>
  <c r="BJ29" i="16"/>
  <c r="BJ32" i="16" s="1"/>
  <c r="AS49" i="16"/>
  <c r="AS53" i="16" s="1"/>
  <c r="AS34" i="16"/>
  <c r="AS38" i="16" s="1"/>
  <c r="AS39" i="16" s="1"/>
  <c r="AR40" i="16"/>
  <c r="AS37" i="16" s="1"/>
  <c r="AS10" i="22"/>
  <c r="AR215" i="4"/>
  <c r="AR229" i="4" s="1"/>
  <c r="AZ29" i="4"/>
  <c r="AS126" i="4"/>
  <c r="AS101" i="4"/>
  <c r="AR201" i="4"/>
  <c r="AR240" i="4"/>
  <c r="AS133" i="11" l="1"/>
  <c r="AS35" i="11"/>
  <c r="AS36" i="11" s="1"/>
  <c r="AT11" i="16"/>
  <c r="AR11" i="33"/>
  <c r="AR12" i="33"/>
  <c r="AR10" i="33"/>
  <c r="AR13" i="33"/>
  <c r="AS189" i="4"/>
  <c r="AS151" i="4"/>
  <c r="AS172" i="4" s="1"/>
  <c r="AS173" i="4" s="1"/>
  <c r="AU8" i="11"/>
  <c r="AU128" i="11" s="1"/>
  <c r="AU7" i="16"/>
  <c r="AS153" i="11"/>
  <c r="AS168" i="11"/>
  <c r="AS160" i="11"/>
  <c r="AR209" i="34"/>
  <c r="AR199" i="34"/>
  <c r="AR241" i="4"/>
  <c r="AS17" i="16" s="1"/>
  <c r="AS94" i="11" s="1"/>
  <c r="BK29" i="16"/>
  <c r="BK32" i="16" s="1"/>
  <c r="BJ44" i="16"/>
  <c r="BJ47" i="16" s="1"/>
  <c r="AS40" i="16"/>
  <c r="AT37" i="16" s="1"/>
  <c r="AS54" i="16"/>
  <c r="AS59" i="11" s="1"/>
  <c r="AZ30" i="4"/>
  <c r="AT125" i="4"/>
  <c r="AT100" i="4"/>
  <c r="AS200" i="4"/>
  <c r="AS239" i="4"/>
  <c r="AR216" i="4"/>
  <c r="AR230" i="4" s="1"/>
  <c r="AS171" i="4" l="1"/>
  <c r="AS159" i="4"/>
  <c r="AS170" i="4"/>
  <c r="AS169" i="4"/>
  <c r="AS168" i="4"/>
  <c r="AS160" i="4"/>
  <c r="AS154" i="4"/>
  <c r="AS163" i="4"/>
  <c r="AS155" i="4"/>
  <c r="AS164" i="4"/>
  <c r="AS165" i="4"/>
  <c r="AS157" i="4"/>
  <c r="AS162" i="4"/>
  <c r="AS167" i="4"/>
  <c r="AS156" i="4"/>
  <c r="AS158" i="4"/>
  <c r="AS153" i="4"/>
  <c r="AS161" i="4"/>
  <c r="AS166" i="4"/>
  <c r="AS152" i="4"/>
  <c r="AT188" i="4"/>
  <c r="AT150" i="4"/>
  <c r="AS9" i="33"/>
  <c r="AV7" i="11"/>
  <c r="AU8" i="16"/>
  <c r="AU10" i="16" s="1"/>
  <c r="AT156" i="11"/>
  <c r="AT163" i="11"/>
  <c r="AT152" i="11"/>
  <c r="AS170" i="11"/>
  <c r="AQ200" i="34"/>
  <c r="AT10" i="11"/>
  <c r="AT11" i="11"/>
  <c r="BK44" i="16"/>
  <c r="BK47" i="16" s="1"/>
  <c r="BL29" i="16"/>
  <c r="BL32" i="16" s="1"/>
  <c r="AS55" i="16"/>
  <c r="AT52" i="16" s="1"/>
  <c r="AT49" i="16"/>
  <c r="AT53" i="16" s="1"/>
  <c r="AT54" i="16" s="1"/>
  <c r="AT34" i="16"/>
  <c r="AT38" i="16" s="1"/>
  <c r="AT39" i="16" s="1"/>
  <c r="AT10" i="22"/>
  <c r="AS215" i="4"/>
  <c r="AS229" i="4" s="1"/>
  <c r="BA29" i="4"/>
  <c r="AT101" i="4"/>
  <c r="AT126" i="4"/>
  <c r="AS201" i="4"/>
  <c r="AS240" i="4"/>
  <c r="AT133" i="11" l="1"/>
  <c r="AT35" i="11"/>
  <c r="AT36" i="11" s="1"/>
  <c r="AT59" i="11"/>
  <c r="AU11" i="16"/>
  <c r="AS10" i="33"/>
  <c r="AS12" i="33"/>
  <c r="AS11" i="33"/>
  <c r="AS13" i="33"/>
  <c r="AT189" i="4"/>
  <c r="AT151" i="4"/>
  <c r="AT172" i="4" s="1"/>
  <c r="AT173" i="4" s="1"/>
  <c r="AV8" i="11"/>
  <c r="AV128" i="11" s="1"/>
  <c r="AV7" i="16"/>
  <c r="AT153" i="11"/>
  <c r="AT168" i="11"/>
  <c r="AT160" i="11"/>
  <c r="AS209" i="34"/>
  <c r="AS241" i="4"/>
  <c r="AT17" i="16" s="1"/>
  <c r="AT94" i="11" s="1"/>
  <c r="AS199" i="34"/>
  <c r="AT55" i="16"/>
  <c r="AU52" i="16" s="1"/>
  <c r="BM29" i="16"/>
  <c r="BM32" i="16" s="1"/>
  <c r="BL44" i="16"/>
  <c r="BL47" i="16" s="1"/>
  <c r="AT40" i="16"/>
  <c r="AU37" i="16" s="1"/>
  <c r="BA30" i="4"/>
  <c r="AU125" i="4"/>
  <c r="AU100" i="4"/>
  <c r="AT239" i="4"/>
  <c r="AT200" i="4"/>
  <c r="AS216" i="4"/>
  <c r="AS230" i="4" s="1"/>
  <c r="AT170" i="4" l="1"/>
  <c r="AT158" i="4"/>
  <c r="AT169" i="4"/>
  <c r="AT168" i="4"/>
  <c r="AT153" i="4"/>
  <c r="AT154" i="4"/>
  <c r="AT155" i="4"/>
  <c r="AT163" i="4"/>
  <c r="AT164" i="4"/>
  <c r="AT152" i="4"/>
  <c r="AT159" i="4"/>
  <c r="AT157" i="4"/>
  <c r="AT171" i="4"/>
  <c r="AT165" i="4"/>
  <c r="AT162" i="4"/>
  <c r="AT166" i="4"/>
  <c r="AT160" i="4"/>
  <c r="AT156" i="4"/>
  <c r="AT161" i="4"/>
  <c r="AT167" i="4"/>
  <c r="AU188" i="4"/>
  <c r="AU150" i="4"/>
  <c r="AT9" i="33"/>
  <c r="AW7" i="11"/>
  <c r="AV8" i="16"/>
  <c r="AV10" i="16" s="1"/>
  <c r="AU156" i="11"/>
  <c r="AU163" i="11"/>
  <c r="AU152" i="11"/>
  <c r="AT170" i="11"/>
  <c r="AU10" i="11"/>
  <c r="AU11" i="11"/>
  <c r="AR200" i="34"/>
  <c r="BM44" i="16"/>
  <c r="AU10" i="22"/>
  <c r="AU49" i="16"/>
  <c r="AU53" i="16" s="1"/>
  <c r="AU34" i="16"/>
  <c r="AU38" i="16" s="1"/>
  <c r="AU39" i="16" s="1"/>
  <c r="AT215" i="4"/>
  <c r="AT229" i="4" s="1"/>
  <c r="AT240" i="4"/>
  <c r="AT201" i="4"/>
  <c r="BB29" i="4"/>
  <c r="AU101" i="4"/>
  <c r="AU126" i="4"/>
  <c r="AU133" i="11" l="1"/>
  <c r="AU35" i="11"/>
  <c r="AU36" i="11" s="1"/>
  <c r="AV11" i="16"/>
  <c r="AT10" i="33"/>
  <c r="AT13" i="33"/>
  <c r="AT11" i="33"/>
  <c r="AT12" i="33"/>
  <c r="AU189" i="4"/>
  <c r="AU151" i="4"/>
  <c r="AU172" i="4" s="1"/>
  <c r="AU173" i="4" s="1"/>
  <c r="AW8" i="11"/>
  <c r="AW128" i="11" s="1"/>
  <c r="AW7" i="16"/>
  <c r="AU153" i="11"/>
  <c r="AU168" i="11"/>
  <c r="AU160" i="11"/>
  <c r="AT209" i="34"/>
  <c r="AT241" i="4"/>
  <c r="AU17" i="16" s="1"/>
  <c r="AU94" i="11" s="1"/>
  <c r="AT199" i="34"/>
  <c r="BM47" i="16"/>
  <c r="AU40" i="16"/>
  <c r="AV37" i="16" s="1"/>
  <c r="AU54" i="16"/>
  <c r="AU59" i="11" s="1"/>
  <c r="AU200" i="4"/>
  <c r="AU239" i="4"/>
  <c r="BB30" i="4"/>
  <c r="AV125" i="4"/>
  <c r="AV100" i="4"/>
  <c r="AT216" i="4"/>
  <c r="AT230" i="4" s="1"/>
  <c r="AU169" i="4" l="1"/>
  <c r="AU157" i="4"/>
  <c r="AU168" i="4"/>
  <c r="AU167" i="4"/>
  <c r="AU154" i="4"/>
  <c r="AU153" i="4"/>
  <c r="AU158" i="4"/>
  <c r="AU152" i="4"/>
  <c r="AU163" i="4"/>
  <c r="AU155" i="4"/>
  <c r="AU164" i="4"/>
  <c r="AU159" i="4"/>
  <c r="AU171" i="4"/>
  <c r="AU165" i="4"/>
  <c r="AU162" i="4"/>
  <c r="AU166" i="4"/>
  <c r="AU170" i="4"/>
  <c r="AU156" i="4"/>
  <c r="AU161" i="4"/>
  <c r="AU160" i="4"/>
  <c r="AV188" i="4"/>
  <c r="AV150" i="4"/>
  <c r="AU9" i="33"/>
  <c r="AX7" i="11"/>
  <c r="AW8" i="16"/>
  <c r="AW10" i="16" s="1"/>
  <c r="AV156" i="11"/>
  <c r="AV163" i="11"/>
  <c r="AU170" i="11"/>
  <c r="AV152" i="11"/>
  <c r="AS200" i="34"/>
  <c r="AV10" i="11"/>
  <c r="AV11" i="11"/>
  <c r="AU55" i="16"/>
  <c r="AV52" i="16" s="1"/>
  <c r="AV10" i="22"/>
  <c r="AV49" i="16"/>
  <c r="AV53" i="16" s="1"/>
  <c r="AV54" i="16" s="1"/>
  <c r="AV34" i="16"/>
  <c r="AV38" i="16" s="1"/>
  <c r="BC29" i="4"/>
  <c r="AV126" i="4"/>
  <c r="AV101" i="4"/>
  <c r="AU215" i="4"/>
  <c r="AU229" i="4" s="1"/>
  <c r="AU201" i="4"/>
  <c r="AU240" i="4"/>
  <c r="AV133" i="11" l="1"/>
  <c r="AV35" i="11"/>
  <c r="AV36" i="11" s="1"/>
  <c r="AW11" i="16"/>
  <c r="AU12" i="33"/>
  <c r="AU13" i="33"/>
  <c r="AU10" i="33"/>
  <c r="AU11" i="33"/>
  <c r="AV189" i="4"/>
  <c r="AV151" i="4"/>
  <c r="AV172" i="4" s="1"/>
  <c r="AV173" i="4" s="1"/>
  <c r="AX8" i="11"/>
  <c r="AX128" i="11" s="1"/>
  <c r="AX7" i="16"/>
  <c r="AV153" i="11"/>
  <c r="AV168" i="11"/>
  <c r="AV160" i="11"/>
  <c r="AU209" i="34"/>
  <c r="AU199" i="34"/>
  <c r="AU241" i="4"/>
  <c r="AV17" i="16" s="1"/>
  <c r="AV94" i="11" s="1"/>
  <c r="AV39" i="16"/>
  <c r="AV59" i="11" s="1"/>
  <c r="AV55" i="16"/>
  <c r="AW52" i="16" s="1"/>
  <c r="AV239" i="4"/>
  <c r="AV200" i="4"/>
  <c r="AU216" i="4"/>
  <c r="AU230" i="4" s="1"/>
  <c r="BC30" i="4"/>
  <c r="AW100" i="4"/>
  <c r="AW125" i="4"/>
  <c r="AV168" i="4" l="1"/>
  <c r="AV156" i="4"/>
  <c r="AV167" i="4"/>
  <c r="AV166" i="4"/>
  <c r="AV163" i="4"/>
  <c r="AV155" i="4"/>
  <c r="AV153" i="4"/>
  <c r="AV164" i="4"/>
  <c r="AV158" i="4"/>
  <c r="AV152" i="4"/>
  <c r="AV169" i="4"/>
  <c r="AV165" i="4"/>
  <c r="AV162" i="4"/>
  <c r="AV157" i="4"/>
  <c r="AV161" i="4"/>
  <c r="AV171" i="4"/>
  <c r="AV159" i="4"/>
  <c r="AV170" i="4"/>
  <c r="AV160" i="4"/>
  <c r="AV154" i="4"/>
  <c r="AW188" i="4"/>
  <c r="AW150" i="4"/>
  <c r="AV9" i="33"/>
  <c r="AY7" i="11"/>
  <c r="AX8" i="16"/>
  <c r="AW156" i="11"/>
  <c r="AW163" i="11"/>
  <c r="AV170" i="11"/>
  <c r="AW152" i="11"/>
  <c r="AT200" i="34"/>
  <c r="AW10" i="11"/>
  <c r="AW11" i="11"/>
  <c r="AW49" i="16"/>
  <c r="AW53" i="16" s="1"/>
  <c r="AW54" i="16" s="1"/>
  <c r="AW34" i="16"/>
  <c r="AW38" i="16" s="1"/>
  <c r="AW39" i="16" s="1"/>
  <c r="AV40" i="16"/>
  <c r="AW37" i="16" s="1"/>
  <c r="AW10" i="22"/>
  <c r="BD29" i="4"/>
  <c r="AW101" i="4"/>
  <c r="AW126" i="4"/>
  <c r="AV201" i="4"/>
  <c r="AV240" i="4"/>
  <c r="AV215" i="4"/>
  <c r="AV229" i="4" s="1"/>
  <c r="AW133" i="11" l="1"/>
  <c r="AW59" i="11"/>
  <c r="AW35" i="11"/>
  <c r="AW36" i="11" s="1"/>
  <c r="AX10" i="16"/>
  <c r="O24" i="22"/>
  <c r="L24" i="22"/>
  <c r="L23" i="22"/>
  <c r="M23" i="22"/>
  <c r="M24" i="22"/>
  <c r="N23" i="22"/>
  <c r="N24" i="22"/>
  <c r="O23" i="22"/>
  <c r="AX11" i="16"/>
  <c r="AV13" i="33"/>
  <c r="AV12" i="33"/>
  <c r="AV10" i="33"/>
  <c r="AV11" i="33"/>
  <c r="AW189" i="4"/>
  <c r="AW151" i="4"/>
  <c r="AW172" i="4" s="1"/>
  <c r="AW173" i="4" s="1"/>
  <c r="AY8" i="11"/>
  <c r="AY128" i="11" s="1"/>
  <c r="AY7" i="16"/>
  <c r="AW153" i="11"/>
  <c r="AW168" i="11"/>
  <c r="AW160" i="11"/>
  <c r="AV209" i="34"/>
  <c r="AV199" i="34"/>
  <c r="AV241" i="4"/>
  <c r="AW17" i="16" s="1"/>
  <c r="AW94" i="11" s="1"/>
  <c r="AW40" i="16"/>
  <c r="AX37" i="16" s="1"/>
  <c r="AW55" i="16"/>
  <c r="AX52" i="16" s="1"/>
  <c r="AW200" i="4"/>
  <c r="AW239" i="4"/>
  <c r="AV216" i="4"/>
  <c r="AV230" i="4" s="1"/>
  <c r="BD30" i="4"/>
  <c r="AX125" i="4"/>
  <c r="AX100" i="4"/>
  <c r="AW167" i="4" l="1"/>
  <c r="AW155" i="4"/>
  <c r="AW166" i="4"/>
  <c r="AW165" i="4"/>
  <c r="AW164" i="4"/>
  <c r="AW158" i="4"/>
  <c r="AW152" i="4"/>
  <c r="AW169" i="4"/>
  <c r="AW170" i="4"/>
  <c r="AW162" i="4"/>
  <c r="AW171" i="4"/>
  <c r="AW161" i="4"/>
  <c r="AW157" i="4"/>
  <c r="AW163" i="4"/>
  <c r="AW156" i="4"/>
  <c r="AW168" i="4"/>
  <c r="AW159" i="4"/>
  <c r="AW153" i="4"/>
  <c r="AW160" i="4"/>
  <c r="AW154" i="4"/>
  <c r="AX188" i="4"/>
  <c r="AX150" i="4"/>
  <c r="AW9" i="33"/>
  <c r="AZ7" i="11"/>
  <c r="AY8" i="16"/>
  <c r="AY10" i="16" s="1"/>
  <c r="AX156" i="11"/>
  <c r="AX163" i="11"/>
  <c r="AW170" i="11"/>
  <c r="AX152" i="11"/>
  <c r="AU200" i="34"/>
  <c r="AX10" i="11"/>
  <c r="AX11" i="11"/>
  <c r="AX49" i="16"/>
  <c r="AX53" i="16" s="1"/>
  <c r="AX34" i="16"/>
  <c r="AX38" i="16" s="1"/>
  <c r="AX10" i="22"/>
  <c r="BE29" i="4"/>
  <c r="AX101" i="4"/>
  <c r="AX126" i="4"/>
  <c r="AW240" i="4"/>
  <c r="AW201" i="4"/>
  <c r="AW215" i="4"/>
  <c r="AW229" i="4" s="1"/>
  <c r="AX133" i="11" l="1"/>
  <c r="AX35" i="11"/>
  <c r="AX36" i="11" s="1"/>
  <c r="AY11" i="16"/>
  <c r="AW12" i="33"/>
  <c r="AW11" i="33"/>
  <c r="AW10" i="33"/>
  <c r="AW13" i="33"/>
  <c r="AX189" i="4"/>
  <c r="AX151" i="4"/>
  <c r="AX172" i="4" s="1"/>
  <c r="AX173" i="4" s="1"/>
  <c r="AZ8" i="11"/>
  <c r="AZ128" i="11" s="1"/>
  <c r="AZ7" i="16"/>
  <c r="AX153" i="11"/>
  <c r="AX168" i="11"/>
  <c r="AX160" i="11"/>
  <c r="AW209" i="34"/>
  <c r="AW199" i="34"/>
  <c r="AW241" i="4"/>
  <c r="AX17" i="16" s="1"/>
  <c r="AX94" i="11" s="1"/>
  <c r="M102" i="34"/>
  <c r="K102" i="34"/>
  <c r="K106" i="34"/>
  <c r="J106" i="34"/>
  <c r="J102" i="34"/>
  <c r="J99" i="34"/>
  <c r="M106" i="34"/>
  <c r="L102" i="34"/>
  <c r="L106" i="34"/>
  <c r="K99" i="34"/>
  <c r="L99" i="34"/>
  <c r="M99" i="34"/>
  <c r="N142" i="29"/>
  <c r="J88" i="34"/>
  <c r="L88" i="34"/>
  <c r="L134" i="29"/>
  <c r="N127" i="29"/>
  <c r="L97" i="34"/>
  <c r="J86" i="34"/>
  <c r="L107" i="29"/>
  <c r="M127" i="29"/>
  <c r="K97" i="34"/>
  <c r="L127" i="29"/>
  <c r="J97" i="34"/>
  <c r="L142" i="29"/>
  <c r="M97" i="34"/>
  <c r="O127" i="29"/>
  <c r="L86" i="34"/>
  <c r="N107" i="29"/>
  <c r="K86" i="34"/>
  <c r="M107" i="29"/>
  <c r="O142" i="29"/>
  <c r="AX39" i="16"/>
  <c r="M86" i="34"/>
  <c r="O107" i="29"/>
  <c r="M142" i="29"/>
  <c r="M134" i="29"/>
  <c r="O134" i="29"/>
  <c r="K88" i="34"/>
  <c r="AX54" i="16"/>
  <c r="AX55" i="16" s="1"/>
  <c r="AY52" i="16" s="1"/>
  <c r="N134" i="29"/>
  <c r="AW216" i="4"/>
  <c r="AW230" i="4" s="1"/>
  <c r="AX200" i="4"/>
  <c r="AX239" i="4"/>
  <c r="BE30" i="4"/>
  <c r="AY125" i="4"/>
  <c r="AY100" i="4"/>
  <c r="AX166" i="4" l="1"/>
  <c r="AX165" i="4"/>
  <c r="AX164" i="4"/>
  <c r="AX169" i="4"/>
  <c r="AX162" i="4"/>
  <c r="AX170" i="4"/>
  <c r="AX171" i="4"/>
  <c r="AX161" i="4"/>
  <c r="AX152" i="4"/>
  <c r="AX156" i="4"/>
  <c r="AX153" i="4"/>
  <c r="AX155" i="4"/>
  <c r="AX160" i="4"/>
  <c r="AX157" i="4"/>
  <c r="AX154" i="4"/>
  <c r="AX159" i="4"/>
  <c r="AX158" i="4"/>
  <c r="AX168" i="4"/>
  <c r="AX163" i="4"/>
  <c r="AX167" i="4"/>
  <c r="M81" i="22"/>
  <c r="M76" i="22"/>
  <c r="N81" i="22"/>
  <c r="N76" i="22"/>
  <c r="L76" i="22"/>
  <c r="L81" i="22"/>
  <c r="AX59" i="11"/>
  <c r="O81" i="22"/>
  <c r="O76" i="22"/>
  <c r="AY188" i="4"/>
  <c r="AY150" i="4"/>
  <c r="AX40" i="16"/>
  <c r="AY37" i="16" s="1"/>
  <c r="AX9" i="33"/>
  <c r="BA7" i="11"/>
  <c r="AZ8" i="16"/>
  <c r="AZ10" i="16" s="1"/>
  <c r="AY156" i="11"/>
  <c r="AY163" i="11"/>
  <c r="AY152" i="11"/>
  <c r="AX170" i="11"/>
  <c r="AY11" i="11"/>
  <c r="AY10" i="11"/>
  <c r="AV200" i="34"/>
  <c r="O144" i="29"/>
  <c r="N144" i="29"/>
  <c r="L144" i="29"/>
  <c r="AY10" i="22"/>
  <c r="M144" i="29"/>
  <c r="AY49" i="16"/>
  <c r="AY53" i="16" s="1"/>
  <c r="AY54" i="16" s="1"/>
  <c r="AY34" i="16"/>
  <c r="AY38" i="16" s="1"/>
  <c r="AY39" i="16" s="1"/>
  <c r="AX215" i="4"/>
  <c r="AX229" i="4" s="1"/>
  <c r="BF29" i="4"/>
  <c r="AY126" i="4"/>
  <c r="AY101" i="4"/>
  <c r="AX240" i="4"/>
  <c r="AX201" i="4"/>
  <c r="AY133" i="11" l="1"/>
  <c r="AY35" i="11"/>
  <c r="AY36" i="11" s="1"/>
  <c r="AY59" i="11"/>
  <c r="AZ11" i="16"/>
  <c r="AX12" i="33"/>
  <c r="AX10" i="33"/>
  <c r="AX13" i="33"/>
  <c r="AX11" i="33"/>
  <c r="AY189" i="4"/>
  <c r="AY151" i="4"/>
  <c r="AY172" i="4" s="1"/>
  <c r="AY173" i="4" s="1"/>
  <c r="BA8" i="11"/>
  <c r="BA128" i="11" s="1"/>
  <c r="BA7" i="16"/>
  <c r="AY153" i="11"/>
  <c r="AY168" i="11"/>
  <c r="AY160" i="11"/>
  <c r="AX209" i="34"/>
  <c r="AX199" i="34"/>
  <c r="AY55" i="16"/>
  <c r="AZ52" i="16" s="1"/>
  <c r="AY40" i="16"/>
  <c r="AZ37" i="16" s="1"/>
  <c r="AX216" i="4"/>
  <c r="AX230" i="4" s="1"/>
  <c r="BF30" i="4"/>
  <c r="AZ100" i="4"/>
  <c r="AZ125" i="4"/>
  <c r="AY239" i="4"/>
  <c r="AY200" i="4"/>
  <c r="AX241" i="4"/>
  <c r="AY165" i="4" l="1"/>
  <c r="AY164" i="4"/>
  <c r="AY162" i="4"/>
  <c r="AY156" i="4"/>
  <c r="AY170" i="4"/>
  <c r="AY159" i="4"/>
  <c r="AY171" i="4"/>
  <c r="AY161" i="4"/>
  <c r="AY152" i="4"/>
  <c r="AY169" i="4"/>
  <c r="AY160" i="4"/>
  <c r="AY153" i="4"/>
  <c r="AY166" i="4"/>
  <c r="AY167" i="4"/>
  <c r="AY158" i="4"/>
  <c r="AY168" i="4"/>
  <c r="AY157" i="4"/>
  <c r="AY155" i="4"/>
  <c r="AY154" i="4"/>
  <c r="AY163" i="4"/>
  <c r="AZ188" i="4"/>
  <c r="AZ150" i="4"/>
  <c r="AY9" i="33"/>
  <c r="BB7" i="11"/>
  <c r="BA8" i="16"/>
  <c r="BA10" i="16" s="1"/>
  <c r="AZ156" i="11"/>
  <c r="AZ163" i="11"/>
  <c r="AZ152" i="11"/>
  <c r="AY170" i="11"/>
  <c r="AY17" i="16"/>
  <c r="AY94" i="11" s="1"/>
  <c r="AW200" i="34"/>
  <c r="AZ10" i="11"/>
  <c r="AZ11" i="11"/>
  <c r="AZ10" i="22"/>
  <c r="AZ34" i="16"/>
  <c r="AZ38" i="16" s="1"/>
  <c r="AZ39" i="16" s="1"/>
  <c r="AZ49" i="16"/>
  <c r="AZ53" i="16" s="1"/>
  <c r="BG29" i="4"/>
  <c r="AZ126" i="4"/>
  <c r="AZ101" i="4"/>
  <c r="AY201" i="4"/>
  <c r="AY240" i="4"/>
  <c r="AY215" i="4"/>
  <c r="AY229" i="4" s="1"/>
  <c r="AZ133" i="11" l="1"/>
  <c r="AZ35" i="11"/>
  <c r="AZ36" i="11" s="1"/>
  <c r="BA11" i="16"/>
  <c r="AY10" i="33"/>
  <c r="AY11" i="33"/>
  <c r="AY12" i="33"/>
  <c r="AY13" i="33"/>
  <c r="AZ189" i="4"/>
  <c r="AZ151" i="4"/>
  <c r="AZ172" i="4" s="1"/>
  <c r="AZ173" i="4" s="1"/>
  <c r="BB8" i="11"/>
  <c r="BB128" i="11" s="1"/>
  <c r="BB7" i="16"/>
  <c r="AZ153" i="11"/>
  <c r="AZ168" i="11"/>
  <c r="AZ160" i="11"/>
  <c r="AY209" i="34"/>
  <c r="AY199" i="34"/>
  <c r="AZ40" i="16"/>
  <c r="BA37" i="16" s="1"/>
  <c r="AZ54" i="16"/>
  <c r="AZ55" i="16" s="1"/>
  <c r="BA52" i="16" s="1"/>
  <c r="AY216" i="4"/>
  <c r="AY230" i="4" s="1"/>
  <c r="AY241" i="4"/>
  <c r="AZ239" i="4"/>
  <c r="AZ200" i="4"/>
  <c r="BG30" i="4"/>
  <c r="BA100" i="4"/>
  <c r="BA125" i="4"/>
  <c r="AZ164" i="4" l="1"/>
  <c r="AZ163" i="4"/>
  <c r="AZ170" i="4"/>
  <c r="AZ156" i="4"/>
  <c r="AZ159" i="4"/>
  <c r="AZ171" i="4"/>
  <c r="AZ165" i="4"/>
  <c r="AZ161" i="4"/>
  <c r="AZ152" i="4"/>
  <c r="AZ153" i="4"/>
  <c r="AZ158" i="4"/>
  <c r="AZ166" i="4"/>
  <c r="AZ167" i="4"/>
  <c r="AZ169" i="4"/>
  <c r="AZ160" i="4"/>
  <c r="AZ154" i="4"/>
  <c r="AZ168" i="4"/>
  <c r="AZ162" i="4"/>
  <c r="AZ155" i="4"/>
  <c r="AZ157" i="4"/>
  <c r="AZ59" i="11"/>
  <c r="BA188" i="4"/>
  <c r="BA150" i="4"/>
  <c r="AZ9" i="33"/>
  <c r="BC7" i="11"/>
  <c r="BB8" i="16"/>
  <c r="BB10" i="16" s="1"/>
  <c r="BA156" i="11"/>
  <c r="BA163" i="11"/>
  <c r="AZ170" i="11"/>
  <c r="BA152" i="11"/>
  <c r="AZ17" i="16"/>
  <c r="AZ94" i="11" s="1"/>
  <c r="AX200" i="34"/>
  <c r="BA10" i="11"/>
  <c r="BA11" i="11"/>
  <c r="BA34" i="16"/>
  <c r="BA38" i="16" s="1"/>
  <c r="BA49" i="16"/>
  <c r="BA53" i="16" s="1"/>
  <c r="BA54" i="16" s="1"/>
  <c r="M88" i="34"/>
  <c r="BA10" i="22"/>
  <c r="AZ215" i="4"/>
  <c r="AZ229" i="4" s="1"/>
  <c r="AZ201" i="4"/>
  <c r="AZ240" i="4"/>
  <c r="BH29" i="4"/>
  <c r="BA126" i="4"/>
  <c r="BA101" i="4"/>
  <c r="BA133" i="11" l="1"/>
  <c r="BA35" i="11"/>
  <c r="BA36" i="11" s="1"/>
  <c r="BB11" i="16"/>
  <c r="AZ10" i="33"/>
  <c r="AZ12" i="33"/>
  <c r="AZ11" i="33"/>
  <c r="AZ13" i="33"/>
  <c r="BA189" i="4"/>
  <c r="BA151" i="4"/>
  <c r="BA172" i="4" s="1"/>
  <c r="BA173" i="4" s="1"/>
  <c r="BC8" i="11"/>
  <c r="BC128" i="11" s="1"/>
  <c r="BC7" i="16"/>
  <c r="BA153" i="11"/>
  <c r="BA168" i="11"/>
  <c r="BA160" i="11"/>
  <c r="AZ209" i="34"/>
  <c r="AZ199" i="34"/>
  <c r="BA55" i="16"/>
  <c r="BB52" i="16" s="1"/>
  <c r="BA39" i="16"/>
  <c r="BA59" i="11" s="1"/>
  <c r="BH30" i="4"/>
  <c r="BB100" i="4"/>
  <c r="BB125" i="4"/>
  <c r="AZ216" i="4"/>
  <c r="AZ230" i="4" s="1"/>
  <c r="BA200" i="4"/>
  <c r="BA239" i="4"/>
  <c r="AZ241" i="4"/>
  <c r="BA163" i="4" l="1"/>
  <c r="BA162" i="4"/>
  <c r="BA159" i="4"/>
  <c r="BA156" i="4"/>
  <c r="BA171" i="4"/>
  <c r="BA165" i="4"/>
  <c r="BA161" i="4"/>
  <c r="BA166" i="4"/>
  <c r="BA153" i="4"/>
  <c r="BA154" i="4"/>
  <c r="BA169" i="4"/>
  <c r="BA160" i="4"/>
  <c r="BA167" i="4"/>
  <c r="BA158" i="4"/>
  <c r="BA164" i="4"/>
  <c r="BA155" i="4"/>
  <c r="BA170" i="4"/>
  <c r="BA152" i="4"/>
  <c r="BA157" i="4"/>
  <c r="BA168" i="4"/>
  <c r="BB188" i="4"/>
  <c r="BB150" i="4"/>
  <c r="BA9" i="33"/>
  <c r="BD7" i="11"/>
  <c r="BC8" i="16"/>
  <c r="BC10" i="16" s="1"/>
  <c r="BB156" i="11"/>
  <c r="BB163" i="11"/>
  <c r="BA170" i="11"/>
  <c r="BB152" i="11"/>
  <c r="BA17" i="16"/>
  <c r="BA94" i="11" s="1"/>
  <c r="AY200" i="34"/>
  <c r="BB10" i="11"/>
  <c r="BB11" i="11"/>
  <c r="BB10" i="22"/>
  <c r="BA40" i="16"/>
  <c r="BB37" i="16" s="1"/>
  <c r="BB49" i="16"/>
  <c r="BB53" i="16" s="1"/>
  <c r="BB54" i="16" s="1"/>
  <c r="BB34" i="16"/>
  <c r="BB38" i="16" s="1"/>
  <c r="BB39" i="16" s="1"/>
  <c r="BA201" i="4"/>
  <c r="BA240" i="4"/>
  <c r="BA215" i="4"/>
  <c r="BA229" i="4" s="1"/>
  <c r="BI29" i="4"/>
  <c r="BB101" i="4"/>
  <c r="BB126" i="4"/>
  <c r="BB133" i="11" l="1"/>
  <c r="BB35" i="11"/>
  <c r="BB36" i="11" s="1"/>
  <c r="BB59" i="11"/>
  <c r="BC11" i="16"/>
  <c r="BA12" i="33"/>
  <c r="BA13" i="33"/>
  <c r="BA10" i="33"/>
  <c r="BA11" i="33"/>
  <c r="BB189" i="4"/>
  <c r="BB151" i="4"/>
  <c r="BB172" i="4" s="1"/>
  <c r="BB173" i="4" s="1"/>
  <c r="BD8" i="11"/>
  <c r="BD128" i="11" s="1"/>
  <c r="BD7" i="16"/>
  <c r="BB153" i="11"/>
  <c r="BB168" i="11"/>
  <c r="BB160" i="11"/>
  <c r="BA209" i="34"/>
  <c r="BA199" i="34"/>
  <c r="BA241" i="4"/>
  <c r="BB17" i="16" s="1"/>
  <c r="BB94" i="11" s="1"/>
  <c r="BB55" i="16"/>
  <c r="BC52" i="16" s="1"/>
  <c r="BB40" i="16"/>
  <c r="BC37" i="16" s="1"/>
  <c r="BA216" i="4"/>
  <c r="BA230" i="4" s="1"/>
  <c r="BI30" i="4"/>
  <c r="BC125" i="4"/>
  <c r="BC100" i="4"/>
  <c r="BB239" i="4"/>
  <c r="BB200" i="4"/>
  <c r="BB162" i="4" l="1"/>
  <c r="BB161" i="4"/>
  <c r="BB171" i="4"/>
  <c r="BB165" i="4"/>
  <c r="BB166" i="4"/>
  <c r="BB169" i="4"/>
  <c r="BB160" i="4"/>
  <c r="BB153" i="4"/>
  <c r="BB167" i="4"/>
  <c r="BB158" i="4"/>
  <c r="BB154" i="4"/>
  <c r="BB156" i="4"/>
  <c r="BB155" i="4"/>
  <c r="BB152" i="4"/>
  <c r="BB164" i="4"/>
  <c r="BB157" i="4"/>
  <c r="BB163" i="4"/>
  <c r="BB168" i="4"/>
  <c r="BB170" i="4"/>
  <c r="BB159" i="4"/>
  <c r="BC188" i="4"/>
  <c r="BC150" i="4"/>
  <c r="BB9" i="33"/>
  <c r="BE7" i="11"/>
  <c r="BD8" i="16"/>
  <c r="BD10" i="16" s="1"/>
  <c r="BC156" i="11"/>
  <c r="BC163" i="11"/>
  <c r="BC152" i="11"/>
  <c r="BB170" i="11"/>
  <c r="AZ200" i="34"/>
  <c r="BC10" i="11"/>
  <c r="BC11" i="11"/>
  <c r="BC49" i="16"/>
  <c r="BC53" i="16" s="1"/>
  <c r="BC34" i="16"/>
  <c r="BC38" i="16" s="1"/>
  <c r="BC39" i="16" s="1"/>
  <c r="BC10" i="22"/>
  <c r="BB240" i="4"/>
  <c r="BB201" i="4"/>
  <c r="BJ29" i="4"/>
  <c r="BC126" i="4"/>
  <c r="BC101" i="4"/>
  <c r="BB215" i="4"/>
  <c r="BB229" i="4" s="1"/>
  <c r="BC133" i="11" l="1"/>
  <c r="BC35" i="11"/>
  <c r="BC36" i="11" s="1"/>
  <c r="BD11" i="16"/>
  <c r="BB11" i="33"/>
  <c r="BB10" i="33"/>
  <c r="BB13" i="33"/>
  <c r="BB12" i="33"/>
  <c r="BC189" i="4"/>
  <c r="BC151" i="4"/>
  <c r="BC172" i="4" s="1"/>
  <c r="BC173" i="4" s="1"/>
  <c r="BE8" i="11"/>
  <c r="BE128" i="11" s="1"/>
  <c r="BE7" i="16"/>
  <c r="BC153" i="11"/>
  <c r="BC168" i="11"/>
  <c r="BC160" i="11"/>
  <c r="BB209" i="34"/>
  <c r="BB199" i="34"/>
  <c r="BB241" i="4"/>
  <c r="BC17" i="16" s="1"/>
  <c r="BC94" i="11" s="1"/>
  <c r="BC40" i="16"/>
  <c r="BD37" i="16" s="1"/>
  <c r="BC54" i="16"/>
  <c r="BC59" i="11" s="1"/>
  <c r="BC200" i="4"/>
  <c r="BC239" i="4"/>
  <c r="BJ30" i="4"/>
  <c r="BD125" i="4"/>
  <c r="BD100" i="4"/>
  <c r="BB216" i="4"/>
  <c r="BB230" i="4" s="1"/>
  <c r="BC161" i="4" l="1"/>
  <c r="BC160" i="4"/>
  <c r="BC171" i="4"/>
  <c r="BC166" i="4"/>
  <c r="BC157" i="4"/>
  <c r="BC167" i="4"/>
  <c r="BC158" i="4"/>
  <c r="BC156" i="4"/>
  <c r="BC154" i="4"/>
  <c r="BC153" i="4"/>
  <c r="BC163" i="4"/>
  <c r="BC168" i="4"/>
  <c r="BC165" i="4"/>
  <c r="BC169" i="4"/>
  <c r="BC155" i="4"/>
  <c r="BC170" i="4"/>
  <c r="BC162" i="4"/>
  <c r="BC152" i="4"/>
  <c r="BC159" i="4"/>
  <c r="BC164" i="4"/>
  <c r="BD188" i="4"/>
  <c r="BD150" i="4"/>
  <c r="BC9" i="33"/>
  <c r="BF7" i="11"/>
  <c r="BE8" i="16"/>
  <c r="BE10" i="16" s="1"/>
  <c r="BD156" i="11"/>
  <c r="BD163" i="11"/>
  <c r="BD152" i="11"/>
  <c r="BC170" i="11"/>
  <c r="BA200" i="34"/>
  <c r="BD10" i="11"/>
  <c r="BD11" i="11"/>
  <c r="BC55" i="16"/>
  <c r="BD52" i="16" s="1"/>
  <c r="BD49" i="16"/>
  <c r="BD53" i="16" s="1"/>
  <c r="BD54" i="16" s="1"/>
  <c r="BD34" i="16"/>
  <c r="BD38" i="16" s="1"/>
  <c r="BD39" i="16" s="1"/>
  <c r="BD10" i="22"/>
  <c r="BK29" i="4"/>
  <c r="BD126" i="4"/>
  <c r="BD101" i="4"/>
  <c r="BC240" i="4"/>
  <c r="BC201" i="4"/>
  <c r="BC215" i="4"/>
  <c r="BC229" i="4" s="1"/>
  <c r="BD59" i="11" l="1"/>
  <c r="BD133" i="11"/>
  <c r="BD35" i="11"/>
  <c r="BD36" i="11" s="1"/>
  <c r="BE11" i="16"/>
  <c r="BC13" i="33"/>
  <c r="BC10" i="33"/>
  <c r="BC11" i="33"/>
  <c r="BC12" i="33"/>
  <c r="BD189" i="4"/>
  <c r="BD151" i="4"/>
  <c r="BD172" i="4" s="1"/>
  <c r="BD173" i="4" s="1"/>
  <c r="BF8" i="11"/>
  <c r="BF128" i="11" s="1"/>
  <c r="BF7" i="16"/>
  <c r="BD153" i="11"/>
  <c r="BD168" i="11"/>
  <c r="BD160" i="11"/>
  <c r="BC209" i="34"/>
  <c r="BC199" i="34"/>
  <c r="BD55" i="16"/>
  <c r="BE52" i="16" s="1"/>
  <c r="BD40" i="16"/>
  <c r="BE37" i="16" s="1"/>
  <c r="BE100" i="4"/>
  <c r="BK30" i="4"/>
  <c r="BE125" i="4"/>
  <c r="BC216" i="4"/>
  <c r="BC230" i="4" s="1"/>
  <c r="BC241" i="4"/>
  <c r="BD200" i="4"/>
  <c r="BD239" i="4"/>
  <c r="BD160" i="4" l="1"/>
  <c r="BD171" i="4"/>
  <c r="BD170" i="4"/>
  <c r="BD166" i="4"/>
  <c r="BD161" i="4"/>
  <c r="BD157" i="4"/>
  <c r="BD167" i="4"/>
  <c r="BD156" i="4"/>
  <c r="BD154" i="4"/>
  <c r="BD168" i="4"/>
  <c r="BD158" i="4"/>
  <c r="BD163" i="4"/>
  <c r="BD162" i="4"/>
  <c r="BD152" i="4"/>
  <c r="BD159" i="4"/>
  <c r="BD169" i="4"/>
  <c r="BD155" i="4"/>
  <c r="BD165" i="4"/>
  <c r="BD164" i="4"/>
  <c r="BD153" i="4"/>
  <c r="BE188" i="4"/>
  <c r="BE150" i="4"/>
  <c r="BD9" i="33"/>
  <c r="BG7" i="11"/>
  <c r="BF8" i="16"/>
  <c r="BE156" i="11"/>
  <c r="BE163" i="11"/>
  <c r="BE152" i="11"/>
  <c r="BD170" i="11"/>
  <c r="BD17" i="16"/>
  <c r="BD94" i="11" s="1"/>
  <c r="BB200" i="34"/>
  <c r="BE10" i="11"/>
  <c r="BE11" i="11"/>
  <c r="BE49" i="16"/>
  <c r="BE53" i="16" s="1"/>
  <c r="BE34" i="16"/>
  <c r="BE38" i="16" s="1"/>
  <c r="BE39" i="16" s="1"/>
  <c r="BE10" i="22"/>
  <c r="BD201" i="4"/>
  <c r="BD240" i="4"/>
  <c r="BE101" i="4"/>
  <c r="BL29" i="4"/>
  <c r="BE126" i="4"/>
  <c r="BD215" i="4"/>
  <c r="BD229" i="4" s="1"/>
  <c r="BE133" i="11" l="1"/>
  <c r="BE35" i="11"/>
  <c r="BE36" i="11" s="1"/>
  <c r="BF10" i="16"/>
  <c r="P24" i="22"/>
  <c r="Q23" i="22"/>
  <c r="Q24" i="22"/>
  <c r="P23" i="22"/>
  <c r="BF11" i="16"/>
  <c r="BD10" i="33"/>
  <c r="BD13" i="33"/>
  <c r="BD11" i="33"/>
  <c r="BD12" i="33"/>
  <c r="BE189" i="4"/>
  <c r="BE151" i="4"/>
  <c r="BE172" i="4" s="1"/>
  <c r="BE173" i="4" s="1"/>
  <c r="BG8" i="11"/>
  <c r="BG128" i="11" s="1"/>
  <c r="BG7" i="16"/>
  <c r="BE153" i="11"/>
  <c r="BE168" i="11"/>
  <c r="BE160" i="11"/>
  <c r="BD209" i="34"/>
  <c r="BD199" i="34"/>
  <c r="BE54" i="16"/>
  <c r="BE59" i="11" s="1"/>
  <c r="BE40" i="16"/>
  <c r="BF37" i="16" s="1"/>
  <c r="BL30" i="4"/>
  <c r="BF100" i="4"/>
  <c r="BF125" i="4"/>
  <c r="BD216" i="4"/>
  <c r="BD230" i="4" s="1"/>
  <c r="BE200" i="4"/>
  <c r="BE239" i="4"/>
  <c r="BD241" i="4"/>
  <c r="BE171" i="4" l="1"/>
  <c r="BE159" i="4"/>
  <c r="BE170" i="4"/>
  <c r="BE169" i="4"/>
  <c r="BE157" i="4"/>
  <c r="BE160" i="4"/>
  <c r="BE154" i="4"/>
  <c r="BE168" i="4"/>
  <c r="BE167" i="4"/>
  <c r="BE163" i="4"/>
  <c r="BE164" i="4"/>
  <c r="BE165" i="4"/>
  <c r="BE162" i="4"/>
  <c r="BE161" i="4"/>
  <c r="BE166" i="4"/>
  <c r="BE156" i="4"/>
  <c r="BE155" i="4"/>
  <c r="BE153" i="4"/>
  <c r="BE158" i="4"/>
  <c r="BE152" i="4"/>
  <c r="BF188" i="4"/>
  <c r="BF150" i="4"/>
  <c r="BE9" i="33"/>
  <c r="BH7" i="11"/>
  <c r="BG8" i="16"/>
  <c r="BG10" i="16" s="1"/>
  <c r="BF156" i="11"/>
  <c r="BF163" i="11"/>
  <c r="BF152" i="11"/>
  <c r="BE170" i="11"/>
  <c r="BE17" i="16"/>
  <c r="BE94" i="11" s="1"/>
  <c r="BC200" i="34"/>
  <c r="BF10" i="11"/>
  <c r="BF11" i="11"/>
  <c r="BF49" i="16"/>
  <c r="BF53" i="16" s="1"/>
  <c r="BF54" i="16" s="1"/>
  <c r="BF34" i="16"/>
  <c r="BF38" i="16" s="1"/>
  <c r="BF39" i="16" s="1"/>
  <c r="BE55" i="16"/>
  <c r="BF52" i="16" s="1"/>
  <c r="BF10" i="22"/>
  <c r="BF101" i="4"/>
  <c r="BF126" i="4"/>
  <c r="BM29" i="4"/>
  <c r="BE215" i="4"/>
  <c r="BE229" i="4" s="1"/>
  <c r="BE240" i="4"/>
  <c r="BE201" i="4"/>
  <c r="BF133" i="11" l="1"/>
  <c r="BF35" i="11"/>
  <c r="BF36" i="11" s="1"/>
  <c r="BF59" i="11"/>
  <c r="BG11" i="16"/>
  <c r="BE13" i="33"/>
  <c r="BE10" i="33"/>
  <c r="BE11" i="33"/>
  <c r="BE12" i="33"/>
  <c r="BF189" i="4"/>
  <c r="BF151" i="4"/>
  <c r="BF172" i="4" s="1"/>
  <c r="BF173" i="4" s="1"/>
  <c r="BH8" i="11"/>
  <c r="BH128" i="11" s="1"/>
  <c r="BH7" i="16"/>
  <c r="BF153" i="11"/>
  <c r="BF168" i="11"/>
  <c r="BF160" i="11"/>
  <c r="BE209" i="34"/>
  <c r="BE241" i="4"/>
  <c r="BF17" i="16" s="1"/>
  <c r="BF94" i="11" s="1"/>
  <c r="BE199" i="34"/>
  <c r="O99" i="34"/>
  <c r="N99" i="34"/>
  <c r="N106" i="34"/>
  <c r="O102" i="34"/>
  <c r="O106" i="34"/>
  <c r="N102" i="34"/>
  <c r="BF40" i="16"/>
  <c r="BG37" i="16" s="1"/>
  <c r="P142" i="29"/>
  <c r="Q127" i="29"/>
  <c r="O97" i="34"/>
  <c r="P107" i="29"/>
  <c r="N86" i="34"/>
  <c r="O86" i="34"/>
  <c r="Q107" i="29"/>
  <c r="BF55" i="16"/>
  <c r="BG52" i="16" s="1"/>
  <c r="P134" i="29"/>
  <c r="N97" i="34"/>
  <c r="P127" i="29"/>
  <c r="N88" i="34"/>
  <c r="Q134" i="29"/>
  <c r="Q142" i="29"/>
  <c r="BF200" i="4"/>
  <c r="BF239" i="4"/>
  <c r="BG125" i="4"/>
  <c r="BG100" i="4"/>
  <c r="BM30" i="4"/>
  <c r="BE216" i="4"/>
  <c r="BE230" i="4" s="1"/>
  <c r="BF170" i="4" l="1"/>
  <c r="BF158" i="4"/>
  <c r="BF169" i="4"/>
  <c r="BF168" i="4"/>
  <c r="BF167" i="4"/>
  <c r="BF154" i="4"/>
  <c r="BF160" i="4"/>
  <c r="BF153" i="4"/>
  <c r="BF163" i="4"/>
  <c r="BF155" i="4"/>
  <c r="BF165" i="4"/>
  <c r="BF152" i="4"/>
  <c r="BF166" i="4"/>
  <c r="BF159" i="4"/>
  <c r="BF156" i="4"/>
  <c r="BF162" i="4"/>
  <c r="BF157" i="4"/>
  <c r="BF161" i="4"/>
  <c r="BF164" i="4"/>
  <c r="BF171" i="4"/>
  <c r="Q81" i="22"/>
  <c r="Q76" i="22"/>
  <c r="P81" i="22"/>
  <c r="P76" i="22"/>
  <c r="BG188" i="4"/>
  <c r="BG150" i="4"/>
  <c r="BF9" i="33"/>
  <c r="BI7" i="11"/>
  <c r="BH8" i="16"/>
  <c r="BH10" i="16" s="1"/>
  <c r="BG156" i="11"/>
  <c r="BG163" i="11"/>
  <c r="BG152" i="11"/>
  <c r="BF170" i="11"/>
  <c r="BD200" i="34"/>
  <c r="BG10" i="11"/>
  <c r="BG11" i="11"/>
  <c r="Q144" i="29"/>
  <c r="BG49" i="16"/>
  <c r="BG53" i="16" s="1"/>
  <c r="BG54" i="16" s="1"/>
  <c r="BG34" i="16"/>
  <c r="BG38" i="16" s="1"/>
  <c r="P144" i="29"/>
  <c r="BG10" i="22"/>
  <c r="BF201" i="4"/>
  <c r="BF240" i="4"/>
  <c r="BN29" i="4"/>
  <c r="BG101" i="4"/>
  <c r="BG126" i="4"/>
  <c r="BF215" i="4"/>
  <c r="BF229" i="4" s="1"/>
  <c r="BG133" i="11" l="1"/>
  <c r="BG35" i="11"/>
  <c r="BG36" i="11" s="1"/>
  <c r="BH11" i="16"/>
  <c r="BF10" i="33"/>
  <c r="BF13" i="33"/>
  <c r="BF12" i="33"/>
  <c r="BF11" i="33"/>
  <c r="BG189" i="4"/>
  <c r="BG151" i="4"/>
  <c r="BG172" i="4" s="1"/>
  <c r="BG173" i="4" s="1"/>
  <c r="BI8" i="11"/>
  <c r="BI128" i="11" s="1"/>
  <c r="BI7" i="16"/>
  <c r="BG153" i="11"/>
  <c r="BG168" i="11"/>
  <c r="BG160" i="11"/>
  <c r="BF209" i="34"/>
  <c r="BF241" i="4"/>
  <c r="BG17" i="16" s="1"/>
  <c r="BG94" i="11" s="1"/>
  <c r="BF199" i="34"/>
  <c r="BG55" i="16"/>
  <c r="BH52" i="16" s="1"/>
  <c r="BG39" i="16"/>
  <c r="BG59" i="11" s="1"/>
  <c r="BN30" i="4"/>
  <c r="BH100" i="4"/>
  <c r="BH125" i="4"/>
  <c r="BG239" i="4"/>
  <c r="BG200" i="4"/>
  <c r="BF216" i="4"/>
  <c r="BF230" i="4" s="1"/>
  <c r="BG169" i="4" l="1"/>
  <c r="BG157" i="4"/>
  <c r="BG168" i="4"/>
  <c r="BG167" i="4"/>
  <c r="BG160" i="4"/>
  <c r="BG154" i="4"/>
  <c r="BG153" i="4"/>
  <c r="BG155" i="4"/>
  <c r="BG152" i="4"/>
  <c r="BG163" i="4"/>
  <c r="BG170" i="4"/>
  <c r="BG164" i="4"/>
  <c r="BG156" i="4"/>
  <c r="BG162" i="4"/>
  <c r="BG159" i="4"/>
  <c r="BG158" i="4"/>
  <c r="BG165" i="4"/>
  <c r="BG161" i="4"/>
  <c r="BG166" i="4"/>
  <c r="BG171" i="4"/>
  <c r="BH188" i="4"/>
  <c r="BH150" i="4"/>
  <c r="BG9" i="33"/>
  <c r="BJ7" i="11"/>
  <c r="BI8" i="16"/>
  <c r="BI10" i="16" s="1"/>
  <c r="BH156" i="11"/>
  <c r="BH163" i="11"/>
  <c r="BG170" i="11"/>
  <c r="BH152" i="11"/>
  <c r="BE200" i="34"/>
  <c r="BH10" i="11"/>
  <c r="BH11" i="11"/>
  <c r="BG40" i="16"/>
  <c r="BH37" i="16" s="1"/>
  <c r="BH49" i="16"/>
  <c r="BH53" i="16" s="1"/>
  <c r="BH34" i="16"/>
  <c r="BH38" i="16" s="1"/>
  <c r="BH39" i="16" s="1"/>
  <c r="BH10" i="22"/>
  <c r="BG215" i="4"/>
  <c r="BG229" i="4" s="1"/>
  <c r="BG201" i="4"/>
  <c r="BG240" i="4"/>
  <c r="BH126" i="4"/>
  <c r="BO29" i="4"/>
  <c r="BH101" i="4"/>
  <c r="BH133" i="11" l="1"/>
  <c r="BH35" i="11"/>
  <c r="BH36" i="11" s="1"/>
  <c r="BI11" i="16"/>
  <c r="BG13" i="33"/>
  <c r="BG10" i="33"/>
  <c r="BG11" i="33"/>
  <c r="BG12" i="33"/>
  <c r="BH189" i="4"/>
  <c r="BH151" i="4"/>
  <c r="BH172" i="4" s="1"/>
  <c r="BH173" i="4" s="1"/>
  <c r="BJ8" i="11"/>
  <c r="BJ128" i="11" s="1"/>
  <c r="BJ7" i="16"/>
  <c r="BH153" i="11"/>
  <c r="BH168" i="11"/>
  <c r="BH160" i="11"/>
  <c r="BG209" i="34"/>
  <c r="BG241" i="4"/>
  <c r="BH17" i="16" s="1"/>
  <c r="BH94" i="11" s="1"/>
  <c r="BG199" i="34"/>
  <c r="BH40" i="16"/>
  <c r="BI37" i="16" s="1"/>
  <c r="BH54" i="16"/>
  <c r="BH55" i="16" s="1"/>
  <c r="BI52" i="16" s="1"/>
  <c r="BH239" i="4"/>
  <c r="BH200" i="4"/>
  <c r="BG216" i="4"/>
  <c r="BG230" i="4" s="1"/>
  <c r="BI100" i="4"/>
  <c r="BI125" i="4"/>
  <c r="BO30" i="4"/>
  <c r="BH168" i="4" l="1"/>
  <c r="BH156" i="4"/>
  <c r="BH167" i="4"/>
  <c r="BH166" i="4"/>
  <c r="BH153" i="4"/>
  <c r="BH155" i="4"/>
  <c r="BH152" i="4"/>
  <c r="BH163" i="4"/>
  <c r="BH158" i="4"/>
  <c r="BH159" i="4"/>
  <c r="BH164" i="4"/>
  <c r="BH170" i="4"/>
  <c r="BH162" i="4"/>
  <c r="BH160" i="4"/>
  <c r="BH161" i="4"/>
  <c r="BH157" i="4"/>
  <c r="BH154" i="4"/>
  <c r="BH165" i="4"/>
  <c r="BH169" i="4"/>
  <c r="BH171" i="4"/>
  <c r="BH59" i="11"/>
  <c r="BI188" i="4"/>
  <c r="BI150" i="4"/>
  <c r="BP29" i="4"/>
  <c r="BJ125" i="4" s="1"/>
  <c r="BH9" i="33"/>
  <c r="BK7" i="11"/>
  <c r="BJ8" i="16"/>
  <c r="BI156" i="11"/>
  <c r="BI163" i="11"/>
  <c r="BH170" i="11"/>
  <c r="BI152" i="11"/>
  <c r="BF200" i="34"/>
  <c r="BI10" i="11"/>
  <c r="BI11" i="11"/>
  <c r="BI10" i="22"/>
  <c r="O88" i="34"/>
  <c r="BI49" i="16"/>
  <c r="BI53" i="16" s="1"/>
  <c r="BI54" i="16" s="1"/>
  <c r="BI34" i="16"/>
  <c r="BI38" i="16" s="1"/>
  <c r="BH215" i="4"/>
  <c r="BH229" i="4" s="1"/>
  <c r="BI126" i="4"/>
  <c r="BI101" i="4"/>
  <c r="BH201" i="4"/>
  <c r="BH240" i="4"/>
  <c r="BI133" i="11" l="1"/>
  <c r="BI35" i="11"/>
  <c r="BI36" i="11" s="1"/>
  <c r="BJ10" i="16"/>
  <c r="R24" i="22"/>
  <c r="R23" i="22"/>
  <c r="BJ11" i="16"/>
  <c r="BH11" i="33"/>
  <c r="BH12" i="33"/>
  <c r="BH10" i="33"/>
  <c r="BH13" i="33"/>
  <c r="BP30" i="4"/>
  <c r="BQ29" i="4" s="1"/>
  <c r="BJ188" i="4"/>
  <c r="BJ150" i="4"/>
  <c r="BI189" i="4"/>
  <c r="BI151" i="4"/>
  <c r="BI172" i="4" s="1"/>
  <c r="BI173" i="4" s="1"/>
  <c r="BJ100" i="4"/>
  <c r="BK8" i="11"/>
  <c r="BK128" i="11" s="1"/>
  <c r="BK7" i="16"/>
  <c r="BI153" i="11"/>
  <c r="BI168" i="11"/>
  <c r="BI160" i="11"/>
  <c r="BH209" i="34"/>
  <c r="BH199" i="34"/>
  <c r="BI39" i="16"/>
  <c r="BI59" i="11" s="1"/>
  <c r="BI55" i="16"/>
  <c r="BJ52" i="16" s="1"/>
  <c r="BI200" i="4"/>
  <c r="BI239" i="4"/>
  <c r="BH216" i="4"/>
  <c r="BH230" i="4" s="1"/>
  <c r="BH241" i="4"/>
  <c r="BI167" i="4" l="1"/>
  <c r="BI155" i="4"/>
  <c r="BI166" i="4"/>
  <c r="BI165" i="4"/>
  <c r="BI152" i="4"/>
  <c r="BI163" i="4"/>
  <c r="BI158" i="4"/>
  <c r="BI168" i="4"/>
  <c r="BI164" i="4"/>
  <c r="BI157" i="4"/>
  <c r="BI170" i="4"/>
  <c r="BI159" i="4"/>
  <c r="BI162" i="4"/>
  <c r="BI161" i="4"/>
  <c r="BI160" i="4"/>
  <c r="BI154" i="4"/>
  <c r="BI156" i="4"/>
  <c r="BI169" i="4"/>
  <c r="BI171" i="4"/>
  <c r="BI153" i="4"/>
  <c r="BJ101" i="4"/>
  <c r="BJ126" i="4"/>
  <c r="BJ151" i="4" s="1"/>
  <c r="BJ172" i="4" s="1"/>
  <c r="BJ173" i="4" s="1"/>
  <c r="BI9" i="33"/>
  <c r="BI11" i="33" s="1"/>
  <c r="BL7" i="11"/>
  <c r="BK8" i="16"/>
  <c r="BK10" i="16" s="1"/>
  <c r="BJ156" i="11"/>
  <c r="BJ163" i="11"/>
  <c r="BJ152" i="11"/>
  <c r="BI170" i="11"/>
  <c r="BJ11" i="11"/>
  <c r="BJ10" i="11"/>
  <c r="BI17" i="16"/>
  <c r="BI94" i="11" s="1"/>
  <c r="BG200" i="34"/>
  <c r="BJ10" i="22"/>
  <c r="BI40" i="16"/>
  <c r="BJ37" i="16" s="1"/>
  <c r="BJ49" i="16"/>
  <c r="BJ53" i="16" s="1"/>
  <c r="BJ54" i="16" s="1"/>
  <c r="BJ34" i="16"/>
  <c r="BJ38" i="16" s="1"/>
  <c r="BJ39" i="16" s="1"/>
  <c r="BQ30" i="4"/>
  <c r="BK100" i="4"/>
  <c r="BK125" i="4"/>
  <c r="BJ200" i="4"/>
  <c r="BJ239" i="4"/>
  <c r="BI201" i="4"/>
  <c r="BI240" i="4"/>
  <c r="BI215" i="4"/>
  <c r="BI229" i="4" s="1"/>
  <c r="BJ166" i="4" l="1"/>
  <c r="BJ165" i="4"/>
  <c r="BJ164" i="4"/>
  <c r="BJ163" i="4"/>
  <c r="BJ158" i="4"/>
  <c r="BJ155" i="4"/>
  <c r="BJ169" i="4"/>
  <c r="BJ168" i="4"/>
  <c r="BJ170" i="4"/>
  <c r="BJ159" i="4"/>
  <c r="BJ162" i="4"/>
  <c r="BJ157" i="4"/>
  <c r="BJ156" i="4"/>
  <c r="BJ153" i="4"/>
  <c r="BJ152" i="4"/>
  <c r="BJ171" i="4"/>
  <c r="BJ167" i="4"/>
  <c r="BJ161" i="4"/>
  <c r="BJ160" i="4"/>
  <c r="BJ154" i="4"/>
  <c r="BJ133" i="11"/>
  <c r="BJ189" i="4"/>
  <c r="BJ201" i="4" s="1"/>
  <c r="BJ35" i="11"/>
  <c r="BJ36" i="11" s="1"/>
  <c r="BI12" i="33"/>
  <c r="BI10" i="33"/>
  <c r="BI13" i="33"/>
  <c r="BJ59" i="11"/>
  <c r="BK11" i="16"/>
  <c r="BK188" i="4"/>
  <c r="BK150" i="4"/>
  <c r="BJ9" i="33"/>
  <c r="BL8" i="11"/>
  <c r="BL128" i="11" s="1"/>
  <c r="BL7" i="16"/>
  <c r="BJ153" i="11"/>
  <c r="BJ168" i="11"/>
  <c r="BJ160" i="11"/>
  <c r="BI209" i="34"/>
  <c r="BI241" i="4"/>
  <c r="BJ17" i="16" s="1"/>
  <c r="BJ94" i="11" s="1"/>
  <c r="BI199" i="34"/>
  <c r="P102" i="34"/>
  <c r="P106" i="34"/>
  <c r="P99" i="34"/>
  <c r="BJ55" i="16"/>
  <c r="BK52" i="16" s="1"/>
  <c r="R142" i="29"/>
  <c r="R127" i="29"/>
  <c r="P97" i="34"/>
  <c r="P86" i="34"/>
  <c r="R107" i="29"/>
  <c r="BJ40" i="16"/>
  <c r="BK37" i="16" s="1"/>
  <c r="R134" i="29"/>
  <c r="BJ215" i="4"/>
  <c r="BJ229" i="4" s="1"/>
  <c r="BK126" i="4"/>
  <c r="BK101" i="4"/>
  <c r="BR29" i="4"/>
  <c r="BI216" i="4"/>
  <c r="BI230" i="4" s="1"/>
  <c r="BK35" i="11" l="1"/>
  <c r="BK36" i="11" s="1"/>
  <c r="R81" i="22"/>
  <c r="R76" i="22"/>
  <c r="BJ240" i="4"/>
  <c r="BJ241" i="4" s="1"/>
  <c r="BJ13" i="33"/>
  <c r="BJ12" i="33"/>
  <c r="BJ11" i="33"/>
  <c r="BJ10" i="33"/>
  <c r="BK189" i="4"/>
  <c r="BK151" i="4"/>
  <c r="BK172" i="4" s="1"/>
  <c r="BK173" i="4" s="1"/>
  <c r="BM7" i="11"/>
  <c r="BL8" i="16"/>
  <c r="BK156" i="11"/>
  <c r="BK163" i="11"/>
  <c r="BK152" i="11"/>
  <c r="BJ170" i="11"/>
  <c r="BK11" i="11"/>
  <c r="BK10" i="11"/>
  <c r="BH200" i="34"/>
  <c r="BK49" i="16"/>
  <c r="BK53" i="16" s="1"/>
  <c r="BK34" i="16"/>
  <c r="BK38" i="16" s="1"/>
  <c r="BK39" i="16" s="1"/>
  <c r="R144" i="29"/>
  <c r="BK10" i="22"/>
  <c r="BR30" i="4"/>
  <c r="BL100" i="4"/>
  <c r="BL125" i="4"/>
  <c r="BK200" i="4"/>
  <c r="BK239" i="4"/>
  <c r="BK165" i="4" l="1"/>
  <c r="BK164" i="4"/>
  <c r="BK163" i="4"/>
  <c r="BK168" i="4"/>
  <c r="BK169" i="4"/>
  <c r="BK162" i="4"/>
  <c r="BK170" i="4"/>
  <c r="BK159" i="4"/>
  <c r="BK157" i="4"/>
  <c r="BK155" i="4"/>
  <c r="BK154" i="4"/>
  <c r="BK152" i="4"/>
  <c r="BK153" i="4"/>
  <c r="BK161" i="4"/>
  <c r="BK160" i="4"/>
  <c r="BK166" i="4"/>
  <c r="BK156" i="4"/>
  <c r="BK171" i="4"/>
  <c r="BK167" i="4"/>
  <c r="BK158" i="4"/>
  <c r="BJ216" i="4"/>
  <c r="BJ230" i="4" s="1"/>
  <c r="BK133" i="11"/>
  <c r="BL10" i="16"/>
  <c r="BL11" i="16"/>
  <c r="BL188" i="4"/>
  <c r="BL150" i="4"/>
  <c r="BK9" i="33"/>
  <c r="BM8" i="11"/>
  <c r="BM7" i="16"/>
  <c r="BK153" i="11"/>
  <c r="BK168" i="11"/>
  <c r="BK160" i="11"/>
  <c r="BJ209" i="34"/>
  <c r="BJ199" i="34"/>
  <c r="BK17" i="16"/>
  <c r="BK94" i="11" s="1"/>
  <c r="BK54" i="16"/>
  <c r="BK59" i="11" s="1"/>
  <c r="BK40" i="16"/>
  <c r="BL37" i="16" s="1"/>
  <c r="BK215" i="4"/>
  <c r="BK229" i="4" s="1"/>
  <c r="BL126" i="4"/>
  <c r="BL101" i="4"/>
  <c r="BK240" i="4"/>
  <c r="BK201" i="4"/>
  <c r="BM8" i="16" l="1"/>
  <c r="BM10" i="16" s="1"/>
  <c r="BM128" i="11"/>
  <c r="BL35" i="11"/>
  <c r="BL36" i="11" s="1"/>
  <c r="T24" i="22"/>
  <c r="T23" i="22"/>
  <c r="S23" i="22"/>
  <c r="S24" i="22"/>
  <c r="BM11" i="16"/>
  <c r="BK11" i="33"/>
  <c r="F32" i="4" s="1" a="1"/>
  <c r="F32" i="4" s="1"/>
  <c r="BK12" i="33"/>
  <c r="F34" i="4" s="1" a="1"/>
  <c r="F34" i="4" s="1"/>
  <c r="BK10" i="33"/>
  <c r="BK13" i="33"/>
  <c r="BL189" i="4"/>
  <c r="BL151" i="4"/>
  <c r="BL172" i="4" s="1"/>
  <c r="BL173" i="4" s="1"/>
  <c r="BL156" i="11"/>
  <c r="BL163" i="11"/>
  <c r="BL152" i="11"/>
  <c r="BK170" i="11"/>
  <c r="BI200" i="34"/>
  <c r="BL10" i="11"/>
  <c r="BL11" i="11"/>
  <c r="BK55" i="16"/>
  <c r="BL52" i="16" s="1"/>
  <c r="BL49" i="16"/>
  <c r="BL53" i="16" s="1"/>
  <c r="BL54" i="16" s="1"/>
  <c r="BL34" i="16"/>
  <c r="BL38" i="16" s="1"/>
  <c r="BL39" i="16" s="1"/>
  <c r="BL10" i="22"/>
  <c r="BL239" i="4"/>
  <c r="BL200" i="4"/>
  <c r="BK216" i="4"/>
  <c r="BK230" i="4" s="1"/>
  <c r="BK241" i="4"/>
  <c r="BL164" i="4" l="1"/>
  <c r="BL163" i="4"/>
  <c r="BL169" i="4"/>
  <c r="BL162" i="4"/>
  <c r="BL156" i="4"/>
  <c r="BL159" i="4"/>
  <c r="BL170" i="4"/>
  <c r="BL157" i="4"/>
  <c r="BL155" i="4"/>
  <c r="BL168" i="4"/>
  <c r="BL152" i="4"/>
  <c r="BL160" i="4"/>
  <c r="BL154" i="4"/>
  <c r="BL158" i="4"/>
  <c r="BL161" i="4"/>
  <c r="BL166" i="4"/>
  <c r="BL171" i="4"/>
  <c r="BL153" i="4"/>
  <c r="BL167" i="4"/>
  <c r="BL165" i="4"/>
  <c r="BL133" i="11"/>
  <c r="BL59" i="11"/>
  <c r="F31" i="4" a="1"/>
  <c r="F31" i="4" s="1"/>
  <c r="F59" i="4" a="1"/>
  <c r="F59" i="4" s="1"/>
  <c r="F55" i="4" a="1"/>
  <c r="F55" i="4" s="1"/>
  <c r="F49" i="4" a="1"/>
  <c r="F49" i="4" s="1"/>
  <c r="F57" i="4" a="1"/>
  <c r="F57" i="4" s="1"/>
  <c r="F47" i="4" a="1"/>
  <c r="F47" i="4" s="1"/>
  <c r="F53" i="4" a="1"/>
  <c r="F53" i="4" s="1"/>
  <c r="F41" i="4" a="1"/>
  <c r="F41" i="4" s="1"/>
  <c r="F52" i="4" a="1"/>
  <c r="F52" i="4" s="1"/>
  <c r="F60" i="4" a="1"/>
  <c r="F60" i="4" s="1"/>
  <c r="F58" i="4" a="1"/>
  <c r="F58" i="4" s="1"/>
  <c r="F38" i="4" a="1"/>
  <c r="F38" i="4" s="1"/>
  <c r="F63" i="4" a="1"/>
  <c r="F63" i="4" s="1"/>
  <c r="F40" i="4" a="1"/>
  <c r="F40" i="4" s="1"/>
  <c r="F48" i="4" a="1"/>
  <c r="F48" i="4" s="1"/>
  <c r="F39" i="4" a="1"/>
  <c r="F39" i="4" s="1"/>
  <c r="F35" i="4" a="1"/>
  <c r="F35" i="4" s="1"/>
  <c r="F42" i="4" a="1"/>
  <c r="F42" i="4" s="1"/>
  <c r="F43" i="4" a="1"/>
  <c r="F43" i="4" s="1"/>
  <c r="F54" i="4" a="1"/>
  <c r="F54" i="4" s="1"/>
  <c r="F62" i="4" a="1"/>
  <c r="F62" i="4" s="1"/>
  <c r="F45" i="4" a="1"/>
  <c r="F45" i="4" s="1"/>
  <c r="F46" i="4" a="1"/>
  <c r="F46" i="4" s="1"/>
  <c r="F37" i="4" a="1"/>
  <c r="F37" i="4" s="1"/>
  <c r="F61" i="4" a="1"/>
  <c r="F61" i="4" s="1"/>
  <c r="F51" i="4" a="1"/>
  <c r="F51" i="4" s="1"/>
  <c r="F36" i="4" a="1"/>
  <c r="F36" i="4" s="1"/>
  <c r="F44" i="4" a="1"/>
  <c r="F44" i="4" s="1"/>
  <c r="F56" i="4" a="1"/>
  <c r="F56" i="4" s="1"/>
  <c r="F50" i="4" a="1"/>
  <c r="F50" i="4" s="1"/>
  <c r="F33" i="4" a="1"/>
  <c r="F33" i="4" s="1"/>
  <c r="BL153" i="11"/>
  <c r="BL168" i="11"/>
  <c r="BL160" i="11"/>
  <c r="BK209" i="34"/>
  <c r="C201" i="34"/>
  <c r="D201" i="34"/>
  <c r="F201" i="34"/>
  <c r="E201" i="34"/>
  <c r="G201" i="34"/>
  <c r="H201" i="34"/>
  <c r="I201" i="34"/>
  <c r="J201" i="34"/>
  <c r="L201" i="34"/>
  <c r="K201" i="34"/>
  <c r="M201" i="34"/>
  <c r="O201" i="34"/>
  <c r="N201" i="34"/>
  <c r="P201" i="34"/>
  <c r="Q201" i="34"/>
  <c r="R201" i="34"/>
  <c r="S201" i="34"/>
  <c r="T201" i="34"/>
  <c r="U201" i="34"/>
  <c r="V201" i="34"/>
  <c r="W201" i="34"/>
  <c r="Y201" i="34"/>
  <c r="X201" i="34"/>
  <c r="Z201" i="34"/>
  <c r="AB201" i="34"/>
  <c r="AA201" i="34"/>
  <c r="AC201" i="34"/>
  <c r="AD201" i="34"/>
  <c r="AE201" i="34"/>
  <c r="AF201" i="34"/>
  <c r="AG201" i="34"/>
  <c r="AH201" i="34"/>
  <c r="AI201" i="34"/>
  <c r="AJ201" i="34"/>
  <c r="AK201" i="34"/>
  <c r="AL201" i="34"/>
  <c r="AM201" i="34"/>
  <c r="AN201" i="34"/>
  <c r="AO201" i="34"/>
  <c r="AP201" i="34"/>
  <c r="AQ201" i="34"/>
  <c r="AR201" i="34"/>
  <c r="AS201" i="34"/>
  <c r="AT201" i="34"/>
  <c r="AU201" i="34"/>
  <c r="AV201" i="34"/>
  <c r="AW201" i="34"/>
  <c r="AX201" i="34"/>
  <c r="AY201" i="34"/>
  <c r="AZ201" i="34"/>
  <c r="BA201" i="34"/>
  <c r="BB201" i="34"/>
  <c r="BC201" i="34"/>
  <c r="BD201" i="34"/>
  <c r="BE201" i="34"/>
  <c r="BI201" i="34"/>
  <c r="BH201" i="34"/>
  <c r="BG201" i="34"/>
  <c r="BF201" i="34"/>
  <c r="BJ201" i="34"/>
  <c r="BK199" i="34"/>
  <c r="BL17" i="16"/>
  <c r="BL94" i="11" s="1"/>
  <c r="BL55" i="16"/>
  <c r="BM52" i="16" s="1"/>
  <c r="BL40" i="16"/>
  <c r="BM37" i="16" s="1"/>
  <c r="BL215" i="4"/>
  <c r="BL229" i="4" s="1"/>
  <c r="BL240" i="4"/>
  <c r="BL201" i="4"/>
  <c r="BJ58" i="16" l="1"/>
  <c r="BJ93" i="11" s="1"/>
  <c r="G58" i="16"/>
  <c r="G93" i="11" s="1"/>
  <c r="BD58" i="16"/>
  <c r="AL58" i="16"/>
  <c r="AL93" i="11" s="1"/>
  <c r="L58" i="16"/>
  <c r="L93" i="11" s="1"/>
  <c r="AY58" i="16"/>
  <c r="AY93" i="11" s="1"/>
  <c r="S58" i="16"/>
  <c r="S93" i="11" s="1"/>
  <c r="AM58" i="16"/>
  <c r="AM93" i="11" s="1"/>
  <c r="Q58" i="16"/>
  <c r="Q93" i="11" s="1"/>
  <c r="X58" i="16"/>
  <c r="X93" i="11" s="1"/>
  <c r="BK58" i="16"/>
  <c r="BK93" i="11" s="1"/>
  <c r="AE58" i="16"/>
  <c r="AE93" i="11" s="1"/>
  <c r="BA58" i="16"/>
  <c r="BA93" i="11" s="1"/>
  <c r="AH58" i="16"/>
  <c r="AH93" i="11" s="1"/>
  <c r="AJ58" i="16"/>
  <c r="AJ93" i="11" s="1"/>
  <c r="Y58" i="16"/>
  <c r="Y93" i="11" s="1"/>
  <c r="AR58" i="16"/>
  <c r="AR93" i="11" s="1"/>
  <c r="E58" i="16"/>
  <c r="E93" i="11" s="1"/>
  <c r="AQ58" i="16"/>
  <c r="AQ93" i="11" s="1"/>
  <c r="AD58" i="16"/>
  <c r="AD93" i="11" s="1"/>
  <c r="K58" i="16"/>
  <c r="K93" i="11" s="1"/>
  <c r="AV58" i="16"/>
  <c r="AV93" i="11" s="1"/>
  <c r="AZ58" i="16"/>
  <c r="AZ93" i="11" s="1"/>
  <c r="BF58" i="16"/>
  <c r="BF93" i="11" s="1"/>
  <c r="BC58" i="16"/>
  <c r="BC93" i="11" s="1"/>
  <c r="I58" i="16"/>
  <c r="I93" i="11" s="1"/>
  <c r="W58" i="16"/>
  <c r="W93" i="11" s="1"/>
  <c r="BH58" i="16"/>
  <c r="BH93" i="11" s="1"/>
  <c r="BL58" i="16"/>
  <c r="BL93" i="11" s="1"/>
  <c r="U58" i="16"/>
  <c r="U93" i="11" s="1"/>
  <c r="AI58" i="16"/>
  <c r="AI93" i="11" s="1"/>
  <c r="AK58" i="16"/>
  <c r="AK93" i="11" s="1"/>
  <c r="AN58" i="16"/>
  <c r="AN93" i="11" s="1"/>
  <c r="AT58" i="16"/>
  <c r="AT93" i="11" s="1"/>
  <c r="AO58" i="16"/>
  <c r="AO93" i="11" s="1"/>
  <c r="AG58" i="16"/>
  <c r="AG93" i="11" s="1"/>
  <c r="AU58" i="16"/>
  <c r="AU93" i="11" s="1"/>
  <c r="AW58" i="16"/>
  <c r="AW93" i="11" s="1"/>
  <c r="BM58" i="16"/>
  <c r="N58" i="16"/>
  <c r="N93" i="11" s="1"/>
  <c r="AP58" i="16"/>
  <c r="AP93" i="11" s="1"/>
  <c r="AS58" i="16"/>
  <c r="AS93" i="11" s="1"/>
  <c r="BG58" i="16"/>
  <c r="BG93" i="11" s="1"/>
  <c r="BI58" i="16"/>
  <c r="BI93" i="11" s="1"/>
  <c r="F58" i="16"/>
  <c r="F93" i="11" s="1"/>
  <c r="AA58" i="16"/>
  <c r="AA93" i="11" s="1"/>
  <c r="H58" i="16"/>
  <c r="H93" i="11" s="1"/>
  <c r="BE58" i="16"/>
  <c r="BE93" i="11" s="1"/>
  <c r="O58" i="16"/>
  <c r="O93" i="11" s="1"/>
  <c r="Z58" i="16"/>
  <c r="Z93" i="11" s="1"/>
  <c r="BB58" i="16"/>
  <c r="BB93" i="11" s="1"/>
  <c r="AC58" i="16"/>
  <c r="AC93" i="11" s="1"/>
  <c r="T58" i="16"/>
  <c r="T93" i="11" s="1"/>
  <c r="M58" i="16"/>
  <c r="M93" i="11" s="1"/>
  <c r="J58" i="16"/>
  <c r="J93" i="11" s="1"/>
  <c r="AX58" i="16"/>
  <c r="AX93" i="11" s="1"/>
  <c r="P58" i="16"/>
  <c r="P93" i="11" s="1"/>
  <c r="R58" i="16"/>
  <c r="R93" i="11" s="1"/>
  <c r="AF58" i="16"/>
  <c r="AF93" i="11" s="1"/>
  <c r="AB58" i="16"/>
  <c r="AB93" i="11" s="1"/>
  <c r="V58" i="16"/>
  <c r="V93" i="11" s="1"/>
  <c r="BD93" i="11"/>
  <c r="BM35" i="11"/>
  <c r="BM156" i="11"/>
  <c r="BM163" i="11"/>
  <c r="BM152" i="11"/>
  <c r="BM153" i="11" s="1"/>
  <c r="BL170" i="11"/>
  <c r="E39" i="11"/>
  <c r="F39" i="11"/>
  <c r="G39" i="11"/>
  <c r="H39" i="11"/>
  <c r="I39" i="11"/>
  <c r="J39" i="11"/>
  <c r="K39" i="11"/>
  <c r="L39" i="11"/>
  <c r="M39" i="11"/>
  <c r="N39" i="11"/>
  <c r="O39" i="11"/>
  <c r="P39" i="11"/>
  <c r="Q39" i="11"/>
  <c r="R39" i="11"/>
  <c r="S39" i="11"/>
  <c r="T39" i="11"/>
  <c r="U39" i="11"/>
  <c r="V39" i="11"/>
  <c r="W39" i="11"/>
  <c r="X39" i="11"/>
  <c r="Y39" i="11"/>
  <c r="Z39" i="11"/>
  <c r="AA39" i="11"/>
  <c r="AB39" i="11"/>
  <c r="AC39" i="11"/>
  <c r="AD39" i="11"/>
  <c r="AE39" i="11"/>
  <c r="AF39" i="11"/>
  <c r="AG39" i="11"/>
  <c r="AH39" i="11"/>
  <c r="AI39" i="11"/>
  <c r="AJ39" i="11"/>
  <c r="AK39" i="11"/>
  <c r="AL39" i="11"/>
  <c r="AM39" i="11"/>
  <c r="AN39" i="11"/>
  <c r="AP39" i="11"/>
  <c r="AO39" i="11"/>
  <c r="AQ39" i="11"/>
  <c r="AR39" i="11"/>
  <c r="AS39" i="11"/>
  <c r="AU39" i="11"/>
  <c r="AT39" i="11"/>
  <c r="AV39" i="11"/>
  <c r="AW39" i="11"/>
  <c r="AX39" i="11"/>
  <c r="AY39" i="11"/>
  <c r="AZ39" i="11"/>
  <c r="BA39" i="11"/>
  <c r="BB39" i="11"/>
  <c r="BD39" i="11"/>
  <c r="BC39" i="11"/>
  <c r="BF39" i="11"/>
  <c r="BE39" i="11"/>
  <c r="BL39" i="11"/>
  <c r="BH39" i="11"/>
  <c r="BG39" i="11"/>
  <c r="BI39" i="11"/>
  <c r="BJ39" i="11"/>
  <c r="BK39" i="11"/>
  <c r="BM39" i="11"/>
  <c r="C204" i="34"/>
  <c r="D204" i="34"/>
  <c r="E204" i="34"/>
  <c r="F204" i="34"/>
  <c r="G204" i="34"/>
  <c r="I204" i="34"/>
  <c r="H204" i="34"/>
  <c r="J204" i="34"/>
  <c r="K204" i="34"/>
  <c r="L204" i="34"/>
  <c r="N204" i="34"/>
  <c r="M204" i="34"/>
  <c r="O204" i="34"/>
  <c r="P204" i="34"/>
  <c r="Q204" i="34"/>
  <c r="S204" i="34"/>
  <c r="R204" i="34"/>
  <c r="U204" i="34"/>
  <c r="T204" i="34"/>
  <c r="V204" i="34"/>
  <c r="W204" i="34"/>
  <c r="X204" i="34"/>
  <c r="Y204" i="34"/>
  <c r="Z204" i="34"/>
  <c r="AA204" i="34"/>
  <c r="AD204" i="34"/>
  <c r="AB204" i="34"/>
  <c r="AC204" i="34"/>
  <c r="AF204" i="34"/>
  <c r="AE204" i="34"/>
  <c r="AH204" i="34"/>
  <c r="AG204" i="34"/>
  <c r="AI204" i="34"/>
  <c r="AJ204" i="34"/>
  <c r="AK204" i="34"/>
  <c r="AL204" i="34"/>
  <c r="AN204" i="34"/>
  <c r="AM204" i="34"/>
  <c r="AO204" i="34"/>
  <c r="AP204" i="34"/>
  <c r="AQ204" i="34"/>
  <c r="AR204" i="34"/>
  <c r="AS204" i="34"/>
  <c r="AT204" i="34"/>
  <c r="AU204" i="34"/>
  <c r="AV204" i="34"/>
  <c r="AW204" i="34"/>
  <c r="AX204" i="34"/>
  <c r="AY204" i="34"/>
  <c r="AZ204" i="34"/>
  <c r="BB204" i="34"/>
  <c r="BA204" i="34"/>
  <c r="BC204" i="34"/>
  <c r="BD204" i="34"/>
  <c r="BI204" i="34"/>
  <c r="BF204" i="34"/>
  <c r="BH204" i="34"/>
  <c r="BE204" i="34"/>
  <c r="BG204" i="34"/>
  <c r="BJ204" i="34"/>
  <c r="BK202" i="34"/>
  <c r="BK201" i="34"/>
  <c r="C202" i="34"/>
  <c r="D202" i="34"/>
  <c r="E202" i="34"/>
  <c r="F202" i="34"/>
  <c r="G202" i="34"/>
  <c r="H202" i="34"/>
  <c r="I202" i="34"/>
  <c r="J202" i="34"/>
  <c r="K202" i="34"/>
  <c r="L202" i="34"/>
  <c r="M202" i="34"/>
  <c r="N202" i="34"/>
  <c r="O202" i="34"/>
  <c r="P202" i="34"/>
  <c r="Q202" i="34"/>
  <c r="R202" i="34"/>
  <c r="S202" i="34"/>
  <c r="T202" i="34"/>
  <c r="U202" i="34"/>
  <c r="V202" i="34"/>
  <c r="W202" i="34"/>
  <c r="X202" i="34"/>
  <c r="Y202" i="34"/>
  <c r="Z202" i="34"/>
  <c r="AA202" i="34"/>
  <c r="AB202" i="34"/>
  <c r="AC202" i="34"/>
  <c r="AD202" i="34"/>
  <c r="AF202" i="34"/>
  <c r="AE202" i="34"/>
  <c r="AG202" i="34"/>
  <c r="AH202" i="34"/>
  <c r="AI202" i="34"/>
  <c r="AJ202" i="34"/>
  <c r="AK202" i="34"/>
  <c r="AL202" i="34"/>
  <c r="AO202" i="34"/>
  <c r="AN202" i="34"/>
  <c r="AM202" i="34"/>
  <c r="AP202" i="34"/>
  <c r="AQ202" i="34"/>
  <c r="AR202" i="34"/>
  <c r="AT202" i="34"/>
  <c r="AS202" i="34"/>
  <c r="AU202" i="34"/>
  <c r="AV202" i="34"/>
  <c r="AW202" i="34"/>
  <c r="AY202" i="34"/>
  <c r="AX202" i="34"/>
  <c r="AZ202" i="34"/>
  <c r="BA202" i="34"/>
  <c r="BC202" i="34"/>
  <c r="BB202" i="34"/>
  <c r="BD202" i="34"/>
  <c r="BE202" i="34"/>
  <c r="BG202" i="34"/>
  <c r="BF202" i="34"/>
  <c r="BJ202" i="34"/>
  <c r="BH202" i="34"/>
  <c r="BI202" i="34"/>
  <c r="BJ200" i="34"/>
  <c r="BM10" i="11"/>
  <c r="BM11" i="11"/>
  <c r="P88" i="34"/>
  <c r="BM10" i="22"/>
  <c r="BM49" i="16"/>
  <c r="BM53" i="16" s="1"/>
  <c r="BM34" i="16"/>
  <c r="BM38" i="16" s="1"/>
  <c r="BM39" i="16" s="1"/>
  <c r="BL216" i="4"/>
  <c r="BL241" i="4"/>
  <c r="BK204" i="34" s="1"/>
  <c r="G17" i="22" l="1"/>
  <c r="J17" i="22"/>
  <c r="L17" i="22"/>
  <c r="K17" i="22"/>
  <c r="S17" i="22"/>
  <c r="E17" i="22"/>
  <c r="M17" i="22"/>
  <c r="I17" i="22"/>
  <c r="H17" i="22"/>
  <c r="P17" i="22"/>
  <c r="T17" i="22"/>
  <c r="Q17" i="22"/>
  <c r="R17" i="22"/>
  <c r="F17" i="22"/>
  <c r="N17" i="22"/>
  <c r="O17" i="22"/>
  <c r="D95" i="11"/>
  <c r="F16" i="22"/>
  <c r="BF15" i="22"/>
  <c r="AG14" i="22"/>
  <c r="AP14" i="22"/>
  <c r="E15" i="22"/>
  <c r="AC14" i="22"/>
  <c r="AX15" i="22"/>
  <c r="Z14" i="22"/>
  <c r="AO15" i="22"/>
  <c r="BD15" i="22"/>
  <c r="AF16" i="22"/>
  <c r="AL14" i="22"/>
  <c r="V14" i="22"/>
  <c r="AM16" i="22"/>
  <c r="AH16" i="22"/>
  <c r="AQ15" i="22"/>
  <c r="BA16" i="22"/>
  <c r="BM14" i="22"/>
  <c r="AP16" i="22"/>
  <c r="BG14" i="22"/>
  <c r="BG16" i="22"/>
  <c r="AS16" i="22"/>
  <c r="BK15" i="22"/>
  <c r="U14" i="22"/>
  <c r="AA16" i="22"/>
  <c r="AX16" i="22"/>
  <c r="AU15" i="22"/>
  <c r="Y16" i="22"/>
  <c r="AT14" i="22"/>
  <c r="AD15" i="22"/>
  <c r="AC15" i="22"/>
  <c r="BC16" i="22"/>
  <c r="BH14" i="22"/>
  <c r="AI16" i="22"/>
  <c r="AR16" i="22"/>
  <c r="BH16" i="22"/>
  <c r="AO14" i="22"/>
  <c r="AK14" i="22"/>
  <c r="BI16" i="22"/>
  <c r="AT16" i="22"/>
  <c r="AP15" i="22"/>
  <c r="BB15" i="22"/>
  <c r="AF15" i="22"/>
  <c r="AK16" i="22"/>
  <c r="AC16" i="22"/>
  <c r="AX14" i="22"/>
  <c r="X14" i="22"/>
  <c r="Y14" i="22"/>
  <c r="AJ16" i="22"/>
  <c r="BG15" i="22"/>
  <c r="AZ14" i="22"/>
  <c r="AB16" i="22"/>
  <c r="BJ15" i="22"/>
  <c r="BD16" i="22"/>
  <c r="BA15" i="22"/>
  <c r="AY14" i="22"/>
  <c r="BM16" i="22"/>
  <c r="BE16" i="22"/>
  <c r="BE14" i="22"/>
  <c r="AO16" i="22"/>
  <c r="BK16" i="22"/>
  <c r="AM14" i="22"/>
  <c r="Y15" i="22"/>
  <c r="AV14" i="22"/>
  <c r="BH15" i="22"/>
  <c r="AR14" i="22"/>
  <c r="AA14" i="22"/>
  <c r="AJ14" i="22"/>
  <c r="Z16" i="22"/>
  <c r="AE14" i="22"/>
  <c r="BF14" i="22"/>
  <c r="AK15" i="22"/>
  <c r="AM15" i="22"/>
  <c r="AG16" i="22"/>
  <c r="E16" i="22"/>
  <c r="BL16" i="22"/>
  <c r="X15" i="22"/>
  <c r="AI14" i="22"/>
  <c r="AE15" i="22"/>
  <c r="AH14" i="22"/>
  <c r="BC14" i="22"/>
  <c r="W14" i="22"/>
  <c r="V15" i="22"/>
  <c r="AN14" i="22"/>
  <c r="BE15" i="22"/>
  <c r="AU16" i="22"/>
  <c r="BD14" i="22"/>
  <c r="AY15" i="22"/>
  <c r="AW15" i="22"/>
  <c r="AV15" i="22"/>
  <c r="BM15" i="22"/>
  <c r="AG15" i="22"/>
  <c r="V16" i="22"/>
  <c r="BI15" i="22"/>
  <c r="U16" i="22"/>
  <c r="AH15" i="22"/>
  <c r="AR15" i="22"/>
  <c r="AJ15" i="22"/>
  <c r="AE16" i="22"/>
  <c r="W15" i="22"/>
  <c r="AY16" i="22"/>
  <c r="AD14" i="22"/>
  <c r="X16" i="22"/>
  <c r="AI15" i="22"/>
  <c r="AT15" i="22"/>
  <c r="BK14" i="22"/>
  <c r="BB16" i="22"/>
  <c r="W16" i="22"/>
  <c r="U15" i="22"/>
  <c r="AB15" i="22"/>
  <c r="AU14" i="22"/>
  <c r="AW16" i="22"/>
  <c r="AS14" i="22"/>
  <c r="AN15" i="22"/>
  <c r="AD16" i="22"/>
  <c r="BJ14" i="22"/>
  <c r="G14" i="22"/>
  <c r="E14" i="22"/>
  <c r="AF14" i="22"/>
  <c r="AL15" i="22"/>
  <c r="F14" i="22"/>
  <c r="BL14" i="22"/>
  <c r="AA15" i="22"/>
  <c r="BB14" i="22"/>
  <c r="AZ15" i="22"/>
  <c r="BA14" i="22"/>
  <c r="AQ16" i="22"/>
  <c r="AQ14" i="22"/>
  <c r="BI14" i="22"/>
  <c r="AN16" i="22"/>
  <c r="AW14" i="22"/>
  <c r="AZ16" i="22"/>
  <c r="AV16" i="22"/>
  <c r="BF16" i="22"/>
  <c r="AB14" i="22"/>
  <c r="I11" i="31"/>
  <c r="I12" i="31" s="1"/>
  <c r="F15" i="22"/>
  <c r="AL16" i="22"/>
  <c r="BL15" i="22"/>
  <c r="AS15" i="22"/>
  <c r="Z15" i="22"/>
  <c r="BC15" i="22"/>
  <c r="BJ16" i="22"/>
  <c r="G16" i="22"/>
  <c r="G15" i="22"/>
  <c r="J11" i="31"/>
  <c r="J12" i="31" s="1"/>
  <c r="G11" i="31"/>
  <c r="G12" i="31" s="1"/>
  <c r="E11" i="31"/>
  <c r="E12" i="31" s="1"/>
  <c r="I15" i="22"/>
  <c r="H16" i="22"/>
  <c r="I14" i="22"/>
  <c r="I16" i="22"/>
  <c r="H11" i="31"/>
  <c r="H12" i="31" s="1"/>
  <c r="J15" i="22"/>
  <c r="K16" i="22"/>
  <c r="H14" i="22"/>
  <c r="H15" i="22"/>
  <c r="J16" i="22"/>
  <c r="J14" i="22"/>
  <c r="L16" i="22"/>
  <c r="L14" i="22"/>
  <c r="L15" i="22"/>
  <c r="K14" i="22"/>
  <c r="M15" i="22"/>
  <c r="K15" i="22"/>
  <c r="M14" i="22"/>
  <c r="M16" i="22"/>
  <c r="O14" i="22"/>
  <c r="N15" i="22"/>
  <c r="N16" i="22"/>
  <c r="N14" i="22"/>
  <c r="O15" i="22"/>
  <c r="O16" i="22"/>
  <c r="P16" i="22"/>
  <c r="P14" i="22"/>
  <c r="Q15" i="22"/>
  <c r="Q16" i="22"/>
  <c r="P15" i="22"/>
  <c r="R14" i="22"/>
  <c r="Q14" i="22"/>
  <c r="R15" i="22"/>
  <c r="R16" i="22"/>
  <c r="S16" i="22"/>
  <c r="S15" i="22"/>
  <c r="S14" i="22"/>
  <c r="T14" i="22"/>
  <c r="T15" i="22"/>
  <c r="T16" i="22"/>
  <c r="BM36" i="11"/>
  <c r="F11" i="31"/>
  <c r="F12" i="31" s="1"/>
  <c r="D35" i="11"/>
  <c r="D36" i="11" s="1"/>
  <c r="BM133" i="11"/>
  <c r="E88" i="22"/>
  <c r="F88" i="22"/>
  <c r="E87" i="22"/>
  <c r="F87" i="22"/>
  <c r="AZ85" i="22"/>
  <c r="U86" i="22"/>
  <c r="U88" i="22"/>
  <c r="AS88" i="22"/>
  <c r="BG87" i="22"/>
  <c r="BI85" i="22"/>
  <c r="W88" i="22"/>
  <c r="AH88" i="22"/>
  <c r="AN87" i="22"/>
  <c r="AJ86" i="22"/>
  <c r="AL88" i="22"/>
  <c r="BK86" i="22"/>
  <c r="AE88" i="22"/>
  <c r="W85" i="22"/>
  <c r="BM86" i="22"/>
  <c r="AA87" i="22"/>
  <c r="AL85" i="22"/>
  <c r="BB85" i="22"/>
  <c r="AI87" i="22"/>
  <c r="AQ88" i="22"/>
  <c r="AP88" i="22"/>
  <c r="U87" i="22"/>
  <c r="BG86" i="22"/>
  <c r="AV88" i="22"/>
  <c r="AD88" i="22"/>
  <c r="AT85" i="22"/>
  <c r="AB86" i="22"/>
  <c r="AQ87" i="22"/>
  <c r="AN88" i="22"/>
  <c r="W87" i="22"/>
  <c r="AX86" i="22"/>
  <c r="AE87" i="22"/>
  <c r="AF86" i="22"/>
  <c r="BL86" i="22"/>
  <c r="AE85" i="22"/>
  <c r="U85" i="22"/>
  <c r="AG88" i="22"/>
  <c r="X87" i="22"/>
  <c r="AV85" i="22"/>
  <c r="BC87" i="22"/>
  <c r="AZ88" i="22"/>
  <c r="AR86" i="22"/>
  <c r="BA87" i="22"/>
  <c r="AU86" i="22"/>
  <c r="AM85" i="22"/>
  <c r="Z87" i="22"/>
  <c r="AJ87" i="22"/>
  <c r="AM87" i="22"/>
  <c r="AG86" i="22"/>
  <c r="BE86" i="22"/>
  <c r="AA85" i="22"/>
  <c r="AD86" i="22"/>
  <c r="AI88" i="22"/>
  <c r="BH88" i="22"/>
  <c r="AM86" i="22"/>
  <c r="BC85" i="22"/>
  <c r="AC88" i="22"/>
  <c r="AT87" i="22"/>
  <c r="AS86" i="22"/>
  <c r="AI86" i="22"/>
  <c r="AU88" i="22"/>
  <c r="AG85" i="22"/>
  <c r="BK88" i="22"/>
  <c r="Y87" i="22"/>
  <c r="BF85" i="22"/>
  <c r="BK85" i="22"/>
  <c r="BL87" i="22"/>
  <c r="Y88" i="22"/>
  <c r="AK87" i="22"/>
  <c r="BA85" i="22"/>
  <c r="AV86" i="22"/>
  <c r="AL87" i="22"/>
  <c r="AB88" i="22"/>
  <c r="BF86" i="22"/>
  <c r="AO85" i="22"/>
  <c r="AK88" i="22"/>
  <c r="AX88" i="22"/>
  <c r="AC86" i="22"/>
  <c r="AO88" i="22"/>
  <c r="BB88" i="22"/>
  <c r="AZ86" i="22"/>
  <c r="Z85" i="22"/>
  <c r="BJ85" i="22"/>
  <c r="V87" i="22"/>
  <c r="AY85" i="22"/>
  <c r="AJ85" i="22"/>
  <c r="BM85" i="22"/>
  <c r="AG87" i="22"/>
  <c r="BH87" i="22"/>
  <c r="AD85" i="22"/>
  <c r="BI86" i="22"/>
  <c r="BM87" i="22"/>
  <c r="V86" i="22"/>
  <c r="AQ85" i="22"/>
  <c r="AK86" i="22"/>
  <c r="X86" i="22"/>
  <c r="AA88" i="22"/>
  <c r="Y85" i="22"/>
  <c r="BA88" i="22"/>
  <c r="BB86" i="22"/>
  <c r="BK87" i="22"/>
  <c r="BL85" i="22"/>
  <c r="AI85" i="22"/>
  <c r="AF85" i="22"/>
  <c r="AF88" i="22"/>
  <c r="AY88" i="22"/>
  <c r="AS85" i="22"/>
  <c r="AM88" i="22"/>
  <c r="BE87" i="22"/>
  <c r="BD88" i="22"/>
  <c r="BD85" i="22"/>
  <c r="BB87" i="22"/>
  <c r="AN85" i="22"/>
  <c r="BE85" i="22"/>
  <c r="V85" i="22"/>
  <c r="X88" i="22"/>
  <c r="BH85" i="22"/>
  <c r="BD86" i="22"/>
  <c r="AS87" i="22"/>
  <c r="BG85" i="22"/>
  <c r="BH86" i="22"/>
  <c r="W86" i="22"/>
  <c r="Z86" i="22"/>
  <c r="AD87" i="22"/>
  <c r="AH86" i="22"/>
  <c r="AL86" i="22"/>
  <c r="AY86" i="22"/>
  <c r="AW86" i="22"/>
  <c r="AW88" i="22"/>
  <c r="BM88" i="22"/>
  <c r="AN86" i="22"/>
  <c r="AP86" i="22"/>
  <c r="AO86" i="22"/>
  <c r="Z88" i="22"/>
  <c r="AE86" i="22"/>
  <c r="AT88" i="22"/>
  <c r="AZ87" i="22"/>
  <c r="AJ88" i="22"/>
  <c r="AH85" i="22"/>
  <c r="BF88" i="22"/>
  <c r="AC87" i="22"/>
  <c r="V88" i="22"/>
  <c r="AY87" i="22"/>
  <c r="BC86" i="22"/>
  <c r="AP87" i="22"/>
  <c r="AQ86" i="22"/>
  <c r="BF87" i="22"/>
  <c r="BJ87" i="22"/>
  <c r="AK85" i="22"/>
  <c r="BE88" i="22"/>
  <c r="BI88" i="22"/>
  <c r="X85" i="22"/>
  <c r="AR88" i="22"/>
  <c r="AH87" i="22"/>
  <c r="AR85" i="22"/>
  <c r="AP85" i="22"/>
  <c r="AX87" i="22"/>
  <c r="AB85" i="22"/>
  <c r="AU85" i="22"/>
  <c r="AF87" i="22"/>
  <c r="AT86" i="22"/>
  <c r="AC85" i="22"/>
  <c r="BG88" i="22"/>
  <c r="BA86" i="22"/>
  <c r="BJ86" i="22"/>
  <c r="AW87" i="22"/>
  <c r="BC88" i="22"/>
  <c r="Y86" i="22"/>
  <c r="BL88" i="22"/>
  <c r="BI87" i="22"/>
  <c r="AR87" i="22"/>
  <c r="AX85" i="22"/>
  <c r="AU87" i="22"/>
  <c r="BD87" i="22"/>
  <c r="AV87" i="22"/>
  <c r="AO87" i="22"/>
  <c r="AB87" i="22"/>
  <c r="AW85" i="22"/>
  <c r="BJ88" i="22"/>
  <c r="AA86" i="22"/>
  <c r="G87" i="22"/>
  <c r="I87" i="22"/>
  <c r="H88" i="22"/>
  <c r="I88" i="22"/>
  <c r="H87" i="22"/>
  <c r="G88" i="22"/>
  <c r="J88" i="22"/>
  <c r="J87" i="22"/>
  <c r="K88" i="22"/>
  <c r="L88" i="22"/>
  <c r="L87" i="22"/>
  <c r="K87" i="22"/>
  <c r="M88" i="22"/>
  <c r="M87" i="22"/>
  <c r="O87" i="22"/>
  <c r="N87" i="22"/>
  <c r="N88" i="22"/>
  <c r="P87" i="22"/>
  <c r="O88" i="22"/>
  <c r="P88" i="22"/>
  <c r="Q87" i="22"/>
  <c r="Q88" i="22"/>
  <c r="R87" i="22"/>
  <c r="S88" i="22"/>
  <c r="R88" i="22"/>
  <c r="S87" i="22"/>
  <c r="T87" i="22"/>
  <c r="BK203" i="34"/>
  <c r="BL230" i="4"/>
  <c r="BM168" i="11"/>
  <c r="BM160" i="11"/>
  <c r="R88" i="34"/>
  <c r="I32" i="29"/>
  <c r="I29" i="22" s="1"/>
  <c r="K32" i="29"/>
  <c r="K29" i="22" s="1"/>
  <c r="G32" i="29"/>
  <c r="G29" i="22" s="1"/>
  <c r="H32" i="29"/>
  <c r="H29" i="22" s="1"/>
  <c r="O32" i="29"/>
  <c r="O29" i="22" s="1"/>
  <c r="M32" i="29"/>
  <c r="M29" i="22" s="1"/>
  <c r="L32" i="29"/>
  <c r="L29" i="22" s="1"/>
  <c r="J32" i="29"/>
  <c r="J29" i="22" s="1"/>
  <c r="K34" i="31" s="1"/>
  <c r="N32" i="29"/>
  <c r="N29" i="22" s="1"/>
  <c r="S32" i="29"/>
  <c r="S29" i="22" s="1"/>
  <c r="P32" i="29"/>
  <c r="P29" i="22" s="1"/>
  <c r="Q32" i="29"/>
  <c r="Q29" i="22" s="1"/>
  <c r="R32" i="29"/>
  <c r="R29" i="22" s="1"/>
  <c r="T32" i="29"/>
  <c r="T29" i="22" s="1"/>
  <c r="F32" i="29"/>
  <c r="F29" i="22" s="1"/>
  <c r="G34" i="31" s="1"/>
  <c r="T107" i="29"/>
  <c r="T127" i="29"/>
  <c r="D203" i="34"/>
  <c r="C203" i="34"/>
  <c r="C205" i="34" s="1"/>
  <c r="F203" i="34"/>
  <c r="E203" i="34"/>
  <c r="G203" i="34"/>
  <c r="H203" i="34"/>
  <c r="I203" i="34"/>
  <c r="J203" i="34"/>
  <c r="K203" i="34"/>
  <c r="L203" i="34"/>
  <c r="M203" i="34"/>
  <c r="N203" i="34"/>
  <c r="O203" i="34"/>
  <c r="P203" i="34"/>
  <c r="Q203" i="34"/>
  <c r="S203" i="34"/>
  <c r="R203" i="34"/>
  <c r="U203" i="34"/>
  <c r="T203" i="34"/>
  <c r="V203" i="34"/>
  <c r="W203" i="34"/>
  <c r="X203" i="34"/>
  <c r="Y203" i="34"/>
  <c r="Z203" i="34"/>
  <c r="AA203" i="34"/>
  <c r="AC203" i="34"/>
  <c r="AB203" i="34"/>
  <c r="AD203" i="34"/>
  <c r="AE203" i="34"/>
  <c r="AF203" i="34"/>
  <c r="AG203" i="34"/>
  <c r="AH203" i="34"/>
  <c r="AI203" i="34"/>
  <c r="AJ203" i="34"/>
  <c r="AK203" i="34"/>
  <c r="AL203" i="34"/>
  <c r="AM203" i="34"/>
  <c r="AN203" i="34"/>
  <c r="AO203" i="34"/>
  <c r="AP203" i="34"/>
  <c r="AQ203" i="34"/>
  <c r="AR203" i="34"/>
  <c r="AS203" i="34"/>
  <c r="AT203" i="34"/>
  <c r="AU203" i="34"/>
  <c r="AV203" i="34"/>
  <c r="AW203" i="34"/>
  <c r="AX203" i="34"/>
  <c r="AY203" i="34"/>
  <c r="AZ203" i="34"/>
  <c r="BA203" i="34"/>
  <c r="BB203" i="34"/>
  <c r="BC203" i="34"/>
  <c r="BD203" i="34"/>
  <c r="BE203" i="34"/>
  <c r="BF203" i="34"/>
  <c r="BJ203" i="34"/>
  <c r="BG203" i="34"/>
  <c r="BH203" i="34"/>
  <c r="BI203" i="34"/>
  <c r="C179" i="34"/>
  <c r="D160" i="34"/>
  <c r="C169" i="34"/>
  <c r="C164" i="34"/>
  <c r="C185" i="34"/>
  <c r="C154" i="34"/>
  <c r="D171" i="34"/>
  <c r="C194" i="34"/>
  <c r="D158" i="34"/>
  <c r="D153" i="34"/>
  <c r="C175" i="34"/>
  <c r="D167" i="34"/>
  <c r="C152" i="34"/>
  <c r="C177" i="34"/>
  <c r="C165" i="34"/>
  <c r="D152" i="34"/>
  <c r="D170" i="34"/>
  <c r="C181" i="34"/>
  <c r="C187" i="34"/>
  <c r="C158" i="34"/>
  <c r="D166" i="34"/>
  <c r="C183" i="34"/>
  <c r="C186" i="34"/>
  <c r="D155" i="34"/>
  <c r="C192" i="34"/>
  <c r="C160" i="34"/>
  <c r="C190" i="34"/>
  <c r="C159" i="34"/>
  <c r="C180" i="34"/>
  <c r="C168" i="34"/>
  <c r="D164" i="34"/>
  <c r="C156" i="34"/>
  <c r="C170" i="34"/>
  <c r="D154" i="34"/>
  <c r="D162" i="34"/>
  <c r="C193" i="34"/>
  <c r="C178" i="34"/>
  <c r="C162" i="34"/>
  <c r="C153" i="34"/>
  <c r="C176" i="34"/>
  <c r="C155" i="34"/>
  <c r="C189" i="34"/>
  <c r="C171" i="34"/>
  <c r="D168" i="34"/>
  <c r="D159" i="34"/>
  <c r="D161" i="34"/>
  <c r="C166" i="34"/>
  <c r="D165" i="34"/>
  <c r="D169" i="34"/>
  <c r="C167" i="34"/>
  <c r="C184" i="34"/>
  <c r="C182" i="34"/>
  <c r="C157" i="34"/>
  <c r="C188" i="34"/>
  <c r="C161" i="34"/>
  <c r="D157" i="34"/>
  <c r="D156" i="34"/>
  <c r="C163" i="34"/>
  <c r="C191" i="34"/>
  <c r="D163" i="34"/>
  <c r="F156" i="34"/>
  <c r="E158" i="34"/>
  <c r="E154" i="34"/>
  <c r="F158" i="34"/>
  <c r="F170" i="34"/>
  <c r="E167" i="34"/>
  <c r="F157" i="34"/>
  <c r="F161" i="34"/>
  <c r="F160" i="34"/>
  <c r="F167" i="34"/>
  <c r="F152" i="34"/>
  <c r="F171" i="34"/>
  <c r="E162" i="34"/>
  <c r="F164" i="34"/>
  <c r="E163" i="34"/>
  <c r="E169" i="34"/>
  <c r="F165" i="34"/>
  <c r="E160" i="34"/>
  <c r="E168" i="34"/>
  <c r="E152" i="34"/>
  <c r="E166" i="34"/>
  <c r="E155" i="34"/>
  <c r="E153" i="34"/>
  <c r="F153" i="34"/>
  <c r="E165" i="34"/>
  <c r="F154" i="34"/>
  <c r="E161" i="34"/>
  <c r="E171" i="34"/>
  <c r="F159" i="34"/>
  <c r="E156" i="34"/>
  <c r="E164" i="34"/>
  <c r="E170" i="34"/>
  <c r="H161" i="34"/>
  <c r="F162" i="34"/>
  <c r="F163" i="34"/>
  <c r="E159" i="34"/>
  <c r="F166" i="34"/>
  <c r="F155" i="34"/>
  <c r="F169" i="34"/>
  <c r="F168" i="34"/>
  <c r="E157" i="34"/>
  <c r="H153" i="34"/>
  <c r="G165" i="34"/>
  <c r="G153" i="34"/>
  <c r="H166" i="34"/>
  <c r="G159" i="34"/>
  <c r="G164" i="34"/>
  <c r="H156" i="34"/>
  <c r="H160" i="34"/>
  <c r="G158" i="34"/>
  <c r="H152" i="34"/>
  <c r="G157" i="34"/>
  <c r="G163" i="34"/>
  <c r="G167" i="34"/>
  <c r="G171" i="34"/>
  <c r="G154" i="34"/>
  <c r="G168" i="34"/>
  <c r="G170" i="34"/>
  <c r="H167" i="34"/>
  <c r="H163" i="34"/>
  <c r="H154" i="34"/>
  <c r="H168" i="34"/>
  <c r="G155" i="34"/>
  <c r="H162" i="34"/>
  <c r="G162" i="34"/>
  <c r="G166" i="34"/>
  <c r="G152" i="34"/>
  <c r="H164" i="34"/>
  <c r="G160" i="34"/>
  <c r="H165" i="34"/>
  <c r="H169" i="34"/>
  <c r="H170" i="34"/>
  <c r="H155" i="34"/>
  <c r="H159" i="34"/>
  <c r="G169" i="34"/>
  <c r="G156" i="34"/>
  <c r="H171" i="34"/>
  <c r="G161" i="34"/>
  <c r="J161" i="34"/>
  <c r="I158" i="34"/>
  <c r="J168" i="34"/>
  <c r="J166" i="34"/>
  <c r="I161" i="34"/>
  <c r="I166" i="34"/>
  <c r="I155" i="34"/>
  <c r="I163" i="34"/>
  <c r="J160" i="34"/>
  <c r="J159" i="34"/>
  <c r="I171" i="34"/>
  <c r="I152" i="34"/>
  <c r="J163" i="34"/>
  <c r="I164" i="34"/>
  <c r="J156" i="34"/>
  <c r="I156" i="34"/>
  <c r="I167" i="34"/>
  <c r="J152" i="34"/>
  <c r="I168" i="34"/>
  <c r="I154" i="34"/>
  <c r="J165" i="34"/>
  <c r="H157" i="34"/>
  <c r="J155" i="34"/>
  <c r="I159" i="34"/>
  <c r="J158" i="34"/>
  <c r="J167" i="34"/>
  <c r="L155" i="34"/>
  <c r="I153" i="34"/>
  <c r="J171" i="34"/>
  <c r="I165" i="34"/>
  <c r="J162" i="34"/>
  <c r="I157" i="34"/>
  <c r="H158" i="34"/>
  <c r="I160" i="34"/>
  <c r="J153" i="34"/>
  <c r="J170" i="34"/>
  <c r="I170" i="34"/>
  <c r="J154" i="34"/>
  <c r="J157" i="34"/>
  <c r="J164" i="34"/>
  <c r="J169" i="34"/>
  <c r="I169" i="34"/>
  <c r="I162" i="34"/>
  <c r="L158" i="34"/>
  <c r="K160" i="34"/>
  <c r="K153" i="34"/>
  <c r="L163" i="34"/>
  <c r="K164" i="34"/>
  <c r="K170" i="34"/>
  <c r="L162" i="34"/>
  <c r="L152" i="34"/>
  <c r="L167" i="34"/>
  <c r="K166" i="34"/>
  <c r="L164" i="34"/>
  <c r="N163" i="34"/>
  <c r="L161" i="34"/>
  <c r="L170" i="34"/>
  <c r="L171" i="34"/>
  <c r="K163" i="34"/>
  <c r="K165" i="34"/>
  <c r="L159" i="34"/>
  <c r="K167" i="34"/>
  <c r="L153" i="34"/>
  <c r="K171" i="34"/>
  <c r="L156" i="34"/>
  <c r="L157" i="34"/>
  <c r="K169" i="34"/>
  <c r="K156" i="34"/>
  <c r="K161" i="34"/>
  <c r="K154" i="34"/>
  <c r="L166" i="34"/>
  <c r="K168" i="34"/>
  <c r="L154" i="34"/>
  <c r="L165" i="34"/>
  <c r="L169" i="34"/>
  <c r="K162" i="34"/>
  <c r="K152" i="34"/>
  <c r="L160" i="34"/>
  <c r="K155" i="34"/>
  <c r="L168" i="34"/>
  <c r="K157" i="34"/>
  <c r="K158" i="34"/>
  <c r="K159" i="34"/>
  <c r="P153" i="34"/>
  <c r="N152" i="34"/>
  <c r="M165" i="34"/>
  <c r="M158" i="34"/>
  <c r="N155" i="34"/>
  <c r="N162" i="34"/>
  <c r="M162" i="34"/>
  <c r="N168" i="34"/>
  <c r="M171" i="34"/>
  <c r="N158" i="34"/>
  <c r="M168" i="34"/>
  <c r="M152" i="34"/>
  <c r="M156" i="34"/>
  <c r="M157" i="34"/>
  <c r="N160" i="34"/>
  <c r="N167" i="34"/>
  <c r="N164" i="34"/>
  <c r="N156" i="34"/>
  <c r="M164" i="34"/>
  <c r="N161" i="34"/>
  <c r="M167" i="34"/>
  <c r="M160" i="34"/>
  <c r="M155" i="34"/>
  <c r="N153" i="34"/>
  <c r="M161" i="34"/>
  <c r="M166" i="34"/>
  <c r="N159" i="34"/>
  <c r="N169" i="34"/>
  <c r="M163" i="34"/>
  <c r="M170" i="34"/>
  <c r="M154" i="34"/>
  <c r="N165" i="34"/>
  <c r="M169" i="34"/>
  <c r="N154" i="34"/>
  <c r="N166" i="34"/>
  <c r="M159" i="34"/>
  <c r="N170" i="34"/>
  <c r="N171" i="34"/>
  <c r="M153" i="34"/>
  <c r="N157" i="34"/>
  <c r="O155" i="34"/>
  <c r="P158" i="34"/>
  <c r="P168" i="34"/>
  <c r="O164" i="34"/>
  <c r="O156" i="34"/>
  <c r="O153" i="34"/>
  <c r="P166" i="34"/>
  <c r="O168" i="34"/>
  <c r="O157" i="34"/>
  <c r="P163" i="34"/>
  <c r="P157" i="34"/>
  <c r="O166" i="34"/>
  <c r="O159" i="34"/>
  <c r="O169" i="34"/>
  <c r="O165" i="34"/>
  <c r="O154" i="34"/>
  <c r="O158" i="34"/>
  <c r="P154" i="34"/>
  <c r="P167" i="34"/>
  <c r="O160" i="34"/>
  <c r="P171" i="34"/>
  <c r="P152" i="34"/>
  <c r="O170" i="34"/>
  <c r="O152" i="34"/>
  <c r="O162" i="34"/>
  <c r="P161" i="34"/>
  <c r="P170" i="34"/>
  <c r="P162" i="34"/>
  <c r="P165" i="34"/>
  <c r="P156" i="34"/>
  <c r="O163" i="34"/>
  <c r="O167" i="34"/>
  <c r="P155" i="34"/>
  <c r="P164" i="34"/>
  <c r="P159" i="34"/>
  <c r="O161" i="34"/>
  <c r="O171" i="34"/>
  <c r="P160" i="34"/>
  <c r="P169" i="34"/>
  <c r="Q163" i="34"/>
  <c r="Q171" i="34"/>
  <c r="R155" i="34"/>
  <c r="R161" i="34"/>
  <c r="R163" i="34"/>
  <c r="R153" i="34"/>
  <c r="Q169" i="34"/>
  <c r="Q156" i="34"/>
  <c r="R160" i="34"/>
  <c r="R165" i="34"/>
  <c r="R166" i="34"/>
  <c r="Q155" i="34"/>
  <c r="Q160" i="34"/>
  <c r="R157" i="34"/>
  <c r="Q161" i="34"/>
  <c r="R164" i="34"/>
  <c r="Q153" i="34"/>
  <c r="Q152" i="34"/>
  <c r="R156" i="34"/>
  <c r="R152" i="34"/>
  <c r="R158" i="34"/>
  <c r="Q158" i="34"/>
  <c r="Q168" i="34"/>
  <c r="R170" i="34"/>
  <c r="R162" i="34"/>
  <c r="R154" i="34"/>
  <c r="Q165" i="34"/>
  <c r="Q162" i="34"/>
  <c r="Q166" i="34"/>
  <c r="Q157" i="34"/>
  <c r="R159" i="34"/>
  <c r="Q167" i="34"/>
  <c r="R169" i="34"/>
  <c r="Q159" i="34"/>
  <c r="Q170" i="34"/>
  <c r="R167" i="34"/>
  <c r="Q154" i="34"/>
  <c r="R171" i="34"/>
  <c r="Q164" i="34"/>
  <c r="R168" i="34"/>
  <c r="O194" i="34"/>
  <c r="O193" i="34"/>
  <c r="O191" i="34"/>
  <c r="O179" i="34"/>
  <c r="O178" i="34"/>
  <c r="O184" i="34"/>
  <c r="BM17" i="16"/>
  <c r="BM94" i="11" s="1"/>
  <c r="C241" i="4"/>
  <c r="D252" i="4" s="1"/>
  <c r="D251" i="4" s="1"/>
  <c r="R106" i="34"/>
  <c r="R102" i="34"/>
  <c r="R99" i="34"/>
  <c r="Q106" i="34"/>
  <c r="Q99" i="34"/>
  <c r="Q102" i="34"/>
  <c r="T134" i="29"/>
  <c r="Q97" i="34"/>
  <c r="S127" i="29"/>
  <c r="F20" i="29"/>
  <c r="D243" i="34" s="1"/>
  <c r="E59" i="29"/>
  <c r="E75" i="29"/>
  <c r="E51" i="22" s="1"/>
  <c r="F21" i="29"/>
  <c r="F40" i="29"/>
  <c r="F59" i="29"/>
  <c r="F39" i="29"/>
  <c r="E64" i="29"/>
  <c r="F12" i="29"/>
  <c r="G30" i="31" s="1"/>
  <c r="F83" i="29"/>
  <c r="E13" i="29"/>
  <c r="F58" i="29"/>
  <c r="E78" i="29"/>
  <c r="E39" i="29"/>
  <c r="F57" i="29"/>
  <c r="F56" i="29"/>
  <c r="F78" i="29"/>
  <c r="E23" i="29"/>
  <c r="E66" i="29"/>
  <c r="E58" i="29"/>
  <c r="E57" i="29"/>
  <c r="E67" i="29"/>
  <c r="E16" i="29"/>
  <c r="F31" i="29"/>
  <c r="F26" i="29"/>
  <c r="D249" i="34" s="1"/>
  <c r="F84" i="29"/>
  <c r="F56" i="22" s="1"/>
  <c r="F77" i="29"/>
  <c r="F65" i="29"/>
  <c r="E38" i="29"/>
  <c r="E20" i="29"/>
  <c r="E74" i="29"/>
  <c r="E50" i="22" s="1"/>
  <c r="F41" i="29"/>
  <c r="E40" i="29"/>
  <c r="F17" i="29"/>
  <c r="D240" i="34" s="1"/>
  <c r="E77" i="29"/>
  <c r="E76" i="29"/>
  <c r="F60" i="29"/>
  <c r="E56" i="29"/>
  <c r="E12" i="29"/>
  <c r="F30" i="31" s="1"/>
  <c r="F31" i="31" s="1"/>
  <c r="E24" i="29"/>
  <c r="E17" i="29"/>
  <c r="E21" i="29"/>
  <c r="F23" i="29"/>
  <c r="D246" i="34" s="1"/>
  <c r="F82" i="29"/>
  <c r="F74" i="29"/>
  <c r="F50" i="22" s="1"/>
  <c r="F22" i="29"/>
  <c r="F66" i="22" s="1"/>
  <c r="F38" i="29"/>
  <c r="F13" i="29"/>
  <c r="D236" i="34" s="1"/>
  <c r="F67" i="29"/>
  <c r="F76" i="29"/>
  <c r="E83" i="29"/>
  <c r="E41" i="29"/>
  <c r="E60" i="29"/>
  <c r="E22" i="29"/>
  <c r="E66" i="22" s="1"/>
  <c r="E31" i="29"/>
  <c r="E82" i="29"/>
  <c r="E65" i="29"/>
  <c r="E84" i="29"/>
  <c r="E56" i="22" s="1"/>
  <c r="E26" i="29"/>
  <c r="F24" i="29"/>
  <c r="D247" i="34" s="1"/>
  <c r="H77" i="29"/>
  <c r="F66" i="29"/>
  <c r="G83" i="29"/>
  <c r="G67" i="29"/>
  <c r="F75" i="29"/>
  <c r="F51" i="22" s="1"/>
  <c r="H39" i="29"/>
  <c r="H64" i="29"/>
  <c r="G39" i="29"/>
  <c r="G49" i="29"/>
  <c r="G90" i="22" s="1"/>
  <c r="H66" i="29"/>
  <c r="G38" i="29"/>
  <c r="G20" i="29"/>
  <c r="E243" i="34" s="1"/>
  <c r="H74" i="29"/>
  <c r="H50" i="22" s="1"/>
  <c r="G46" i="29"/>
  <c r="H65" i="29"/>
  <c r="G65" i="29"/>
  <c r="G56" i="29"/>
  <c r="G82" i="29"/>
  <c r="G47" i="29"/>
  <c r="G57" i="22" s="1"/>
  <c r="F64" i="29"/>
  <c r="G26" i="29"/>
  <c r="E249" i="34" s="1"/>
  <c r="G66" i="29"/>
  <c r="H83" i="29"/>
  <c r="G74" i="29"/>
  <c r="G50" i="22" s="1"/>
  <c r="H76" i="29"/>
  <c r="G77" i="29"/>
  <c r="H21" i="29"/>
  <c r="G17" i="29"/>
  <c r="E240" i="34" s="1"/>
  <c r="G57" i="29"/>
  <c r="G41" i="29"/>
  <c r="H84" i="29"/>
  <c r="H56" i="22" s="1"/>
  <c r="G31" i="29"/>
  <c r="G22" i="29"/>
  <c r="G66" i="22" s="1"/>
  <c r="G60" i="29"/>
  <c r="G24" i="29"/>
  <c r="E247" i="34" s="1"/>
  <c r="G84" i="29"/>
  <c r="G56" i="22" s="1"/>
  <c r="H75" i="29"/>
  <c r="H51" i="22" s="1"/>
  <c r="G78" i="29"/>
  <c r="G59" i="29"/>
  <c r="G64" i="29"/>
  <c r="G48" i="29"/>
  <c r="G16" i="29"/>
  <c r="E239" i="34" s="1"/>
  <c r="J31" i="29"/>
  <c r="G58" i="29"/>
  <c r="G45" i="29"/>
  <c r="H13" i="29"/>
  <c r="F236" i="34" s="1"/>
  <c r="G21" i="29"/>
  <c r="F16" i="29"/>
  <c r="D239" i="34" s="1"/>
  <c r="G76" i="29"/>
  <c r="H24" i="29"/>
  <c r="F247" i="34" s="1"/>
  <c r="G13" i="29"/>
  <c r="E236" i="34" s="1"/>
  <c r="H82" i="29"/>
  <c r="G40" i="29"/>
  <c r="H67" i="29"/>
  <c r="G23" i="29"/>
  <c r="E246" i="34" s="1"/>
  <c r="H38" i="29"/>
  <c r="H31" i="29"/>
  <c r="G12" i="29"/>
  <c r="H30" i="31" s="1"/>
  <c r="G75" i="29"/>
  <c r="G51" i="22" s="1"/>
  <c r="H41" i="29"/>
  <c r="H78" i="29"/>
  <c r="J58" i="29"/>
  <c r="I64" i="29"/>
  <c r="H20" i="29"/>
  <c r="F243" i="34" s="1"/>
  <c r="I47" i="29"/>
  <c r="I57" i="22" s="1"/>
  <c r="I48" i="29"/>
  <c r="J66" i="29"/>
  <c r="J24" i="29"/>
  <c r="H247" i="34" s="1"/>
  <c r="I58" i="29"/>
  <c r="I82" i="29"/>
  <c r="I60" i="29"/>
  <c r="J47" i="29"/>
  <c r="J57" i="22" s="1"/>
  <c r="I23" i="29"/>
  <c r="G246" i="34" s="1"/>
  <c r="I13" i="29"/>
  <c r="G236" i="34" s="1"/>
  <c r="J26" i="29"/>
  <c r="H249" i="34" s="1"/>
  <c r="I16" i="29"/>
  <c r="G239" i="34" s="1"/>
  <c r="H26" i="29"/>
  <c r="F249" i="34" s="1"/>
  <c r="I40" i="29"/>
  <c r="I17" i="29"/>
  <c r="G240" i="34" s="1"/>
  <c r="J22" i="29"/>
  <c r="J66" i="22" s="1"/>
  <c r="J23" i="29"/>
  <c r="H246" i="34" s="1"/>
  <c r="J41" i="29"/>
  <c r="I45" i="29"/>
  <c r="I77" i="29"/>
  <c r="I49" i="29"/>
  <c r="I90" i="22" s="1"/>
  <c r="J16" i="29"/>
  <c r="H239" i="34" s="1"/>
  <c r="J60" i="29"/>
  <c r="J13" i="29"/>
  <c r="H236" i="34" s="1"/>
  <c r="I26" i="29"/>
  <c r="G249" i="34" s="1"/>
  <c r="I78" i="29"/>
  <c r="J21" i="29"/>
  <c r="I38" i="29"/>
  <c r="J75" i="29"/>
  <c r="J51" i="22" s="1"/>
  <c r="I46" i="29"/>
  <c r="H48" i="29"/>
  <c r="H17" i="29"/>
  <c r="F240" i="34" s="1"/>
  <c r="J77" i="29"/>
  <c r="I59" i="29"/>
  <c r="I56" i="29"/>
  <c r="I12" i="29"/>
  <c r="J30" i="31" s="1"/>
  <c r="J46" i="29"/>
  <c r="I74" i="29"/>
  <c r="I50" i="22" s="1"/>
  <c r="J39" i="29"/>
  <c r="I65" i="29"/>
  <c r="H45" i="29"/>
  <c r="I66" i="29"/>
  <c r="H40" i="29"/>
  <c r="J38" i="29"/>
  <c r="H46" i="29"/>
  <c r="I83" i="29"/>
  <c r="I41" i="29"/>
  <c r="H59" i="29"/>
  <c r="J59" i="29"/>
  <c r="I21" i="29"/>
  <c r="J82" i="29"/>
  <c r="H57" i="29"/>
  <c r="H22" i="29"/>
  <c r="H66" i="22" s="1"/>
  <c r="J76" i="29"/>
  <c r="J17" i="29"/>
  <c r="H240" i="34" s="1"/>
  <c r="I24" i="29"/>
  <c r="G247" i="34" s="1"/>
  <c r="J49" i="29"/>
  <c r="J90" i="22" s="1"/>
  <c r="I76" i="29"/>
  <c r="H49" i="29"/>
  <c r="H90" i="22" s="1"/>
  <c r="I75" i="29"/>
  <c r="I51" i="22" s="1"/>
  <c r="H58" i="29"/>
  <c r="J56" i="29"/>
  <c r="J67" i="29"/>
  <c r="H16" i="29"/>
  <c r="F239" i="34" s="1"/>
  <c r="I31" i="29"/>
  <c r="I20" i="29"/>
  <c r="G243" i="34" s="1"/>
  <c r="I67" i="29"/>
  <c r="H60" i="29"/>
  <c r="H47" i="29"/>
  <c r="H57" i="22" s="1"/>
  <c r="H12" i="29"/>
  <c r="I30" i="31" s="1"/>
  <c r="J64" i="29"/>
  <c r="I22" i="29"/>
  <c r="I66" i="22" s="1"/>
  <c r="H56" i="29"/>
  <c r="I57" i="29"/>
  <c r="J12" i="29"/>
  <c r="K30" i="31" s="1"/>
  <c r="I39" i="29"/>
  <c r="J40" i="29"/>
  <c r="I84" i="29"/>
  <c r="I56" i="22" s="1"/>
  <c r="H23" i="29"/>
  <c r="F246" i="34" s="1"/>
  <c r="L75" i="29"/>
  <c r="L51" i="22" s="1"/>
  <c r="L23" i="29"/>
  <c r="J246" i="34" s="1"/>
  <c r="K74" i="29"/>
  <c r="K50" i="22" s="1"/>
  <c r="L45" i="29"/>
  <c r="J65" i="29"/>
  <c r="K64" i="29"/>
  <c r="J78" i="29"/>
  <c r="K57" i="29"/>
  <c r="N17" i="29"/>
  <c r="L240" i="34" s="1"/>
  <c r="L48" i="29"/>
  <c r="L58" i="29"/>
  <c r="K75" i="29"/>
  <c r="K51" i="22" s="1"/>
  <c r="K39" i="29"/>
  <c r="L26" i="29"/>
  <c r="J249" i="34" s="1"/>
  <c r="K16" i="29"/>
  <c r="I239" i="34" s="1"/>
  <c r="K40" i="29"/>
  <c r="K41" i="29"/>
  <c r="K12" i="29"/>
  <c r="K83" i="29"/>
  <c r="L59" i="29"/>
  <c r="K56" i="29"/>
  <c r="L17" i="29"/>
  <c r="J240" i="34" s="1"/>
  <c r="K48" i="29"/>
  <c r="K76" i="29"/>
  <c r="L66" i="29"/>
  <c r="L47" i="29"/>
  <c r="L57" i="22" s="1"/>
  <c r="K59" i="29"/>
  <c r="K77" i="29"/>
  <c r="K22" i="29"/>
  <c r="K66" i="22" s="1"/>
  <c r="K46" i="29"/>
  <c r="K17" i="29"/>
  <c r="I240" i="34" s="1"/>
  <c r="J20" i="29"/>
  <c r="H243" i="34" s="1"/>
  <c r="J83" i="29"/>
  <c r="L64" i="29"/>
  <c r="K78" i="29"/>
  <c r="K47" i="29"/>
  <c r="K57" i="22" s="1"/>
  <c r="L83" i="29"/>
  <c r="K23" i="29"/>
  <c r="I246" i="34" s="1"/>
  <c r="K21" i="29"/>
  <c r="K67" i="29"/>
  <c r="J74" i="29"/>
  <c r="J50" i="22" s="1"/>
  <c r="L24" i="29"/>
  <c r="J247" i="34" s="1"/>
  <c r="J57" i="29"/>
  <c r="J45" i="29"/>
  <c r="K58" i="29"/>
  <c r="L74" i="29"/>
  <c r="L50" i="22" s="1"/>
  <c r="L46" i="29"/>
  <c r="K45" i="29"/>
  <c r="K20" i="29"/>
  <c r="I243" i="34" s="1"/>
  <c r="J48" i="29"/>
  <c r="K65" i="29"/>
  <c r="K26" i="29"/>
  <c r="I249" i="34" s="1"/>
  <c r="L20" i="29"/>
  <c r="J243" i="34" s="1"/>
  <c r="K60" i="29"/>
  <c r="L16" i="29"/>
  <c r="J239" i="34" s="1"/>
  <c r="K24" i="29"/>
  <c r="I247" i="34" s="1"/>
  <c r="K84" i="29"/>
  <c r="K56" i="22" s="1"/>
  <c r="K13" i="29"/>
  <c r="I236" i="34" s="1"/>
  <c r="L60" i="29"/>
  <c r="L12" i="29"/>
  <c r="K66" i="29"/>
  <c r="K38" i="29"/>
  <c r="K82" i="29"/>
  <c r="L67" i="29"/>
  <c r="L56" i="29"/>
  <c r="K49" i="29"/>
  <c r="K90" i="22" s="1"/>
  <c r="J84" i="29"/>
  <c r="J56" i="22" s="1"/>
  <c r="K31" i="29"/>
  <c r="M76" i="29"/>
  <c r="M22" i="29"/>
  <c r="M66" i="22" s="1"/>
  <c r="M74" i="29"/>
  <c r="M50" i="22" s="1"/>
  <c r="M48" i="29"/>
  <c r="N64" i="29"/>
  <c r="M58" i="29"/>
  <c r="N45" i="29"/>
  <c r="N39" i="29"/>
  <c r="M59" i="29"/>
  <c r="M78" i="29"/>
  <c r="M12" i="29"/>
  <c r="N20" i="29"/>
  <c r="L243" i="34" s="1"/>
  <c r="M38" i="29"/>
  <c r="M57" i="29"/>
  <c r="L77" i="29"/>
  <c r="M40" i="29"/>
  <c r="N38" i="29"/>
  <c r="N48" i="29"/>
  <c r="N78" i="29"/>
  <c r="L82" i="29"/>
  <c r="M17" i="29"/>
  <c r="K240" i="34" s="1"/>
  <c r="N82" i="29"/>
  <c r="M21" i="29"/>
  <c r="M66" i="29"/>
  <c r="L78" i="29"/>
  <c r="N58" i="29"/>
  <c r="M77" i="29"/>
  <c r="M83" i="29"/>
  <c r="L40" i="29"/>
  <c r="N16" i="29"/>
  <c r="L239" i="34" s="1"/>
  <c r="N65" i="29"/>
  <c r="M82" i="29"/>
  <c r="M20" i="29"/>
  <c r="K243" i="34" s="1"/>
  <c r="M16" i="29"/>
  <c r="K239" i="34" s="1"/>
  <c r="M67" i="29"/>
  <c r="N13" i="29"/>
  <c r="L236" i="34" s="1"/>
  <c r="M60" i="29"/>
  <c r="L13" i="29"/>
  <c r="J236" i="34" s="1"/>
  <c r="L57" i="29"/>
  <c r="L22" i="29"/>
  <c r="L66" i="22" s="1"/>
  <c r="M13" i="29"/>
  <c r="K236" i="34" s="1"/>
  <c r="M84" i="29"/>
  <c r="M56" i="22" s="1"/>
  <c r="M24" i="29"/>
  <c r="K247" i="34" s="1"/>
  <c r="M56" i="29"/>
  <c r="M31" i="29"/>
  <c r="L76" i="29"/>
  <c r="L38" i="29"/>
  <c r="N77" i="29"/>
  <c r="M47" i="29"/>
  <c r="M57" i="22" s="1"/>
  <c r="L41" i="29"/>
  <c r="M46" i="29"/>
  <c r="N22" i="29"/>
  <c r="N66" i="22" s="1"/>
  <c r="P67" i="29"/>
  <c r="M23" i="29"/>
  <c r="K246" i="34" s="1"/>
  <c r="M75" i="29"/>
  <c r="M51" i="22" s="1"/>
  <c r="M65" i="29"/>
  <c r="M64" i="29"/>
  <c r="M41" i="29"/>
  <c r="L49" i="29"/>
  <c r="L90" i="22" s="1"/>
  <c r="L65" i="29"/>
  <c r="M49" i="29"/>
  <c r="M90" i="22" s="1"/>
  <c r="M45" i="29"/>
  <c r="N24" i="29"/>
  <c r="L247" i="34" s="1"/>
  <c r="M26" i="29"/>
  <c r="K249" i="34" s="1"/>
  <c r="N56" i="29"/>
  <c r="N49" i="29"/>
  <c r="N90" i="22" s="1"/>
  <c r="L39" i="29"/>
  <c r="N59" i="29"/>
  <c r="L21" i="29"/>
  <c r="L84" i="29"/>
  <c r="L56" i="22" s="1"/>
  <c r="M39" i="29"/>
  <c r="L31" i="29"/>
  <c r="N12" i="29"/>
  <c r="P49" i="29"/>
  <c r="P90" i="22" s="1"/>
  <c r="P21" i="29"/>
  <c r="O74" i="29"/>
  <c r="O50" i="22" s="1"/>
  <c r="O40" i="29"/>
  <c r="O56" i="29"/>
  <c r="N83" i="29"/>
  <c r="P78" i="29"/>
  <c r="N46" i="29"/>
  <c r="P83" i="29"/>
  <c r="P65" i="29"/>
  <c r="O67" i="29"/>
  <c r="O82" i="29"/>
  <c r="O39" i="29"/>
  <c r="O16" i="29"/>
  <c r="M239" i="34" s="1"/>
  <c r="N26" i="29"/>
  <c r="L249" i="34" s="1"/>
  <c r="P46" i="29"/>
  <c r="N57" i="29"/>
  <c r="P17" i="29"/>
  <c r="N240" i="34" s="1"/>
  <c r="N84" i="29"/>
  <c r="N56" i="22" s="1"/>
  <c r="N23" i="29"/>
  <c r="L246" i="34" s="1"/>
  <c r="O57" i="29"/>
  <c r="N74" i="29"/>
  <c r="N50" i="22" s="1"/>
  <c r="P45" i="29"/>
  <c r="N41" i="29"/>
  <c r="P84" i="29"/>
  <c r="P56" i="22" s="1"/>
  <c r="N21" i="29"/>
  <c r="P38" i="29"/>
  <c r="O38" i="29"/>
  <c r="O60" i="29"/>
  <c r="N76" i="29"/>
  <c r="P66" i="29"/>
  <c r="O46" i="29"/>
  <c r="P24" i="29"/>
  <c r="N247" i="34" s="1"/>
  <c r="P41" i="29"/>
  <c r="O47" i="29"/>
  <c r="O57" i="22" s="1"/>
  <c r="P58" i="29"/>
  <c r="O22" i="29"/>
  <c r="O66" i="22" s="1"/>
  <c r="O83" i="29"/>
  <c r="P75" i="29"/>
  <c r="P51" i="22" s="1"/>
  <c r="P16" i="29"/>
  <c r="N239" i="34" s="1"/>
  <c r="O31" i="29"/>
  <c r="O20" i="29"/>
  <c r="M243" i="34" s="1"/>
  <c r="P47" i="29"/>
  <c r="P57" i="22" s="1"/>
  <c r="P57" i="29"/>
  <c r="O49" i="29"/>
  <c r="O90" i="22" s="1"/>
  <c r="O77" i="29"/>
  <c r="P59" i="29"/>
  <c r="P40" i="29"/>
  <c r="P31" i="29"/>
  <c r="P22" i="29"/>
  <c r="P66" i="22" s="1"/>
  <c r="N40" i="29"/>
  <c r="O58" i="29"/>
  <c r="P48" i="29"/>
  <c r="O23" i="29"/>
  <c r="M246" i="34" s="1"/>
  <c r="P26" i="29"/>
  <c r="N249" i="34" s="1"/>
  <c r="P82" i="29"/>
  <c r="N67" i="29"/>
  <c r="O41" i="29"/>
  <c r="P23" i="29"/>
  <c r="N246" i="34" s="1"/>
  <c r="P39" i="29"/>
  <c r="P74" i="29"/>
  <c r="P50" i="22" s="1"/>
  <c r="O66" i="29"/>
  <c r="O45" i="29"/>
  <c r="N75" i="29"/>
  <c r="N51" i="22" s="1"/>
  <c r="O59" i="29"/>
  <c r="P56" i="29"/>
  <c r="N60" i="29"/>
  <c r="O48" i="29"/>
  <c r="P20" i="29"/>
  <c r="N243" i="34" s="1"/>
  <c r="N47" i="29"/>
  <c r="N57" i="22" s="1"/>
  <c r="O84" i="29"/>
  <c r="O56" i="22" s="1"/>
  <c r="O64" i="29"/>
  <c r="O24" i="29"/>
  <c r="M247" i="34" s="1"/>
  <c r="O12" i="29"/>
  <c r="O78" i="29"/>
  <c r="P60" i="29"/>
  <c r="P76" i="29"/>
  <c r="O75" i="29"/>
  <c r="O51" i="22" s="1"/>
  <c r="N31" i="29"/>
  <c r="P64" i="29"/>
  <c r="O21" i="29"/>
  <c r="P12" i="29"/>
  <c r="P77" i="29"/>
  <c r="O26" i="29"/>
  <c r="M249" i="34" s="1"/>
  <c r="O13" i="29"/>
  <c r="M236" i="34" s="1"/>
  <c r="O76" i="29"/>
  <c r="O65" i="29"/>
  <c r="O17" i="29"/>
  <c r="M240" i="34" s="1"/>
  <c r="N66" i="29"/>
  <c r="P13" i="29"/>
  <c r="N236" i="34" s="1"/>
  <c r="Q39" i="29"/>
  <c r="Q76" i="29"/>
  <c r="Q41" i="29"/>
  <c r="Q64" i="29"/>
  <c r="R24" i="29"/>
  <c r="P247" i="34" s="1"/>
  <c r="Q23" i="29"/>
  <c r="O246" i="34" s="1"/>
  <c r="R83" i="29"/>
  <c r="Q46" i="29"/>
  <c r="Q12" i="29"/>
  <c r="R46" i="29"/>
  <c r="Q57" i="29"/>
  <c r="Q13" i="29"/>
  <c r="O236" i="34" s="1"/>
  <c r="Q47" i="29"/>
  <c r="Q57" i="22" s="1"/>
  <c r="Q49" i="29"/>
  <c r="Q90" i="22" s="1"/>
  <c r="Q24" i="29"/>
  <c r="O247" i="34" s="1"/>
  <c r="Q21" i="29"/>
  <c r="Q38" i="29"/>
  <c r="Q31" i="29"/>
  <c r="Q26" i="29"/>
  <c r="O249" i="34" s="1"/>
  <c r="R31" i="29"/>
  <c r="R65" i="29"/>
  <c r="R20" i="29"/>
  <c r="P243" i="34" s="1"/>
  <c r="Q60" i="29"/>
  <c r="Q17" i="29"/>
  <c r="O240" i="34" s="1"/>
  <c r="R16" i="29"/>
  <c r="P239" i="34" s="1"/>
  <c r="R22" i="29"/>
  <c r="R66" i="22" s="1"/>
  <c r="Q16" i="29"/>
  <c r="O239" i="34" s="1"/>
  <c r="Q58" i="29"/>
  <c r="R21" i="29"/>
  <c r="Q67" i="29"/>
  <c r="Q84" i="29"/>
  <c r="Q56" i="22" s="1"/>
  <c r="Q83" i="29"/>
  <c r="Q45" i="29"/>
  <c r="Q48" i="29"/>
  <c r="Q77" i="29"/>
  <c r="R17" i="29"/>
  <c r="P240" i="34" s="1"/>
  <c r="R45" i="29"/>
  <c r="Q75" i="29"/>
  <c r="Q51" i="22" s="1"/>
  <c r="T58" i="29"/>
  <c r="Q40" i="29"/>
  <c r="Q59" i="29"/>
  <c r="Q74" i="29"/>
  <c r="Q50" i="22" s="1"/>
  <c r="R56" i="29"/>
  <c r="Q20" i="29"/>
  <c r="O243" i="34" s="1"/>
  <c r="Q22" i="29"/>
  <c r="Q66" i="22" s="1"/>
  <c r="R76" i="29"/>
  <c r="R12" i="29"/>
  <c r="R58" i="29"/>
  <c r="Q65" i="29"/>
  <c r="Q66" i="29"/>
  <c r="R23" i="29"/>
  <c r="P246" i="34" s="1"/>
  <c r="R47" i="29"/>
  <c r="R57" i="22" s="1"/>
  <c r="Q82" i="29"/>
  <c r="Q78" i="29"/>
  <c r="R40" i="29"/>
  <c r="Q56" i="29"/>
  <c r="R75" i="29"/>
  <c r="R51" i="22" s="1"/>
  <c r="R59" i="29"/>
  <c r="S23" i="29"/>
  <c r="Q246" i="34" s="1"/>
  <c r="T47" i="29"/>
  <c r="T57" i="22" s="1"/>
  <c r="S20" i="29"/>
  <c r="Q243" i="34" s="1"/>
  <c r="R41" i="29"/>
  <c r="R78" i="29"/>
  <c r="T21" i="29"/>
  <c r="R38" i="29"/>
  <c r="S22" i="29"/>
  <c r="S66" i="22" s="1"/>
  <c r="T74" i="29"/>
  <c r="T50" i="22" s="1"/>
  <c r="T66" i="29"/>
  <c r="T48" i="29"/>
  <c r="S66" i="29"/>
  <c r="R48" i="29"/>
  <c r="T56" i="29"/>
  <c r="S67" i="29"/>
  <c r="S39" i="29"/>
  <c r="T75" i="29"/>
  <c r="T51" i="22" s="1"/>
  <c r="T41" i="29"/>
  <c r="S74" i="29"/>
  <c r="S50" i="22" s="1"/>
  <c r="S64" i="29"/>
  <c r="S38" i="29"/>
  <c r="S48" i="29"/>
  <c r="S24" i="29"/>
  <c r="Q247" i="34" s="1"/>
  <c r="S41" i="29"/>
  <c r="R67" i="29"/>
  <c r="S46" i="29"/>
  <c r="R13" i="29"/>
  <c r="P236" i="34" s="1"/>
  <c r="T45" i="29"/>
  <c r="S83" i="29"/>
  <c r="S16" i="29"/>
  <c r="Q239" i="34" s="1"/>
  <c r="S82" i="29"/>
  <c r="S78" i="29"/>
  <c r="S49" i="29"/>
  <c r="S90" i="22" s="1"/>
  <c r="S40" i="29"/>
  <c r="S77" i="29"/>
  <c r="S57" i="29"/>
  <c r="R49" i="29"/>
  <c r="R90" i="22" s="1"/>
  <c r="R77" i="29"/>
  <c r="R84" i="29"/>
  <c r="R56" i="22" s="1"/>
  <c r="R74" i="29"/>
  <c r="R50" i="22" s="1"/>
  <c r="R26" i="29"/>
  <c r="P249" i="34" s="1"/>
  <c r="S26" i="29"/>
  <c r="Q249" i="34" s="1"/>
  <c r="S84" i="29"/>
  <c r="S56" i="22" s="1"/>
  <c r="S75" i="29"/>
  <c r="S51" i="22" s="1"/>
  <c r="S60" i="29"/>
  <c r="S58" i="29"/>
  <c r="S17" i="29"/>
  <c r="Q240" i="34" s="1"/>
  <c r="T17" i="29"/>
  <c r="R240" i="34" s="1"/>
  <c r="T84" i="29"/>
  <c r="T56" i="22" s="1"/>
  <c r="S47" i="29"/>
  <c r="S57" i="22" s="1"/>
  <c r="S45" i="29"/>
  <c r="T60" i="29"/>
  <c r="T49" i="29"/>
  <c r="T90" i="22" s="1"/>
  <c r="S13" i="29"/>
  <c r="Q236" i="34" s="1"/>
  <c r="R82" i="29"/>
  <c r="T12" i="29"/>
  <c r="R64" i="29"/>
  <c r="R60" i="29"/>
  <c r="R57" i="29"/>
  <c r="S65" i="29"/>
  <c r="T16" i="29"/>
  <c r="R239" i="34" s="1"/>
  <c r="S76" i="29"/>
  <c r="R66" i="29"/>
  <c r="S21" i="29"/>
  <c r="T46" i="29"/>
  <c r="R39" i="29"/>
  <c r="S12" i="29"/>
  <c r="S59" i="29"/>
  <c r="T82" i="29"/>
  <c r="S31" i="29"/>
  <c r="S56" i="29"/>
  <c r="T67" i="29"/>
  <c r="T76" i="29"/>
  <c r="T31" i="29"/>
  <c r="T24" i="29"/>
  <c r="R247" i="34" s="1"/>
  <c r="T57" i="29"/>
  <c r="T22" i="29"/>
  <c r="T66" i="22" s="1"/>
  <c r="T78" i="29"/>
  <c r="T59" i="29"/>
  <c r="T77" i="29"/>
  <c r="T13" i="29"/>
  <c r="R236" i="34" s="1"/>
  <c r="T39" i="29"/>
  <c r="T83" i="29"/>
  <c r="T65" i="29"/>
  <c r="T64" i="29"/>
  <c r="T40" i="29"/>
  <c r="T26" i="29"/>
  <c r="R249" i="34" s="1"/>
  <c r="T23" i="29"/>
  <c r="R246" i="34" s="1"/>
  <c r="T38" i="29"/>
  <c r="T20" i="29"/>
  <c r="R243" i="34" s="1"/>
  <c r="S142" i="29"/>
  <c r="R86" i="34"/>
  <c r="BM40" i="16"/>
  <c r="S107" i="29"/>
  <c r="Q86" i="34"/>
  <c r="BM54" i="16"/>
  <c r="D107" i="11" s="1"/>
  <c r="S134" i="29"/>
  <c r="R97" i="34"/>
  <c r="AF18" i="22" l="1"/>
  <c r="AB18" i="22"/>
  <c r="AU18" i="22"/>
  <c r="AX18" i="22"/>
  <c r="BB18" i="22"/>
  <c r="BK18" i="22"/>
  <c r="BA18" i="22"/>
  <c r="AQ18" i="22"/>
  <c r="BI18" i="22"/>
  <c r="N18" i="22"/>
  <c r="J18" i="22"/>
  <c r="BD18" i="22"/>
  <c r="H18" i="22"/>
  <c r="AW18" i="22"/>
  <c r="E18" i="22"/>
  <c r="I49" i="22"/>
  <c r="L33" i="22"/>
  <c r="L43" i="22"/>
  <c r="Q18" i="22"/>
  <c r="O18" i="22"/>
  <c r="AN18" i="22"/>
  <c r="Y18" i="22"/>
  <c r="U18" i="22"/>
  <c r="AL18" i="22"/>
  <c r="M33" i="22"/>
  <c r="M43" i="22"/>
  <c r="R18" i="22"/>
  <c r="BF18" i="22"/>
  <c r="BE18" i="22"/>
  <c r="X18" i="22"/>
  <c r="Q49" i="22"/>
  <c r="P49" i="22"/>
  <c r="O33" i="22"/>
  <c r="O43" i="22"/>
  <c r="M18" i="22"/>
  <c r="W18" i="22"/>
  <c r="AE18" i="22"/>
  <c r="S49" i="22"/>
  <c r="T49" i="22"/>
  <c r="H33" i="22"/>
  <c r="H43" i="22"/>
  <c r="G18" i="22"/>
  <c r="BC18" i="22"/>
  <c r="BH18" i="22"/>
  <c r="L49" i="22"/>
  <c r="H49" i="22"/>
  <c r="F33" i="22"/>
  <c r="F43" i="22"/>
  <c r="G33" i="22"/>
  <c r="G43" i="22"/>
  <c r="BJ18" i="22"/>
  <c r="AH18" i="22"/>
  <c r="AJ18" i="22"/>
  <c r="AY18" i="22"/>
  <c r="BG18" i="22"/>
  <c r="Z18" i="22"/>
  <c r="J49" i="22"/>
  <c r="T33" i="22"/>
  <c r="T43" i="22"/>
  <c r="K33" i="22"/>
  <c r="K43" i="22"/>
  <c r="P18" i="22"/>
  <c r="K18" i="22"/>
  <c r="I18" i="22"/>
  <c r="AA18" i="22"/>
  <c r="K49" i="22"/>
  <c r="R33" i="22"/>
  <c r="R43" i="22"/>
  <c r="I33" i="22"/>
  <c r="I43" i="22"/>
  <c r="T18" i="22"/>
  <c r="AD18" i="22"/>
  <c r="AI18" i="22"/>
  <c r="AR18" i="22"/>
  <c r="BM18" i="22"/>
  <c r="AC18" i="22"/>
  <c r="Q33" i="22"/>
  <c r="Q43" i="22"/>
  <c r="S18" i="22"/>
  <c r="L18" i="22"/>
  <c r="AS18" i="22"/>
  <c r="AT18" i="22"/>
  <c r="P33" i="22"/>
  <c r="P43" i="22"/>
  <c r="I34" i="31"/>
  <c r="I35" i="31" s="1"/>
  <c r="AV18" i="22"/>
  <c r="AP18" i="22"/>
  <c r="M49" i="22"/>
  <c r="S33" i="22"/>
  <c r="S43" i="22"/>
  <c r="AZ18" i="22"/>
  <c r="AG18" i="22"/>
  <c r="S81" i="22"/>
  <c r="S76" i="22"/>
  <c r="O49" i="22"/>
  <c r="G49" i="22"/>
  <c r="N33" i="22"/>
  <c r="N43" i="22"/>
  <c r="J34" i="31"/>
  <c r="J35" i="31" s="1"/>
  <c r="BL18" i="22"/>
  <c r="AM18" i="22"/>
  <c r="AK18" i="22"/>
  <c r="R49" i="22"/>
  <c r="N49" i="22"/>
  <c r="J33" i="22"/>
  <c r="J43" i="22"/>
  <c r="H34" i="31"/>
  <c r="H35" i="31" s="1"/>
  <c r="F18" i="22"/>
  <c r="AO18" i="22"/>
  <c r="V18" i="22"/>
  <c r="G31" i="31"/>
  <c r="G35" i="31"/>
  <c r="L31" i="31"/>
  <c r="K31" i="31"/>
  <c r="K35" i="31"/>
  <c r="E70" i="22"/>
  <c r="F83" i="31"/>
  <c r="J31" i="31"/>
  <c r="I31" i="31"/>
  <c r="H31" i="31"/>
  <c r="BM59" i="11"/>
  <c r="D59" i="11" s="1"/>
  <c r="O245" i="34"/>
  <c r="Q70" i="22"/>
  <c r="L245" i="34"/>
  <c r="N70" i="22"/>
  <c r="J245" i="34"/>
  <c r="L70" i="22"/>
  <c r="E244" i="34"/>
  <c r="N245" i="34"/>
  <c r="P70" i="22"/>
  <c r="L244" i="34"/>
  <c r="N244" i="34"/>
  <c r="D245" i="34"/>
  <c r="M245" i="34"/>
  <c r="O70" i="22"/>
  <c r="K245" i="34"/>
  <c r="M70" i="22"/>
  <c r="F245" i="34"/>
  <c r="E245" i="34"/>
  <c r="Q245" i="34"/>
  <c r="S70" i="22"/>
  <c r="H245" i="34"/>
  <c r="P244" i="34"/>
  <c r="H244" i="34"/>
  <c r="R244" i="34"/>
  <c r="O244" i="34"/>
  <c r="K244" i="34"/>
  <c r="G244" i="34"/>
  <c r="R245" i="34"/>
  <c r="T70" i="22"/>
  <c r="M244" i="34"/>
  <c r="Q244" i="34"/>
  <c r="P245" i="34"/>
  <c r="R70" i="22"/>
  <c r="J244" i="34"/>
  <c r="I245" i="34"/>
  <c r="K70" i="22"/>
  <c r="G245" i="34"/>
  <c r="D244" i="34"/>
  <c r="F244" i="34"/>
  <c r="I244" i="34"/>
  <c r="T88" i="22"/>
  <c r="BM93" i="11"/>
  <c r="D94" i="11"/>
  <c r="G22" i="31"/>
  <c r="D22" i="31" s="1"/>
  <c r="E251" i="4"/>
  <c r="BM170" i="11"/>
  <c r="P33" i="29"/>
  <c r="K33" i="29"/>
  <c r="G33" i="29"/>
  <c r="J33" i="29"/>
  <c r="L33" i="29"/>
  <c r="F33" i="29"/>
  <c r="H33" i="29"/>
  <c r="N33" i="29"/>
  <c r="S33" i="29"/>
  <c r="Q33" i="29"/>
  <c r="I33" i="29"/>
  <c r="O33" i="29"/>
  <c r="R33" i="29"/>
  <c r="T33" i="29"/>
  <c r="M33" i="29"/>
  <c r="C234" i="34"/>
  <c r="D234" i="34"/>
  <c r="G234" i="34"/>
  <c r="I234" i="34"/>
  <c r="F234" i="34"/>
  <c r="H234" i="34"/>
  <c r="E234" i="34"/>
  <c r="T142" i="29"/>
  <c r="N234" i="34"/>
  <c r="Q234" i="34"/>
  <c r="M234" i="34"/>
  <c r="P234" i="34"/>
  <c r="L234" i="34"/>
  <c r="K234" i="34"/>
  <c r="J234" i="34"/>
  <c r="R234" i="34"/>
  <c r="O234" i="34"/>
  <c r="K54" i="34"/>
  <c r="M54" i="34"/>
  <c r="L54" i="34"/>
  <c r="I54" i="34"/>
  <c r="H54" i="34"/>
  <c r="F54" i="34"/>
  <c r="G54" i="34"/>
  <c r="J54" i="34"/>
  <c r="N54" i="34"/>
  <c r="D205" i="34"/>
  <c r="E205" i="34" s="1"/>
  <c r="F205" i="34" s="1"/>
  <c r="G205" i="34" s="1"/>
  <c r="H205" i="34" s="1"/>
  <c r="I205" i="34" s="1"/>
  <c r="J205" i="34" s="1"/>
  <c r="K205" i="34" s="1"/>
  <c r="L205" i="34" s="1"/>
  <c r="M205" i="34" s="1"/>
  <c r="N205" i="34" s="1"/>
  <c r="O205" i="34" s="1"/>
  <c r="P205" i="34" s="1"/>
  <c r="Q205" i="34" s="1"/>
  <c r="R205" i="34" s="1"/>
  <c r="S205" i="34" s="1"/>
  <c r="T205" i="34" s="1"/>
  <c r="U205" i="34" s="1"/>
  <c r="V205" i="34" s="1"/>
  <c r="W205" i="34" s="1"/>
  <c r="X205" i="34" s="1"/>
  <c r="Y205" i="34" s="1"/>
  <c r="Z205" i="34" s="1"/>
  <c r="AA205" i="34" s="1"/>
  <c r="AB205" i="34" s="1"/>
  <c r="AC205" i="34" s="1"/>
  <c r="AD205" i="34" s="1"/>
  <c r="AE205" i="34" s="1"/>
  <c r="AF205" i="34" s="1"/>
  <c r="AG205" i="34" s="1"/>
  <c r="AH205" i="34" s="1"/>
  <c r="AI205" i="34" s="1"/>
  <c r="AJ205" i="34" s="1"/>
  <c r="AK205" i="34" s="1"/>
  <c r="AL205" i="34" s="1"/>
  <c r="AM205" i="34" s="1"/>
  <c r="AN205" i="34" s="1"/>
  <c r="AO205" i="34" s="1"/>
  <c r="AP205" i="34" s="1"/>
  <c r="AQ205" i="34" s="1"/>
  <c r="AR205" i="34" s="1"/>
  <c r="AS205" i="34" s="1"/>
  <c r="AT205" i="34" s="1"/>
  <c r="AU205" i="34" s="1"/>
  <c r="AV205" i="34" s="1"/>
  <c r="AW205" i="34" s="1"/>
  <c r="AX205" i="34" s="1"/>
  <c r="AY205" i="34" s="1"/>
  <c r="AZ205" i="34" s="1"/>
  <c r="BA205" i="34" s="1"/>
  <c r="BB205" i="34" s="1"/>
  <c r="BC205" i="34" s="1"/>
  <c r="BD205" i="34" s="1"/>
  <c r="BE205" i="34" s="1"/>
  <c r="BF205" i="34" s="1"/>
  <c r="BG205" i="34" s="1"/>
  <c r="BH205" i="34" s="1"/>
  <c r="BI205" i="34" s="1"/>
  <c r="BJ205" i="34" s="1"/>
  <c r="S167" i="34"/>
  <c r="S163" i="34"/>
  <c r="BK200" i="34"/>
  <c r="S152" i="34"/>
  <c r="S156" i="34"/>
  <c r="S155" i="34"/>
  <c r="S161" i="34"/>
  <c r="S166" i="34"/>
  <c r="S165" i="34"/>
  <c r="S168" i="34"/>
  <c r="S154" i="34"/>
  <c r="S162" i="34"/>
  <c r="S160" i="34"/>
  <c r="S170" i="34"/>
  <c r="S164" i="34"/>
  <c r="S159" i="34"/>
  <c r="S158" i="34"/>
  <c r="S171" i="34"/>
  <c r="S169" i="34"/>
  <c r="S157" i="34"/>
  <c r="S153" i="34"/>
  <c r="G23" i="31"/>
  <c r="D23" i="31" s="1"/>
  <c r="E252" i="4"/>
  <c r="N14" i="29"/>
  <c r="K42" i="29"/>
  <c r="O14" i="29"/>
  <c r="H42" i="29"/>
  <c r="J79" i="29"/>
  <c r="R79" i="29"/>
  <c r="Q42" i="29"/>
  <c r="N79" i="29"/>
  <c r="N42" i="29"/>
  <c r="Q79" i="29"/>
  <c r="J50" i="29"/>
  <c r="R50" i="29"/>
  <c r="Q14" i="29"/>
  <c r="D84" i="29"/>
  <c r="P14" i="29"/>
  <c r="I85" i="29"/>
  <c r="D47" i="29"/>
  <c r="D57" i="29"/>
  <c r="R61" i="29"/>
  <c r="P61" i="29"/>
  <c r="L61" i="29"/>
  <c r="D65" i="29"/>
  <c r="D66" i="29"/>
  <c r="K79" i="29"/>
  <c r="I50" i="29"/>
  <c r="G14" i="29"/>
  <c r="H32" i="31" s="1"/>
  <c r="H33" i="31" s="1"/>
  <c r="H85" i="29"/>
  <c r="G42" i="29"/>
  <c r="D21" i="29"/>
  <c r="D58" i="29"/>
  <c r="D78" i="29"/>
  <c r="S61" i="29"/>
  <c r="L14" i="29"/>
  <c r="K14" i="29"/>
  <c r="L50" i="29"/>
  <c r="D83" i="29"/>
  <c r="D77" i="29"/>
  <c r="H50" i="29"/>
  <c r="G50" i="29"/>
  <c r="D45" i="29"/>
  <c r="G85" i="29"/>
  <c r="D40" i="29"/>
  <c r="T42" i="29"/>
  <c r="S50" i="29"/>
  <c r="T50" i="29"/>
  <c r="S42" i="29"/>
  <c r="T79" i="29"/>
  <c r="O85" i="29"/>
  <c r="O61" i="29"/>
  <c r="N85" i="29"/>
  <c r="N50" i="29"/>
  <c r="G79" i="29"/>
  <c r="G61" i="29"/>
  <c r="D49" i="29"/>
  <c r="D31" i="29"/>
  <c r="D24" i="29"/>
  <c r="D23" i="29"/>
  <c r="D13" i="29"/>
  <c r="E38" i="34"/>
  <c r="M85" i="29"/>
  <c r="H14" i="29"/>
  <c r="I32" i="31" s="1"/>
  <c r="I33" i="31" s="1"/>
  <c r="I61" i="29"/>
  <c r="S144" i="29"/>
  <c r="T85" i="29"/>
  <c r="Q85" i="29"/>
  <c r="M50" i="29"/>
  <c r="J14" i="29"/>
  <c r="K32" i="31" s="1"/>
  <c r="K33" i="31" s="1"/>
  <c r="J61" i="29"/>
  <c r="D82" i="29"/>
  <c r="E85" i="29"/>
  <c r="D17" i="29"/>
  <c r="S14" i="29"/>
  <c r="O38" i="34"/>
  <c r="R14" i="29"/>
  <c r="Q50" i="29"/>
  <c r="O50" i="29"/>
  <c r="L42" i="29"/>
  <c r="M42" i="29"/>
  <c r="H61" i="29"/>
  <c r="C38" i="34"/>
  <c r="D22" i="29"/>
  <c r="F42" i="29"/>
  <c r="F52" i="29" s="1"/>
  <c r="D12" i="29"/>
  <c r="E14" i="29"/>
  <c r="F32" i="31" s="1"/>
  <c r="F33" i="31" s="1"/>
  <c r="D74" i="29"/>
  <c r="E79" i="29"/>
  <c r="D75" i="29"/>
  <c r="J38" i="34"/>
  <c r="T14" i="29"/>
  <c r="R42" i="29"/>
  <c r="K85" i="29"/>
  <c r="K61" i="29"/>
  <c r="D59" i="29"/>
  <c r="R85" i="29"/>
  <c r="N38" i="34"/>
  <c r="P79" i="29"/>
  <c r="O42" i="29"/>
  <c r="P50" i="29"/>
  <c r="M14" i="29"/>
  <c r="J42" i="29"/>
  <c r="D48" i="29"/>
  <c r="D46" i="29"/>
  <c r="D41" i="29"/>
  <c r="F79" i="29"/>
  <c r="D38" i="29"/>
  <c r="E42" i="29"/>
  <c r="E52" i="29" s="1"/>
  <c r="D16" i="29"/>
  <c r="D64" i="29"/>
  <c r="H38" i="34"/>
  <c r="Q38" i="34"/>
  <c r="S79" i="29"/>
  <c r="T61" i="29"/>
  <c r="M38" i="34"/>
  <c r="L85" i="29"/>
  <c r="K50" i="29"/>
  <c r="I79" i="29"/>
  <c r="D60" i="29"/>
  <c r="D56" i="29"/>
  <c r="E61" i="29"/>
  <c r="D20" i="29"/>
  <c r="F61" i="29"/>
  <c r="F14" i="29"/>
  <c r="G32" i="31" s="1"/>
  <c r="G33" i="31" s="1"/>
  <c r="L38" i="34"/>
  <c r="S85" i="29"/>
  <c r="BM55" i="16"/>
  <c r="P38" i="34"/>
  <c r="Q61" i="29"/>
  <c r="P85" i="29"/>
  <c r="P42" i="29"/>
  <c r="O79" i="29"/>
  <c r="N61" i="29"/>
  <c r="M61" i="29"/>
  <c r="M79" i="29"/>
  <c r="L79" i="29"/>
  <c r="J85" i="29"/>
  <c r="I14" i="29"/>
  <c r="J32" i="31" s="1"/>
  <c r="J33" i="31" s="1"/>
  <c r="I42" i="29"/>
  <c r="H79" i="29"/>
  <c r="D26" i="29"/>
  <c r="F85" i="29"/>
  <c r="D76" i="29"/>
  <c r="D67" i="29"/>
  <c r="D39" i="29"/>
  <c r="F44" i="31" l="1"/>
  <c r="E47" i="22"/>
  <c r="G44" i="31"/>
  <c r="F47" i="22"/>
  <c r="T144" i="29"/>
  <c r="T81" i="22"/>
  <c r="T76" i="22"/>
  <c r="G70" i="22"/>
  <c r="H83" i="31"/>
  <c r="I70" i="22"/>
  <c r="J83" i="31"/>
  <c r="H70" i="22"/>
  <c r="I83" i="31"/>
  <c r="J70" i="22"/>
  <c r="K83" i="31"/>
  <c r="F70" i="22"/>
  <c r="G83" i="31"/>
  <c r="D119" i="11" a="1"/>
  <c r="D119" i="11" s="1"/>
  <c r="G25" i="21" s="1"/>
  <c r="D93" i="11"/>
  <c r="D237" i="34"/>
  <c r="D238" i="34" s="1"/>
  <c r="P237" i="34"/>
  <c r="P238" i="34" s="1"/>
  <c r="R237" i="34"/>
  <c r="R238" i="34" s="1"/>
  <c r="O237" i="34"/>
  <c r="O238" i="34" s="1"/>
  <c r="L237" i="34"/>
  <c r="L238" i="34" s="1"/>
  <c r="Q237" i="34"/>
  <c r="Q238" i="34" s="1"/>
  <c r="K237" i="34"/>
  <c r="K238" i="34" s="1"/>
  <c r="E237" i="34"/>
  <c r="E238" i="34" s="1"/>
  <c r="E15" i="29"/>
  <c r="E18" i="29" s="1"/>
  <c r="I237" i="34"/>
  <c r="I238" i="34" s="1"/>
  <c r="J237" i="34"/>
  <c r="J238" i="34" s="1"/>
  <c r="M237" i="34"/>
  <c r="M238" i="34" s="1"/>
  <c r="H237" i="34"/>
  <c r="H238" i="34" s="1"/>
  <c r="G237" i="34"/>
  <c r="G238" i="34" s="1"/>
  <c r="F237" i="34"/>
  <c r="F238" i="34" s="1"/>
  <c r="N237" i="34"/>
  <c r="N238" i="34" s="1"/>
  <c r="M15" i="29"/>
  <c r="M18" i="29" s="1"/>
  <c r="M19" i="29" s="1"/>
  <c r="O15" i="29"/>
  <c r="O18" i="29" s="1"/>
  <c r="O19" i="29" s="1"/>
  <c r="J15" i="29"/>
  <c r="J18" i="29" s="1"/>
  <c r="J19" i="29" s="1"/>
  <c r="H15" i="29"/>
  <c r="H18" i="29" s="1"/>
  <c r="H19" i="29" s="1"/>
  <c r="L15" i="29"/>
  <c r="L18" i="29" s="1"/>
  <c r="L19" i="29" s="1"/>
  <c r="S15" i="29"/>
  <c r="S18" i="29" s="1"/>
  <c r="S19" i="29" s="1"/>
  <c r="T15" i="29"/>
  <c r="T18" i="29" s="1"/>
  <c r="T19" i="29" s="1"/>
  <c r="K15" i="29"/>
  <c r="K18" i="29" s="1"/>
  <c r="K19" i="29" s="1"/>
  <c r="P15" i="29"/>
  <c r="P18" i="29" s="1"/>
  <c r="P19" i="29" s="1"/>
  <c r="N15" i="29"/>
  <c r="N18" i="29" s="1"/>
  <c r="N19" i="29" s="1"/>
  <c r="G15" i="29"/>
  <c r="G18" i="29" s="1"/>
  <c r="G19" i="29" s="1"/>
  <c r="I15" i="29"/>
  <c r="I18" i="29" s="1"/>
  <c r="I19" i="29" s="1"/>
  <c r="Q15" i="29"/>
  <c r="Q18" i="29" s="1"/>
  <c r="Q19" i="29" s="1"/>
  <c r="R15" i="29"/>
  <c r="R18" i="29" s="1"/>
  <c r="R19" i="29" s="1"/>
  <c r="F15" i="29"/>
  <c r="F18" i="29" s="1"/>
  <c r="F19" i="29" s="1"/>
  <c r="E235" i="34"/>
  <c r="G235" i="34"/>
  <c r="H235" i="34"/>
  <c r="F235" i="34"/>
  <c r="I235" i="34"/>
  <c r="J235" i="34"/>
  <c r="O235" i="34"/>
  <c r="C237" i="34"/>
  <c r="C64" i="34"/>
  <c r="R235" i="34"/>
  <c r="P235" i="34"/>
  <c r="M235" i="34"/>
  <c r="K235" i="34"/>
  <c r="Q235" i="34"/>
  <c r="L235" i="34"/>
  <c r="N235" i="34"/>
  <c r="BK205" i="34"/>
  <c r="K38" i="34"/>
  <c r="D38" i="34"/>
  <c r="G38" i="34"/>
  <c r="I38" i="34"/>
  <c r="F38" i="34"/>
  <c r="R38" i="34"/>
  <c r="F6" i="34"/>
  <c r="F64" i="34"/>
  <c r="N6" i="34"/>
  <c r="N64" i="34"/>
  <c r="E6" i="34"/>
  <c r="E64" i="34"/>
  <c r="I6" i="34"/>
  <c r="I64" i="34"/>
  <c r="H6" i="34"/>
  <c r="H64" i="34"/>
  <c r="O6" i="34"/>
  <c r="O64" i="34"/>
  <c r="K6" i="34"/>
  <c r="K64" i="34"/>
  <c r="G6" i="34"/>
  <c r="G64" i="34"/>
  <c r="J6" i="34"/>
  <c r="J64" i="34"/>
  <c r="D6" i="34"/>
  <c r="D64" i="34"/>
  <c r="P6" i="34"/>
  <c r="P64" i="34"/>
  <c r="R87" i="29"/>
  <c r="D14" i="29"/>
  <c r="J52" i="29"/>
  <c r="H52" i="29"/>
  <c r="K52" i="29"/>
  <c r="K47" i="22" s="1"/>
  <c r="Q87" i="29"/>
  <c r="N52" i="29"/>
  <c r="N47" i="22" s="1"/>
  <c r="O52" i="29"/>
  <c r="O47" i="22" s="1"/>
  <c r="D85" i="29"/>
  <c r="J87" i="29"/>
  <c r="K46" i="31" s="1"/>
  <c r="R52" i="29"/>
  <c r="R47" i="22" s="1"/>
  <c r="L52" i="29"/>
  <c r="L47" i="22" s="1"/>
  <c r="L87" i="29"/>
  <c r="N87" i="29"/>
  <c r="Q52" i="29"/>
  <c r="Q47" i="22" s="1"/>
  <c r="O87" i="29"/>
  <c r="T87" i="29"/>
  <c r="S87" i="29"/>
  <c r="E87" i="29"/>
  <c r="F46" i="31" s="1"/>
  <c r="M52" i="29"/>
  <c r="M47" i="22" s="1"/>
  <c r="H87" i="29"/>
  <c r="I46" i="31" s="1"/>
  <c r="M87" i="29"/>
  <c r="D79" i="29"/>
  <c r="D61" i="29"/>
  <c r="D68" i="29"/>
  <c r="I52" i="29"/>
  <c r="P52" i="29"/>
  <c r="P47" i="22" s="1"/>
  <c r="G87" i="29"/>
  <c r="H46" i="31" s="1"/>
  <c r="S52" i="29"/>
  <c r="S47" i="22" s="1"/>
  <c r="D50" i="29"/>
  <c r="K87" i="29"/>
  <c r="D42" i="29"/>
  <c r="G52" i="29"/>
  <c r="I87" i="29"/>
  <c r="J46" i="31" s="1"/>
  <c r="F87" i="29"/>
  <c r="G46" i="31" s="1"/>
  <c r="P87" i="29"/>
  <c r="T52" i="29"/>
  <c r="T47" i="22" s="1"/>
  <c r="H44" i="31" l="1"/>
  <c r="G47" i="22"/>
  <c r="I44" i="31"/>
  <c r="H47" i="22"/>
  <c r="K44" i="31"/>
  <c r="J47" i="22"/>
  <c r="J44" i="31"/>
  <c r="I47" i="22"/>
  <c r="L241" i="34"/>
  <c r="L242" i="34" s="1"/>
  <c r="N25" i="29"/>
  <c r="N63" i="22" s="1"/>
  <c r="I241" i="34"/>
  <c r="I242" i="34" s="1"/>
  <c r="K25" i="29"/>
  <c r="K63" i="22" s="1"/>
  <c r="R241" i="34"/>
  <c r="R242" i="34" s="1"/>
  <c r="T25" i="29"/>
  <c r="T63" i="22" s="1"/>
  <c r="N241" i="34"/>
  <c r="N242" i="34" s="1"/>
  <c r="P25" i="29"/>
  <c r="P63" i="22" s="1"/>
  <c r="F241" i="34"/>
  <c r="F242" i="34" s="1"/>
  <c r="H25" i="29"/>
  <c r="H63" i="22" s="1"/>
  <c r="G241" i="34"/>
  <c r="G242" i="34" s="1"/>
  <c r="I25" i="29"/>
  <c r="I63" i="22" s="1"/>
  <c r="O241" i="34"/>
  <c r="O242" i="34" s="1"/>
  <c r="Q25" i="29"/>
  <c r="Q63" i="22" s="1"/>
  <c r="J241" i="34"/>
  <c r="J242" i="34" s="1"/>
  <c r="L25" i="29"/>
  <c r="L63" i="22" s="1"/>
  <c r="E241" i="34"/>
  <c r="E242" i="34" s="1"/>
  <c r="G25" i="29"/>
  <c r="G63" i="22" s="1"/>
  <c r="Q241" i="34"/>
  <c r="Q242" i="34" s="1"/>
  <c r="S25" i="29"/>
  <c r="S63" i="22" s="1"/>
  <c r="P241" i="34"/>
  <c r="P242" i="34" s="1"/>
  <c r="R25" i="29"/>
  <c r="R63" i="22" s="1"/>
  <c r="K241" i="34"/>
  <c r="K242" i="34" s="1"/>
  <c r="M25" i="29"/>
  <c r="M63" i="22" s="1"/>
  <c r="H241" i="34"/>
  <c r="H242" i="34" s="1"/>
  <c r="J25" i="29"/>
  <c r="J63" i="22" s="1"/>
  <c r="M241" i="34"/>
  <c r="M242" i="34" s="1"/>
  <c r="D241" i="34"/>
  <c r="D242" i="34" s="1"/>
  <c r="F25" i="29"/>
  <c r="F63" i="22" s="1"/>
  <c r="D15" i="29"/>
  <c r="D18" i="29" s="1"/>
  <c r="E19" i="29"/>
  <c r="E25" i="29" s="1"/>
  <c r="E63" i="22" s="1"/>
  <c r="C6" i="34"/>
  <c r="O25" i="29"/>
  <c r="O63" i="22" s="1"/>
  <c r="D178" i="34"/>
  <c r="E178" i="34"/>
  <c r="F178" i="34"/>
  <c r="G178" i="34"/>
  <c r="H178" i="34"/>
  <c r="I178" i="34"/>
  <c r="J178" i="34"/>
  <c r="K178" i="34"/>
  <c r="L178" i="34"/>
  <c r="M178" i="34"/>
  <c r="N178" i="34"/>
  <c r="P178" i="34"/>
  <c r="Q178" i="34"/>
  <c r="R178" i="34"/>
  <c r="D179" i="34"/>
  <c r="E179" i="34"/>
  <c r="F179" i="34"/>
  <c r="G179" i="34"/>
  <c r="H179" i="34"/>
  <c r="I179" i="34"/>
  <c r="J179" i="34"/>
  <c r="K179" i="34"/>
  <c r="L179" i="34"/>
  <c r="M179" i="34"/>
  <c r="N179" i="34"/>
  <c r="P179" i="34"/>
  <c r="Q179" i="34"/>
  <c r="R179" i="34"/>
  <c r="D188" i="34"/>
  <c r="E188" i="34"/>
  <c r="F188" i="34"/>
  <c r="G188" i="34"/>
  <c r="H188" i="34"/>
  <c r="I188" i="34"/>
  <c r="J188" i="34"/>
  <c r="K188" i="34"/>
  <c r="L188" i="34"/>
  <c r="M188" i="34"/>
  <c r="N188" i="34"/>
  <c r="O188" i="34"/>
  <c r="P188" i="34"/>
  <c r="Q188" i="34"/>
  <c r="R188" i="34"/>
  <c r="D177" i="34"/>
  <c r="E177" i="34"/>
  <c r="F177" i="34"/>
  <c r="G177" i="34"/>
  <c r="H177" i="34"/>
  <c r="I177" i="34"/>
  <c r="J177" i="34"/>
  <c r="K177" i="34"/>
  <c r="L177" i="34"/>
  <c r="M177" i="34"/>
  <c r="N177" i="34"/>
  <c r="O177" i="34"/>
  <c r="P177" i="34"/>
  <c r="Q177" i="34"/>
  <c r="R177" i="34"/>
  <c r="D194" i="34"/>
  <c r="E194" i="34"/>
  <c r="F194" i="34"/>
  <c r="G194" i="34"/>
  <c r="H194" i="34"/>
  <c r="I194" i="34"/>
  <c r="J194" i="34"/>
  <c r="K194" i="34"/>
  <c r="L194" i="34"/>
  <c r="M194" i="34"/>
  <c r="N194" i="34"/>
  <c r="P194" i="34"/>
  <c r="Q194" i="34"/>
  <c r="R194" i="34"/>
  <c r="D184" i="34"/>
  <c r="E184" i="34"/>
  <c r="F184" i="34"/>
  <c r="G184" i="34"/>
  <c r="H184" i="34"/>
  <c r="I184" i="34"/>
  <c r="J184" i="34"/>
  <c r="K184" i="34"/>
  <c r="L184" i="34"/>
  <c r="M184" i="34"/>
  <c r="N184" i="34"/>
  <c r="P184" i="34"/>
  <c r="Q184" i="34"/>
  <c r="R184" i="34"/>
  <c r="D181" i="34"/>
  <c r="E181" i="34"/>
  <c r="F181" i="34"/>
  <c r="G181" i="34"/>
  <c r="H181" i="34"/>
  <c r="I181" i="34"/>
  <c r="J181" i="34"/>
  <c r="K181" i="34"/>
  <c r="L181" i="34"/>
  <c r="M181" i="34"/>
  <c r="N181" i="34"/>
  <c r="O181" i="34"/>
  <c r="P181" i="34"/>
  <c r="Q181" i="34"/>
  <c r="R181" i="34"/>
  <c r="D191" i="34"/>
  <c r="E191" i="34"/>
  <c r="F191" i="34"/>
  <c r="G191" i="34"/>
  <c r="H191" i="34"/>
  <c r="I191" i="34"/>
  <c r="J191" i="34"/>
  <c r="K191" i="34"/>
  <c r="L191" i="34"/>
  <c r="M191" i="34"/>
  <c r="N191" i="34"/>
  <c r="P191" i="34"/>
  <c r="Q191" i="34"/>
  <c r="R191" i="34"/>
  <c r="D182" i="34"/>
  <c r="E182" i="34"/>
  <c r="F182" i="34"/>
  <c r="G182" i="34"/>
  <c r="H182" i="34"/>
  <c r="I182" i="34"/>
  <c r="J182" i="34"/>
  <c r="K182" i="34"/>
  <c r="L182" i="34"/>
  <c r="M182" i="34"/>
  <c r="N182" i="34"/>
  <c r="O182" i="34"/>
  <c r="P182" i="34"/>
  <c r="Q182" i="34"/>
  <c r="R182" i="34"/>
  <c r="D186" i="34"/>
  <c r="E186" i="34"/>
  <c r="F186" i="34"/>
  <c r="G186" i="34"/>
  <c r="H186" i="34"/>
  <c r="I186" i="34"/>
  <c r="J186" i="34"/>
  <c r="K186" i="34"/>
  <c r="L186" i="34"/>
  <c r="M186" i="34"/>
  <c r="N186" i="34"/>
  <c r="O186" i="34"/>
  <c r="P186" i="34"/>
  <c r="Q186" i="34"/>
  <c r="R186" i="34"/>
  <c r="D190" i="34"/>
  <c r="E190" i="34"/>
  <c r="F190" i="34"/>
  <c r="G190" i="34"/>
  <c r="H190" i="34"/>
  <c r="I190" i="34"/>
  <c r="J190" i="34"/>
  <c r="K190" i="34"/>
  <c r="L190" i="34"/>
  <c r="M190" i="34"/>
  <c r="N190" i="34"/>
  <c r="O190" i="34"/>
  <c r="P190" i="34"/>
  <c r="Q190" i="34"/>
  <c r="R190" i="34"/>
  <c r="D180" i="34"/>
  <c r="E180" i="34"/>
  <c r="F180" i="34"/>
  <c r="G180" i="34"/>
  <c r="H180" i="34"/>
  <c r="I180" i="34"/>
  <c r="J180" i="34"/>
  <c r="K180" i="34"/>
  <c r="L180" i="34"/>
  <c r="M180" i="34"/>
  <c r="N180" i="34"/>
  <c r="O180" i="34"/>
  <c r="P180" i="34"/>
  <c r="Q180" i="34"/>
  <c r="R180" i="34"/>
  <c r="D192" i="34"/>
  <c r="E192" i="34"/>
  <c r="F192" i="34"/>
  <c r="G192" i="34"/>
  <c r="H192" i="34"/>
  <c r="I192" i="34"/>
  <c r="J192" i="34"/>
  <c r="K192" i="34"/>
  <c r="L192" i="34"/>
  <c r="M192" i="34"/>
  <c r="N192" i="34"/>
  <c r="O192" i="34"/>
  <c r="P192" i="34"/>
  <c r="Q192" i="34"/>
  <c r="R192" i="34"/>
  <c r="D185" i="34"/>
  <c r="E185" i="34"/>
  <c r="F185" i="34"/>
  <c r="G185" i="34"/>
  <c r="H185" i="34"/>
  <c r="I185" i="34"/>
  <c r="J185" i="34"/>
  <c r="K185" i="34"/>
  <c r="L185" i="34"/>
  <c r="M185" i="34"/>
  <c r="N185" i="34"/>
  <c r="O185" i="34"/>
  <c r="P185" i="34"/>
  <c r="Q185" i="34"/>
  <c r="R185" i="34"/>
  <c r="D183" i="34"/>
  <c r="E183" i="34"/>
  <c r="F183" i="34"/>
  <c r="G183" i="34"/>
  <c r="H183" i="34"/>
  <c r="I183" i="34"/>
  <c r="J183" i="34"/>
  <c r="K183" i="34"/>
  <c r="L183" i="34"/>
  <c r="M183" i="34"/>
  <c r="N183" i="34"/>
  <c r="O183" i="34"/>
  <c r="P183" i="34"/>
  <c r="Q183" i="34"/>
  <c r="R183" i="34"/>
  <c r="D187" i="34"/>
  <c r="E187" i="34"/>
  <c r="F187" i="34"/>
  <c r="G187" i="34"/>
  <c r="H187" i="34"/>
  <c r="I187" i="34"/>
  <c r="J187" i="34"/>
  <c r="K187" i="34"/>
  <c r="L187" i="34"/>
  <c r="M187" i="34"/>
  <c r="N187" i="34"/>
  <c r="O187" i="34"/>
  <c r="P187" i="34"/>
  <c r="Q187" i="34"/>
  <c r="R187" i="34"/>
  <c r="D193" i="34"/>
  <c r="E193" i="34"/>
  <c r="F193" i="34"/>
  <c r="G193" i="34"/>
  <c r="H193" i="34"/>
  <c r="I193" i="34"/>
  <c r="J193" i="34"/>
  <c r="K193" i="34"/>
  <c r="L193" i="34"/>
  <c r="M193" i="34"/>
  <c r="N193" i="34"/>
  <c r="P193" i="34"/>
  <c r="Q193" i="34"/>
  <c r="R193" i="34"/>
  <c r="D176" i="34"/>
  <c r="E176" i="34"/>
  <c r="F176" i="34"/>
  <c r="G176" i="34"/>
  <c r="H176" i="34"/>
  <c r="I176" i="34"/>
  <c r="J176" i="34"/>
  <c r="K176" i="34"/>
  <c r="L176" i="34"/>
  <c r="M176" i="34"/>
  <c r="N176" i="34"/>
  <c r="O176" i="34"/>
  <c r="P176" i="34"/>
  <c r="Q176" i="34"/>
  <c r="R176" i="34"/>
  <c r="D175" i="34"/>
  <c r="E175" i="34"/>
  <c r="F175" i="34"/>
  <c r="G175" i="34"/>
  <c r="H175" i="34"/>
  <c r="I175" i="34"/>
  <c r="J175" i="34"/>
  <c r="K175" i="34"/>
  <c r="L175" i="34"/>
  <c r="M175" i="34"/>
  <c r="N175" i="34"/>
  <c r="O175" i="34"/>
  <c r="P175" i="34"/>
  <c r="Q175" i="34"/>
  <c r="R175" i="34"/>
  <c r="D189" i="34"/>
  <c r="E189" i="34"/>
  <c r="F189" i="34"/>
  <c r="G189" i="34"/>
  <c r="H189" i="34"/>
  <c r="I189" i="34"/>
  <c r="J189" i="34"/>
  <c r="K189" i="34"/>
  <c r="L189" i="34"/>
  <c r="M189" i="34"/>
  <c r="N189" i="34"/>
  <c r="O189" i="34"/>
  <c r="P189" i="34"/>
  <c r="Q189" i="34"/>
  <c r="R189" i="34"/>
  <c r="D52" i="29"/>
  <c r="D87" i="29"/>
  <c r="D70" i="29"/>
  <c r="E69" i="22" l="1"/>
  <c r="F36" i="31"/>
  <c r="F37" i="31" s="1"/>
  <c r="Q248" i="34"/>
  <c r="S69" i="22"/>
  <c r="N248" i="34"/>
  <c r="P69" i="22"/>
  <c r="E248" i="34"/>
  <c r="R248" i="34"/>
  <c r="T69" i="22"/>
  <c r="J248" i="34"/>
  <c r="L69" i="22"/>
  <c r="I248" i="34"/>
  <c r="K69" i="22"/>
  <c r="H248" i="34"/>
  <c r="O248" i="34"/>
  <c r="Q69" i="22"/>
  <c r="L248" i="34"/>
  <c r="N69" i="22"/>
  <c r="K248" i="34"/>
  <c r="M69" i="22"/>
  <c r="G248" i="34"/>
  <c r="D248" i="34"/>
  <c r="M248" i="34"/>
  <c r="O69" i="22"/>
  <c r="P248" i="34"/>
  <c r="R69" i="22"/>
  <c r="F248" i="34"/>
  <c r="D19" i="29"/>
  <c r="D25" i="29" s="1"/>
  <c r="D27" i="29" s="1"/>
  <c r="D28" i="29" s="1"/>
  <c r="E27" i="29"/>
  <c r="F38" i="31" s="1"/>
  <c r="F39" i="31" s="1"/>
  <c r="C248" i="34"/>
  <c r="P27" i="29"/>
  <c r="T27" i="29"/>
  <c r="S27" i="29"/>
  <c r="Q27" i="29"/>
  <c r="O27" i="29"/>
  <c r="G27" i="29"/>
  <c r="H38" i="31" s="1"/>
  <c r="H39" i="31" s="1"/>
  <c r="J27" i="29"/>
  <c r="K38" i="31" s="1"/>
  <c r="K39" i="31" s="1"/>
  <c r="M27" i="29"/>
  <c r="F27" i="29"/>
  <c r="G38" i="31" s="1"/>
  <c r="G39" i="31" s="1"/>
  <c r="L27" i="29"/>
  <c r="I27" i="29"/>
  <c r="J38" i="31" s="1"/>
  <c r="J39" i="31" s="1"/>
  <c r="K27" i="29"/>
  <c r="R27" i="29"/>
  <c r="H27" i="29"/>
  <c r="I38" i="31" s="1"/>
  <c r="I39" i="31" s="1"/>
  <c r="N27" i="29"/>
  <c r="O54" i="34"/>
  <c r="P54" i="34"/>
  <c r="S194" i="34"/>
  <c r="S177" i="34"/>
  <c r="S188" i="34"/>
  <c r="S184" i="34"/>
  <c r="S191" i="34"/>
  <c r="S181" i="34"/>
  <c r="S192" i="34"/>
  <c r="S180" i="34"/>
  <c r="S190" i="34"/>
  <c r="S186" i="34"/>
  <c r="S182" i="34"/>
  <c r="S193" i="34"/>
  <c r="S187" i="34"/>
  <c r="S183" i="34"/>
  <c r="S185" i="34"/>
  <c r="S189" i="34"/>
  <c r="S175" i="34"/>
  <c r="S176" i="34"/>
  <c r="S178" i="34"/>
  <c r="S179" i="34"/>
  <c r="Q6" i="34"/>
  <c r="Q64" i="34"/>
  <c r="I69" i="22" l="1"/>
  <c r="J36" i="31"/>
  <c r="J37" i="31" s="1"/>
  <c r="H69" i="22"/>
  <c r="I36" i="31"/>
  <c r="I37" i="31" s="1"/>
  <c r="G69" i="22"/>
  <c r="H36" i="31"/>
  <c r="H37" i="31" s="1"/>
  <c r="J69" i="22"/>
  <c r="K36" i="31"/>
  <c r="K37" i="31" s="1"/>
  <c r="F69" i="22"/>
  <c r="G36" i="31"/>
  <c r="G37" i="31" s="1"/>
  <c r="M28" i="29"/>
  <c r="J28" i="29"/>
  <c r="G28" i="29"/>
  <c r="O28" i="29"/>
  <c r="Q28" i="29"/>
  <c r="N28" i="29"/>
  <c r="S28" i="29"/>
  <c r="H28" i="29"/>
  <c r="T28" i="29"/>
  <c r="R28" i="29"/>
  <c r="P28" i="29"/>
  <c r="K28" i="29"/>
  <c r="L28" i="29"/>
  <c r="I28" i="29"/>
  <c r="F28" i="29"/>
  <c r="C250" i="34"/>
  <c r="E28" i="29"/>
  <c r="H250" i="34"/>
  <c r="H251" i="34" s="1"/>
  <c r="P250" i="34"/>
  <c r="P251" i="34" s="1"/>
  <c r="M250" i="34"/>
  <c r="M251" i="34" s="1"/>
  <c r="I250" i="34"/>
  <c r="I251" i="34" s="1"/>
  <c r="O250" i="34"/>
  <c r="O251" i="34" s="1"/>
  <c r="K250" i="34"/>
  <c r="K251" i="34" s="1"/>
  <c r="L250" i="34"/>
  <c r="L251" i="34" s="1"/>
  <c r="F250" i="34"/>
  <c r="F251" i="34" s="1"/>
  <c r="J250" i="34"/>
  <c r="J251" i="34" s="1"/>
  <c r="R250" i="34"/>
  <c r="R251" i="34" s="1"/>
  <c r="E250" i="34"/>
  <c r="E251" i="34" s="1"/>
  <c r="G250" i="34"/>
  <c r="G251" i="34" s="1"/>
  <c r="Q250" i="34"/>
  <c r="Q251" i="34" s="1"/>
  <c r="D250" i="34"/>
  <c r="D251" i="34" s="1"/>
  <c r="N250" i="34"/>
  <c r="N251" i="34" s="1"/>
  <c r="L6" i="34"/>
  <c r="L64" i="34"/>
  <c r="M6" i="34"/>
  <c r="M64" i="34"/>
  <c r="N27" i="34" l="1"/>
  <c r="C27" i="34"/>
  <c r="M27" i="34"/>
  <c r="I27" i="34"/>
  <c r="J27" i="34"/>
  <c r="Q27" i="34"/>
  <c r="F27" i="34"/>
  <c r="D27" i="34"/>
  <c r="H27" i="34"/>
  <c r="L27" i="34"/>
  <c r="O27" i="34"/>
  <c r="G27" i="34"/>
  <c r="K27" i="34"/>
  <c r="P27" i="34"/>
  <c r="E27" i="34"/>
  <c r="R6" i="34"/>
  <c r="R64" i="34"/>
  <c r="R27" i="34"/>
  <c r="D11" i="31"/>
  <c r="D54" i="34" s="1"/>
  <c r="R65" i="34" l="1"/>
  <c r="L65" i="34"/>
  <c r="K65" i="34"/>
  <c r="D65" i="34"/>
  <c r="G65" i="34"/>
  <c r="C65" i="34"/>
  <c r="O65" i="34"/>
  <c r="H65" i="34"/>
  <c r="E65" i="34"/>
  <c r="F65" i="34"/>
  <c r="N65" i="34"/>
  <c r="I65" i="34"/>
  <c r="M65" i="34"/>
  <c r="P65" i="34"/>
  <c r="Q65" i="34"/>
  <c r="J65" i="34"/>
  <c r="Q88" i="34"/>
  <c r="C87" i="34" l="1"/>
  <c r="C85" i="34"/>
  <c r="C7" i="34" l="1"/>
  <c r="C8" i="34" s="1"/>
  <c r="C66" i="34" l="1"/>
  <c r="D87" i="34" l="1"/>
  <c r="D85" i="34"/>
  <c r="E87" i="34" l="1"/>
  <c r="E85" i="34"/>
  <c r="F87" i="34" l="1"/>
  <c r="F85" i="34"/>
  <c r="G87" i="34" l="1"/>
  <c r="G85" i="34"/>
  <c r="H87" i="34" l="1"/>
  <c r="H85" i="34"/>
  <c r="I87" i="34" l="1"/>
  <c r="I85" i="34"/>
  <c r="I7" i="34" l="1"/>
  <c r="I8" i="34" s="1"/>
  <c r="G7" i="34"/>
  <c r="G8" i="34" s="1"/>
  <c r="F7" i="34"/>
  <c r="F8" i="34" s="1"/>
  <c r="E7" i="34"/>
  <c r="E8" i="34" s="1"/>
  <c r="H7" i="34"/>
  <c r="H8" i="34" s="1"/>
  <c r="E66" i="34" l="1"/>
  <c r="G66" i="34"/>
  <c r="I66" i="34"/>
  <c r="F66" i="34"/>
  <c r="H66" i="34"/>
  <c r="D7" i="34"/>
  <c r="D8" i="34" s="1"/>
  <c r="D66" i="34" l="1"/>
  <c r="J87" i="34" l="1"/>
  <c r="J85" i="34"/>
  <c r="J7" i="34" l="1"/>
  <c r="J8" i="34" s="1"/>
  <c r="J66" i="34" l="1"/>
  <c r="K7" i="34" l="1"/>
  <c r="K8" i="34" s="1"/>
  <c r="K87" i="34" l="1"/>
  <c r="K85" i="34"/>
  <c r="K66" i="34"/>
  <c r="L7" i="34" l="1"/>
  <c r="L8" i="34" s="1"/>
  <c r="L87" i="34" l="1"/>
  <c r="L85" i="34"/>
  <c r="L66" i="34"/>
  <c r="M7" i="34" l="1"/>
  <c r="M8" i="34" s="1"/>
  <c r="M66" i="34" l="1"/>
  <c r="M87" i="34" l="1"/>
  <c r="M85" i="34"/>
  <c r="N87" i="34" l="1"/>
  <c r="N85" i="34"/>
  <c r="N7" i="34"/>
  <c r="N8" i="34" s="1"/>
  <c r="N66" i="34" l="1"/>
  <c r="O7" i="34" l="1"/>
  <c r="O8" i="34" s="1"/>
  <c r="O87" i="34" l="1"/>
  <c r="O85" i="34"/>
  <c r="O66" i="34"/>
  <c r="P7" i="34" l="1"/>
  <c r="P8" i="34" s="1"/>
  <c r="P87" i="34" l="1"/>
  <c r="P85" i="34"/>
  <c r="P66" i="34"/>
  <c r="Q7" i="34" l="1"/>
  <c r="Q8" i="34" s="1"/>
  <c r="Q66" i="34" l="1"/>
  <c r="Q87" i="34" l="1"/>
  <c r="Q85" i="34"/>
  <c r="R87" i="34" l="1"/>
  <c r="R85" i="34"/>
  <c r="R7" i="34"/>
  <c r="R8" i="34" s="1"/>
  <c r="R66" i="34" l="1"/>
  <c r="E28" i="34" l="1"/>
  <c r="E29" i="34" s="1"/>
  <c r="F28" i="34"/>
  <c r="F29" i="34" s="1"/>
  <c r="C28" i="34"/>
  <c r="C29" i="34" s="1"/>
  <c r="G28" i="34"/>
  <c r="G29" i="34" s="1"/>
  <c r="H28" i="34"/>
  <c r="H29" i="34" s="1"/>
  <c r="I28" i="34"/>
  <c r="I29" i="34" s="1"/>
  <c r="D28" i="34"/>
  <c r="D29" i="34" s="1"/>
  <c r="J28" i="34"/>
  <c r="J29" i="34" s="1"/>
  <c r="K28" i="34"/>
  <c r="K29" i="34" s="1"/>
  <c r="Q28" i="34"/>
  <c r="Q29" i="34" s="1"/>
  <c r="P28" i="34"/>
  <c r="P29" i="34" s="1"/>
  <c r="O28" i="34"/>
  <c r="O29" i="34" s="1"/>
  <c r="N28" i="34"/>
  <c r="N29" i="34" s="1"/>
  <c r="M28" i="34"/>
  <c r="M29" i="34" s="1"/>
  <c r="L28" i="34"/>
  <c r="L29" i="34" s="1"/>
  <c r="R67" i="34"/>
  <c r="I67" i="34"/>
  <c r="E67" i="34"/>
  <c r="H67" i="34"/>
  <c r="F67" i="34"/>
  <c r="C67" i="34"/>
  <c r="G67" i="34"/>
  <c r="D67" i="34"/>
  <c r="J67" i="34"/>
  <c r="K67" i="34"/>
  <c r="Q67" i="34"/>
  <c r="P67" i="34"/>
  <c r="O67" i="34"/>
  <c r="N67" i="34"/>
  <c r="M67" i="34"/>
  <c r="L67" i="34"/>
  <c r="R28" i="34"/>
  <c r="R29" i="34" s="1"/>
  <c r="D253" i="4" l="1"/>
  <c r="C234" i="4" s="1"/>
  <c r="G24" i="31" l="1"/>
  <c r="C184" i="4" l="1"/>
  <c r="E248" i="4" l="1"/>
  <c r="C253" i="4"/>
  <c r="F255" i="4" l="1"/>
  <c r="G18" i="21" s="1"/>
  <c r="C258" i="4"/>
  <c r="E253" i="4"/>
  <c r="F24" i="31"/>
  <c r="F248" i="4" l="1"/>
  <c r="F251" i="4"/>
  <c r="D24" i="31"/>
  <c r="F249" i="4"/>
  <c r="F252" i="4"/>
  <c r="G252" i="4" s="1"/>
  <c r="F250" i="4"/>
  <c r="E19" i="31" l="1"/>
  <c r="E22" i="31"/>
  <c r="F253" i="4"/>
  <c r="E23" i="31"/>
  <c r="H23" i="31" s="1"/>
  <c r="E20" i="31"/>
  <c r="E21" i="31"/>
  <c r="H19" i="31" l="1"/>
  <c r="E24" i="31"/>
  <c r="E13" i="31" l="1"/>
  <c r="F13" i="31" l="1"/>
  <c r="G13" i="31" l="1"/>
  <c r="H13" i="31" l="1"/>
  <c r="F56" i="34" l="1"/>
  <c r="I13" i="31"/>
  <c r="J13" i="31" l="1"/>
  <c r="N56" i="34" l="1"/>
  <c r="O56" i="34" l="1"/>
  <c r="P56" i="34" l="1"/>
  <c r="H56" i="34" l="1"/>
  <c r="J56" i="34" l="1"/>
  <c r="K56" i="34" l="1"/>
  <c r="L56" i="34" l="1"/>
  <c r="M56" i="34" l="1"/>
  <c r="G56" i="34"/>
  <c r="I56" i="34"/>
  <c r="D13" i="31" l="1"/>
  <c r="D56" i="34" s="1"/>
  <c r="D11" i="7" l="1"/>
  <c r="J7" i="7" s="1"/>
  <c r="J8" i="7"/>
  <c r="J10" i="7"/>
  <c r="G19" i="7" l="1"/>
  <c r="G20" i="7" s="1"/>
  <c r="L19" i="7"/>
  <c r="O19" i="7" s="1"/>
  <c r="C15" i="4"/>
  <c r="D8" i="7"/>
  <c r="D7" i="7"/>
  <c r="E12" i="16" l="1"/>
  <c r="F12" i="16"/>
  <c r="G12" i="16"/>
  <c r="H12" i="16"/>
  <c r="I12" i="16"/>
  <c r="J12" i="16"/>
  <c r="K12" i="16"/>
  <c r="L12" i="16"/>
  <c r="M12" i="16"/>
  <c r="N12" i="16"/>
  <c r="O12" i="16"/>
  <c r="P12" i="16"/>
  <c r="Q12" i="16"/>
  <c r="R12" i="16"/>
  <c r="S12" i="16"/>
  <c r="T12" i="16"/>
  <c r="U12" i="16"/>
  <c r="V12" i="16"/>
  <c r="W12" i="16"/>
  <c r="X12" i="16"/>
  <c r="Y12" i="16"/>
  <c r="Z12" i="16"/>
  <c r="AA12" i="16"/>
  <c r="AB12" i="16"/>
  <c r="AC12" i="16"/>
  <c r="AD12" i="16"/>
  <c r="AE12" i="16"/>
  <c r="AF12" i="16"/>
  <c r="AG12" i="16"/>
  <c r="AH12" i="16"/>
  <c r="AI12" i="16"/>
  <c r="AJ12" i="16"/>
  <c r="AK12" i="16"/>
  <c r="AL12" i="16"/>
  <c r="AM12" i="16"/>
  <c r="AN12" i="16"/>
  <c r="AO12" i="16"/>
  <c r="AP12" i="16"/>
  <c r="AQ12" i="16"/>
  <c r="AR12" i="16"/>
  <c r="AS12" i="16"/>
  <c r="AT12" i="16"/>
  <c r="AU12" i="16"/>
  <c r="AV12" i="16"/>
  <c r="AW12" i="16"/>
  <c r="AX12" i="16"/>
  <c r="AY12" i="16"/>
  <c r="AZ12" i="16"/>
  <c r="BA12" i="16"/>
  <c r="BB12" i="16"/>
  <c r="BC12" i="16"/>
  <c r="BD12" i="16"/>
  <c r="BE12" i="16"/>
  <c r="BF12" i="16"/>
  <c r="BG12" i="16"/>
  <c r="BH12" i="16"/>
  <c r="BI12" i="16"/>
  <c r="BJ12" i="16"/>
  <c r="BK12" i="16"/>
  <c r="BL12" i="16"/>
  <c r="BM12" i="16"/>
  <c r="L20" i="7"/>
  <c r="O20" i="7" s="1"/>
  <c r="P19" i="7"/>
  <c r="G21" i="7"/>
  <c r="B19" i="7"/>
  <c r="D10" i="7"/>
  <c r="J9" i="7" s="1"/>
  <c r="I19" i="7"/>
  <c r="H19" i="7"/>
  <c r="BB12" i="11"/>
  <c r="V12" i="11"/>
  <c r="BA11" i="22"/>
  <c r="Q11" i="22"/>
  <c r="AM11" i="22"/>
  <c r="BI11" i="22"/>
  <c r="Y11" i="22"/>
  <c r="AZ11" i="22"/>
  <c r="O12" i="11"/>
  <c r="AO12" i="11"/>
  <c r="BM11" i="22"/>
  <c r="BL11" i="22"/>
  <c r="AA12" i="11"/>
  <c r="X12" i="11"/>
  <c r="AS12" i="11"/>
  <c r="R11" i="22"/>
  <c r="AX11" i="22"/>
  <c r="R12" i="11"/>
  <c r="AW11" i="22"/>
  <c r="L12" i="11"/>
  <c r="AI11" i="22"/>
  <c r="BE11" i="22"/>
  <c r="T12" i="11"/>
  <c r="AU11" i="22"/>
  <c r="K11" i="22"/>
  <c r="AK11" i="22"/>
  <c r="BB11" i="22"/>
  <c r="AY11" i="22"/>
  <c r="M11" i="22"/>
  <c r="M12" i="11"/>
  <c r="AF11" i="22"/>
  <c r="AT12" i="11"/>
  <c r="N11" i="22"/>
  <c r="AR12" i="11"/>
  <c r="H11" i="22"/>
  <c r="AD11" i="22"/>
  <c r="AZ12" i="11"/>
  <c r="P12" i="11"/>
  <c r="AQ11" i="22"/>
  <c r="F12" i="11"/>
  <c r="AF12" i="11"/>
  <c r="AO11" i="22"/>
  <c r="AN12" i="11"/>
  <c r="BG12" i="11"/>
  <c r="BG11" i="22"/>
  <c r="S12" i="11"/>
  <c r="BJ12" i="11"/>
  <c r="AD12" i="11"/>
  <c r="BK12" i="11"/>
  <c r="Z12" i="11"/>
  <c r="AV11" i="22"/>
  <c r="L11" i="22"/>
  <c r="AH12" i="11"/>
  <c r="BI12" i="11"/>
  <c r="X11" i="22"/>
  <c r="AY12" i="11"/>
  <c r="N12" i="11"/>
  <c r="AU12" i="11"/>
  <c r="AX12" i="11"/>
  <c r="AW12" i="11"/>
  <c r="I12" i="11"/>
  <c r="AP12" i="11"/>
  <c r="F11" i="22"/>
  <c r="BE12" i="11"/>
  <c r="AQ12" i="11"/>
  <c r="AG11" i="22"/>
  <c r="W12" i="11"/>
  <c r="O11" i="22"/>
  <c r="AG12" i="11"/>
  <c r="C14" i="4"/>
  <c r="E12" i="11"/>
  <c r="BA12" i="11"/>
  <c r="AM12" i="11"/>
  <c r="AC12" i="11"/>
  <c r="S11" i="22"/>
  <c r="BK11" i="22"/>
  <c r="V11" i="22"/>
  <c r="BF12" i="11"/>
  <c r="BF11" i="22"/>
  <c r="AR11" i="22"/>
  <c r="AC11" i="22"/>
  <c r="T11" i="22"/>
  <c r="I11" i="22"/>
  <c r="AK12" i="11"/>
  <c r="BD11" i="22"/>
  <c r="Z11" i="22"/>
  <c r="U11" i="22"/>
  <c r="G11" i="22"/>
  <c r="BD12" i="11"/>
  <c r="AT11" i="22"/>
  <c r="W11" i="22"/>
  <c r="AJ12" i="11"/>
  <c r="AE11" i="22"/>
  <c r="AI12" i="11"/>
  <c r="G12" i="11"/>
  <c r="Q12" i="11"/>
  <c r="E11" i="22"/>
  <c r="AE12" i="11"/>
  <c r="BM12" i="11"/>
  <c r="E57" i="34"/>
  <c r="BC11" i="22"/>
  <c r="BJ11" i="22"/>
  <c r="AL12" i="11"/>
  <c r="AA11" i="22"/>
  <c r="AH11" i="22"/>
  <c r="P11" i="22"/>
  <c r="BC12" i="11"/>
  <c r="BH11" i="22"/>
  <c r="U12" i="11"/>
  <c r="J11" i="22"/>
  <c r="AV12" i="11"/>
  <c r="AS11" i="22"/>
  <c r="K12" i="11"/>
  <c r="H12" i="11"/>
  <c r="J12" i="11"/>
  <c r="AB12" i="11"/>
  <c r="BH12" i="11"/>
  <c r="AB11" i="22"/>
  <c r="AJ11" i="22"/>
  <c r="Y12" i="11"/>
  <c r="BL12" i="11"/>
  <c r="AL11" i="22"/>
  <c r="AN11" i="22"/>
  <c r="AP11" i="22"/>
  <c r="L21" i="7" l="1"/>
  <c r="P20" i="7"/>
  <c r="E54" i="34"/>
  <c r="B20" i="7"/>
  <c r="I20" i="7"/>
  <c r="H20" i="7"/>
  <c r="C19" i="7"/>
  <c r="D19" i="7"/>
  <c r="G22" i="7"/>
  <c r="I21" i="7"/>
  <c r="H21" i="7"/>
  <c r="E56" i="34"/>
  <c r="D20" i="7" l="1"/>
  <c r="L22" i="7"/>
  <c r="E19" i="7"/>
  <c r="C20" i="7"/>
  <c r="B21" i="7"/>
  <c r="I22" i="7"/>
  <c r="G23" i="7"/>
  <c r="H22" i="7"/>
  <c r="B22" i="7" l="1"/>
  <c r="E21" i="7" s="1"/>
  <c r="E20" i="7"/>
  <c r="F20" i="7" s="1"/>
  <c r="L23" i="7"/>
  <c r="D21" i="7"/>
  <c r="C21" i="7"/>
  <c r="H23" i="7"/>
  <c r="G24" i="7"/>
  <c r="I23" i="7"/>
  <c r="C22" i="7" l="1"/>
  <c r="D22" i="7"/>
  <c r="B23" i="7"/>
  <c r="E22" i="7" s="1"/>
  <c r="L24" i="7"/>
  <c r="F21" i="7"/>
  <c r="G25" i="7"/>
  <c r="I24" i="7"/>
  <c r="H24" i="7"/>
  <c r="C23" i="7" l="1"/>
  <c r="F22" i="7"/>
  <c r="D23" i="7"/>
  <c r="B24" i="7"/>
  <c r="C24" i="7" s="1"/>
  <c r="L25" i="7"/>
  <c r="G26" i="7"/>
  <c r="H25" i="7"/>
  <c r="I25" i="7"/>
  <c r="B25" i="7" l="1"/>
  <c r="E23" i="7"/>
  <c r="F23" i="7" s="1"/>
  <c r="D24" i="7"/>
  <c r="L26" i="7"/>
  <c r="H26" i="7"/>
  <c r="G27" i="7"/>
  <c r="I26" i="7"/>
  <c r="C25" i="7" l="1"/>
  <c r="D25" i="7"/>
  <c r="B26" i="7"/>
  <c r="D26" i="7" s="1"/>
  <c r="E24" i="7"/>
  <c r="F24" i="7" s="1"/>
  <c r="L27" i="7"/>
  <c r="G28" i="7"/>
  <c r="H27" i="7"/>
  <c r="I27" i="7"/>
  <c r="C26" i="7" l="1"/>
  <c r="E25" i="7"/>
  <c r="F25" i="7" s="1"/>
  <c r="B27" i="7"/>
  <c r="D27" i="7" s="1"/>
  <c r="L28" i="7"/>
  <c r="I28" i="7"/>
  <c r="G29" i="7"/>
  <c r="H28" i="7"/>
  <c r="B28" i="7" l="1"/>
  <c r="E27" i="7" s="1"/>
  <c r="E26" i="7"/>
  <c r="F26" i="7" s="1"/>
  <c r="C27" i="7"/>
  <c r="L29" i="7"/>
  <c r="I29" i="7"/>
  <c r="G30" i="7"/>
  <c r="H29" i="7"/>
  <c r="B29" i="7" l="1"/>
  <c r="E28" i="7" s="1"/>
  <c r="D28" i="7"/>
  <c r="F27" i="7"/>
  <c r="C28" i="7"/>
  <c r="L30" i="7"/>
  <c r="I30" i="7"/>
  <c r="G31" i="7"/>
  <c r="H30" i="7"/>
  <c r="F28" i="7" l="1"/>
  <c r="B30" i="7"/>
  <c r="D30" i="7" s="1"/>
  <c r="D29" i="7"/>
  <c r="C29" i="7"/>
  <c r="L31" i="7"/>
  <c r="G32" i="7"/>
  <c r="H31" i="7"/>
  <c r="I31" i="7"/>
  <c r="B31" i="7" l="1"/>
  <c r="E30" i="7" s="1"/>
  <c r="E29" i="7"/>
  <c r="F29" i="7" s="1"/>
  <c r="C30" i="7"/>
  <c r="L32" i="7"/>
  <c r="G33" i="7"/>
  <c r="H32" i="7"/>
  <c r="I32" i="7"/>
  <c r="F30" i="7" l="1"/>
  <c r="B32" i="7"/>
  <c r="C32" i="7" s="1"/>
  <c r="D31" i="7"/>
  <c r="C31" i="7"/>
  <c r="L33" i="7"/>
  <c r="I33" i="7"/>
  <c r="H33" i="7"/>
  <c r="G34" i="7"/>
  <c r="B33" i="7" l="1"/>
  <c r="E32" i="7" s="1"/>
  <c r="E31" i="7"/>
  <c r="F31" i="7" s="1"/>
  <c r="D32" i="7"/>
  <c r="L34" i="7"/>
  <c r="G35" i="7"/>
  <c r="H34" i="7"/>
  <c r="I34" i="7"/>
  <c r="F32" i="7" l="1"/>
  <c r="D33" i="7"/>
  <c r="C33" i="7"/>
  <c r="B34" i="7"/>
  <c r="B35" i="7" s="1"/>
  <c r="L35" i="7"/>
  <c r="G36" i="7"/>
  <c r="H35" i="7"/>
  <c r="I35" i="7"/>
  <c r="C34" i="7" l="1"/>
  <c r="E33" i="7"/>
  <c r="F33" i="7" s="1"/>
  <c r="D34" i="7"/>
  <c r="E34" i="7"/>
  <c r="L36" i="7"/>
  <c r="B36" i="7"/>
  <c r="C35" i="7"/>
  <c r="D35" i="7"/>
  <c r="I36" i="7"/>
  <c r="G37" i="7"/>
  <c r="H36" i="7"/>
  <c r="F34" i="7" l="1"/>
  <c r="E35" i="7"/>
  <c r="L37" i="7"/>
  <c r="G38" i="7"/>
  <c r="H37" i="7"/>
  <c r="I37" i="7"/>
  <c r="B37" i="7"/>
  <c r="D36" i="7"/>
  <c r="C36" i="7"/>
  <c r="F35" i="7" l="1"/>
  <c r="E36" i="7"/>
  <c r="L38" i="7"/>
  <c r="B38" i="7"/>
  <c r="D37" i="7"/>
  <c r="C37" i="7"/>
  <c r="G39" i="7"/>
  <c r="I38" i="7"/>
  <c r="H38" i="7"/>
  <c r="F36" i="7" l="1"/>
  <c r="E37" i="7"/>
  <c r="L39" i="7"/>
  <c r="G40" i="7"/>
  <c r="H39" i="7"/>
  <c r="I39" i="7"/>
  <c r="B39" i="7"/>
  <c r="D38" i="7"/>
  <c r="C38" i="7"/>
  <c r="F37" i="7" l="1"/>
  <c r="E38" i="7"/>
  <c r="L40" i="7"/>
  <c r="B40" i="7"/>
  <c r="C39" i="7"/>
  <c r="D39" i="7"/>
  <c r="H40" i="7"/>
  <c r="G41" i="7"/>
  <c r="I40" i="7"/>
  <c r="F38" i="7" l="1"/>
  <c r="E39" i="7"/>
  <c r="L41" i="7"/>
  <c r="G42" i="7"/>
  <c r="H41" i="7"/>
  <c r="I41" i="7"/>
  <c r="B41" i="7"/>
  <c r="C40" i="7"/>
  <c r="D40" i="7"/>
  <c r="F39" i="7" l="1"/>
  <c r="E40" i="7"/>
  <c r="L42" i="7"/>
  <c r="B42" i="7"/>
  <c r="C41" i="7"/>
  <c r="D41" i="7"/>
  <c r="I42" i="7"/>
  <c r="G43" i="7"/>
  <c r="H42" i="7"/>
  <c r="F40" i="7" l="1"/>
  <c r="E41" i="7"/>
  <c r="L43" i="7"/>
  <c r="I43" i="7"/>
  <c r="H43" i="7"/>
  <c r="G44" i="7"/>
  <c r="B43" i="7"/>
  <c r="D42" i="7"/>
  <c r="C42" i="7"/>
  <c r="F41" i="7" l="1"/>
  <c r="E42" i="7"/>
  <c r="L44" i="7"/>
  <c r="B44" i="7"/>
  <c r="C43" i="7"/>
  <c r="D43" i="7"/>
  <c r="H44" i="7"/>
  <c r="G45" i="7"/>
  <c r="I44" i="7"/>
  <c r="F42" i="7" l="1"/>
  <c r="E43" i="7"/>
  <c r="L45" i="7"/>
  <c r="H45" i="7"/>
  <c r="I45" i="7"/>
  <c r="G46" i="7"/>
  <c r="B45" i="7"/>
  <c r="C44" i="7"/>
  <c r="D44" i="7"/>
  <c r="F43" i="7" l="1"/>
  <c r="E44" i="7"/>
  <c r="L46" i="7"/>
  <c r="G47" i="7"/>
  <c r="I46" i="7"/>
  <c r="H46" i="7"/>
  <c r="B46" i="7"/>
  <c r="C45" i="7"/>
  <c r="D45" i="7"/>
  <c r="F44" i="7" l="1"/>
  <c r="E45" i="7"/>
  <c r="L47" i="7"/>
  <c r="B47" i="7"/>
  <c r="D46" i="7"/>
  <c r="C46" i="7"/>
  <c r="G48" i="7"/>
  <c r="H47" i="7"/>
  <c r="I47" i="7"/>
  <c r="F45" i="7" l="1"/>
  <c r="E46" i="7"/>
  <c r="L48" i="7"/>
  <c r="G49" i="7"/>
  <c r="H48" i="7"/>
  <c r="I48" i="7"/>
  <c r="B48" i="7"/>
  <c r="C47" i="7"/>
  <c r="D47" i="7"/>
  <c r="F46" i="7" l="1"/>
  <c r="E47" i="7"/>
  <c r="L49" i="7"/>
  <c r="B49" i="7"/>
  <c r="C48" i="7"/>
  <c r="D48" i="7"/>
  <c r="I49" i="7"/>
  <c r="G50" i="7"/>
  <c r="H49" i="7"/>
  <c r="E48" i="7" l="1"/>
  <c r="L50" i="7"/>
  <c r="F47" i="7"/>
  <c r="B50" i="7"/>
  <c r="D49" i="7"/>
  <c r="C49" i="7"/>
  <c r="I50" i="7"/>
  <c r="G51" i="7"/>
  <c r="H50" i="7"/>
  <c r="E49" i="7" l="1"/>
  <c r="L51" i="7"/>
  <c r="F48" i="7"/>
  <c r="G52" i="7"/>
  <c r="I51" i="7"/>
  <c r="H51" i="7"/>
  <c r="D50" i="7"/>
  <c r="B51" i="7"/>
  <c r="C50" i="7"/>
  <c r="E50" i="7" l="1"/>
  <c r="L52" i="7"/>
  <c r="F49" i="7"/>
  <c r="B52" i="7"/>
  <c r="D51" i="7"/>
  <c r="C51" i="7"/>
  <c r="G53" i="7"/>
  <c r="H52" i="7"/>
  <c r="I52" i="7"/>
  <c r="E51" i="7" l="1"/>
  <c r="L53" i="7"/>
  <c r="F50" i="7"/>
  <c r="G54" i="7"/>
  <c r="H53" i="7"/>
  <c r="I53" i="7"/>
  <c r="C52" i="7"/>
  <c r="D52" i="7"/>
  <c r="B53" i="7"/>
  <c r="F51" i="7" l="1"/>
  <c r="E52" i="7"/>
  <c r="L54" i="7"/>
  <c r="B54" i="7"/>
  <c r="C53" i="7"/>
  <c r="D53" i="7"/>
  <c r="G55" i="7"/>
  <c r="H54" i="7"/>
  <c r="I54" i="7"/>
  <c r="F52" i="7" l="1"/>
  <c r="E53" i="7"/>
  <c r="L55" i="7"/>
  <c r="I55" i="7"/>
  <c r="H55" i="7"/>
  <c r="G56" i="7"/>
  <c r="B55" i="7"/>
  <c r="D54" i="7"/>
  <c r="C54" i="7"/>
  <c r="F53" i="7" l="1"/>
  <c r="E54" i="7"/>
  <c r="L56" i="7"/>
  <c r="C55" i="7"/>
  <c r="D55" i="7"/>
  <c r="B56" i="7"/>
  <c r="I56" i="7"/>
  <c r="G57" i="7"/>
  <c r="H56" i="7"/>
  <c r="F54" i="7" l="1"/>
  <c r="E55" i="7"/>
  <c r="L57" i="7"/>
  <c r="B57" i="7"/>
  <c r="D56" i="7"/>
  <c r="C56" i="7"/>
  <c r="G58" i="7"/>
  <c r="I57" i="7"/>
  <c r="H57" i="7"/>
  <c r="F55" i="7" l="1"/>
  <c r="E56" i="7"/>
  <c r="L58" i="7"/>
  <c r="G59" i="7"/>
  <c r="I58" i="7"/>
  <c r="H58" i="7"/>
  <c r="B58" i="7"/>
  <c r="D57" i="7"/>
  <c r="C57" i="7"/>
  <c r="F56" i="7" l="1"/>
  <c r="E57" i="7"/>
  <c r="L59" i="7"/>
  <c r="G60" i="7"/>
  <c r="H59" i="7"/>
  <c r="I59" i="7"/>
  <c r="B59" i="7"/>
  <c r="C58" i="7"/>
  <c r="D58" i="7"/>
  <c r="F57" i="7" l="1"/>
  <c r="E58" i="7"/>
  <c r="L60" i="7"/>
  <c r="I60" i="7"/>
  <c r="G61" i="7"/>
  <c r="G62" i="7" s="1"/>
  <c r="H60" i="7"/>
  <c r="B60" i="7"/>
  <c r="D59" i="7"/>
  <c r="C59" i="7"/>
  <c r="F58" i="7" l="1"/>
  <c r="E59" i="7"/>
  <c r="H62" i="7"/>
  <c r="I62" i="7"/>
  <c r="G63" i="7"/>
  <c r="L61" i="7"/>
  <c r="H61" i="7"/>
  <c r="I61" i="7"/>
  <c r="B61" i="7"/>
  <c r="D60" i="7"/>
  <c r="C60" i="7"/>
  <c r="F59" i="7" l="1"/>
  <c r="E60" i="7"/>
  <c r="I63" i="7"/>
  <c r="H63" i="7"/>
  <c r="G64" i="7"/>
  <c r="B62" i="7"/>
  <c r="L62" i="7"/>
  <c r="D61" i="7"/>
  <c r="C61" i="7"/>
  <c r="F60" i="7" l="1"/>
  <c r="E61" i="7"/>
  <c r="C62" i="7"/>
  <c r="D62" i="7"/>
  <c r="B63" i="7"/>
  <c r="H64" i="7"/>
  <c r="I64" i="7"/>
  <c r="G65" i="7"/>
  <c r="L63" i="7"/>
  <c r="E62" i="7" l="1"/>
  <c r="I65" i="7"/>
  <c r="H65" i="7"/>
  <c r="G66" i="7"/>
  <c r="C63" i="7"/>
  <c r="D63" i="7"/>
  <c r="B64" i="7"/>
  <c r="L64" i="7"/>
  <c r="E63" i="7" l="1"/>
  <c r="I66" i="7"/>
  <c r="H66" i="7"/>
  <c r="G67" i="7"/>
  <c r="C64" i="7"/>
  <c r="D64" i="7"/>
  <c r="B65" i="7"/>
  <c r="L65" i="7"/>
  <c r="E64" i="7" l="1"/>
  <c r="D65" i="7"/>
  <c r="C65" i="7"/>
  <c r="B66" i="7"/>
  <c r="H67" i="7"/>
  <c r="I67" i="7"/>
  <c r="G68" i="7"/>
  <c r="L66" i="7"/>
  <c r="E65" i="7" l="1"/>
  <c r="I68" i="7"/>
  <c r="H68" i="7"/>
  <c r="G69" i="7"/>
  <c r="D66" i="7"/>
  <c r="C66" i="7"/>
  <c r="B67" i="7"/>
  <c r="L67" i="7"/>
  <c r="E66" i="7" l="1"/>
  <c r="D67" i="7"/>
  <c r="C67" i="7"/>
  <c r="B68" i="7"/>
  <c r="I69" i="7"/>
  <c r="H69" i="7"/>
  <c r="G70" i="7"/>
  <c r="L68" i="7"/>
  <c r="E67" i="7" l="1"/>
  <c r="C68" i="7"/>
  <c r="D68" i="7"/>
  <c r="B69" i="7"/>
  <c r="I70" i="7"/>
  <c r="H70" i="7"/>
  <c r="G71" i="7"/>
  <c r="L69" i="7"/>
  <c r="E68" i="7" l="1"/>
  <c r="I71" i="7"/>
  <c r="H71" i="7"/>
  <c r="G72" i="7"/>
  <c r="D69" i="7"/>
  <c r="C69" i="7"/>
  <c r="B70" i="7"/>
  <c r="L70" i="7"/>
  <c r="E69" i="7" l="1"/>
  <c r="I72" i="7"/>
  <c r="H72" i="7"/>
  <c r="G73" i="7"/>
  <c r="C70" i="7"/>
  <c r="D70" i="7"/>
  <c r="B71" i="7"/>
  <c r="L71" i="7"/>
  <c r="E70" i="7" l="1"/>
  <c r="C71" i="7"/>
  <c r="D71" i="7"/>
  <c r="B72" i="7"/>
  <c r="H73" i="7"/>
  <c r="I73" i="7"/>
  <c r="G74" i="7"/>
  <c r="L72" i="7"/>
  <c r="B73" i="7" l="1"/>
  <c r="E72" i="7" s="1"/>
  <c r="E71" i="7"/>
  <c r="D72" i="7"/>
  <c r="C72" i="7"/>
  <c r="H74" i="7"/>
  <c r="I74" i="7"/>
  <c r="G75" i="7"/>
  <c r="L73" i="7"/>
  <c r="B74" i="7" l="1"/>
  <c r="B75" i="7" s="1"/>
  <c r="D73" i="7"/>
  <c r="C73" i="7"/>
  <c r="I75" i="7"/>
  <c r="H75" i="7"/>
  <c r="G76" i="7"/>
  <c r="G77" i="7" s="1"/>
  <c r="G78" i="7" s="1"/>
  <c r="G79" i="7" s="1"/>
  <c r="G80" i="7" s="1"/>
  <c r="L74" i="7"/>
  <c r="D74" i="7" l="1"/>
  <c r="C74" i="7"/>
  <c r="E73" i="7"/>
  <c r="E74" i="7"/>
  <c r="D75" i="7"/>
  <c r="C75" i="7"/>
  <c r="B76" i="7"/>
  <c r="I76" i="7"/>
  <c r="H76" i="7"/>
  <c r="L75" i="7"/>
  <c r="E75" i="7" l="1"/>
  <c r="I77" i="7"/>
  <c r="H77" i="7"/>
  <c r="C76" i="7"/>
  <c r="D76" i="7"/>
  <c r="B77" i="7"/>
  <c r="L76" i="7"/>
  <c r="E76" i="7" l="1"/>
  <c r="I78" i="7"/>
  <c r="H78" i="7"/>
  <c r="C77" i="7"/>
  <c r="D77" i="7"/>
  <c r="B78" i="7"/>
  <c r="L77" i="7"/>
  <c r="E77" i="7" l="1"/>
  <c r="H79" i="7"/>
  <c r="I79" i="7"/>
  <c r="C78" i="7"/>
  <c r="D78" i="7"/>
  <c r="B79" i="7"/>
  <c r="L78" i="7"/>
  <c r="B80" i="7" l="1"/>
  <c r="D225" i="4" s="1"/>
  <c r="E78" i="7"/>
  <c r="I80" i="7"/>
  <c r="H80" i="7"/>
  <c r="F61" i="7"/>
  <c r="F62" i="7" s="1"/>
  <c r="F63" i="7" s="1"/>
  <c r="F64" i="7" s="1"/>
  <c r="F65" i="7" s="1"/>
  <c r="F66" i="7" s="1"/>
  <c r="F67" i="7" s="1"/>
  <c r="F68" i="7" s="1"/>
  <c r="F69" i="7" s="1"/>
  <c r="F70" i="7" s="1"/>
  <c r="F71" i="7" s="1"/>
  <c r="F72" i="7" s="1"/>
  <c r="F73" i="7" s="1"/>
  <c r="F74" i="7" s="1"/>
  <c r="F75" i="7" s="1"/>
  <c r="F76" i="7" s="1"/>
  <c r="F77" i="7" s="1"/>
  <c r="C79" i="7"/>
  <c r="D79" i="7"/>
  <c r="L79" i="7"/>
  <c r="E80" i="7" l="1"/>
  <c r="E79" i="7"/>
  <c r="M78" i="7"/>
  <c r="D80" i="7"/>
  <c r="M76" i="7"/>
  <c r="M26" i="7"/>
  <c r="M75" i="7"/>
  <c r="M77" i="7"/>
  <c r="M73" i="7"/>
  <c r="M74" i="7"/>
  <c r="F78" i="7"/>
  <c r="C80" i="7"/>
  <c r="AU242" i="4" s="1"/>
  <c r="AV18" i="16" s="1"/>
  <c r="AV106" i="11" s="1"/>
  <c r="M59" i="7"/>
  <c r="M60" i="7"/>
  <c r="M61" i="7"/>
  <c r="M58" i="7"/>
  <c r="M19" i="7"/>
  <c r="M31" i="7"/>
  <c r="M62" i="7"/>
  <c r="M38" i="7"/>
  <c r="M25" i="7"/>
  <c r="M43" i="7"/>
  <c r="M28" i="7"/>
  <c r="M49" i="7"/>
  <c r="M53" i="7"/>
  <c r="M40" i="7"/>
  <c r="M23" i="7"/>
  <c r="M24" i="7"/>
  <c r="M46" i="7"/>
  <c r="M21" i="7"/>
  <c r="M29" i="7"/>
  <c r="M47" i="7"/>
  <c r="M33" i="7"/>
  <c r="M57" i="7"/>
  <c r="M22" i="7"/>
  <c r="M64" i="7"/>
  <c r="M34" i="7"/>
  <c r="M41" i="7"/>
  <c r="M50" i="7"/>
  <c r="M42" i="7"/>
  <c r="M37" i="7"/>
  <c r="M39" i="7"/>
  <c r="M52" i="7"/>
  <c r="M32" i="7"/>
  <c r="M20" i="7"/>
  <c r="N20" i="7" s="1"/>
  <c r="O21" i="7" s="1"/>
  <c r="M63" i="7"/>
  <c r="M45" i="7"/>
  <c r="M48" i="7"/>
  <c r="M30" i="7"/>
  <c r="M35" i="7"/>
  <c r="M56" i="7"/>
  <c r="M36" i="7"/>
  <c r="M66" i="7"/>
  <c r="M55" i="7"/>
  <c r="M51" i="7"/>
  <c r="M54" i="7"/>
  <c r="M65" i="7"/>
  <c r="M27" i="7"/>
  <c r="M44" i="7"/>
  <c r="M67" i="7"/>
  <c r="M68" i="7"/>
  <c r="M69" i="7"/>
  <c r="M70" i="7"/>
  <c r="M71" i="7"/>
  <c r="M72" i="7"/>
  <c r="M79" i="7"/>
  <c r="L80" i="7"/>
  <c r="E81" i="7" l="1"/>
  <c r="E15" i="7" s="1"/>
  <c r="G11" i="21" s="1"/>
  <c r="R242" i="4"/>
  <c r="S18" i="16" s="1"/>
  <c r="S106" i="11" s="1"/>
  <c r="F242" i="4"/>
  <c r="G18" i="16" s="1"/>
  <c r="G106" i="11" s="1"/>
  <c r="J242" i="4"/>
  <c r="K18" i="16" s="1"/>
  <c r="K106" i="11" s="1"/>
  <c r="E242" i="4"/>
  <c r="F18" i="16" s="1"/>
  <c r="F106" i="11" s="1"/>
  <c r="K242" i="4"/>
  <c r="L18" i="16" s="1"/>
  <c r="L106" i="11" s="1"/>
  <c r="BG242" i="4"/>
  <c r="BH18" i="16" s="1"/>
  <c r="BH106" i="11" s="1"/>
  <c r="G242" i="4"/>
  <c r="H18" i="16" s="1"/>
  <c r="H106" i="11" s="1"/>
  <c r="Y242" i="4"/>
  <c r="Z18" i="16" s="1"/>
  <c r="Z106" i="11" s="1"/>
  <c r="AV242" i="4"/>
  <c r="AW18" i="16" s="1"/>
  <c r="AW106" i="11" s="1"/>
  <c r="AZ242" i="4"/>
  <c r="BA18" i="16" s="1"/>
  <c r="BA106" i="11" s="1"/>
  <c r="I242" i="4"/>
  <c r="J18" i="16" s="1"/>
  <c r="J106" i="11" s="1"/>
  <c r="BK242" i="4"/>
  <c r="BL18" i="16" s="1"/>
  <c r="BL106" i="11" s="1"/>
  <c r="AL242" i="4"/>
  <c r="AM18" i="16" s="1"/>
  <c r="AM106" i="11" s="1"/>
  <c r="H242" i="4"/>
  <c r="I18" i="16" s="1"/>
  <c r="I106" i="11" s="1"/>
  <c r="AX242" i="4"/>
  <c r="AY18" i="16" s="1"/>
  <c r="AY106" i="11" s="1"/>
  <c r="BF242" i="4"/>
  <c r="BG18" i="16" s="1"/>
  <c r="BG106" i="11" s="1"/>
  <c r="AJ242" i="4"/>
  <c r="AK18" i="16" s="1"/>
  <c r="AK106" i="11" s="1"/>
  <c r="BH242" i="4"/>
  <c r="BI18" i="16" s="1"/>
  <c r="BI106" i="11" s="1"/>
  <c r="AP242" i="4"/>
  <c r="AQ18" i="16" s="1"/>
  <c r="AQ106" i="11" s="1"/>
  <c r="S242" i="4"/>
  <c r="T18" i="16" s="1"/>
  <c r="T106" i="11" s="1"/>
  <c r="AY242" i="4"/>
  <c r="AZ18" i="16" s="1"/>
  <c r="AZ106" i="11" s="1"/>
  <c r="BD242" i="4"/>
  <c r="BE18" i="16" s="1"/>
  <c r="BE106" i="11" s="1"/>
  <c r="AH242" i="4"/>
  <c r="AI18" i="16" s="1"/>
  <c r="AI106" i="11" s="1"/>
  <c r="AC242" i="4"/>
  <c r="AD18" i="16" s="1"/>
  <c r="AD106" i="11" s="1"/>
  <c r="BE242" i="4"/>
  <c r="BF18" i="16" s="1"/>
  <c r="BF106" i="11" s="1"/>
  <c r="V242" i="4"/>
  <c r="W18" i="16" s="1"/>
  <c r="W106" i="11" s="1"/>
  <c r="BL242" i="4"/>
  <c r="BM18" i="16" s="1"/>
  <c r="X242" i="4"/>
  <c r="Y18" i="16" s="1"/>
  <c r="Y106" i="11" s="1"/>
  <c r="BC242" i="4"/>
  <c r="BD18" i="16" s="1"/>
  <c r="BD106" i="11" s="1"/>
  <c r="AN242" i="4"/>
  <c r="AO18" i="16" s="1"/>
  <c r="AO106" i="11" s="1"/>
  <c r="AM242" i="4"/>
  <c r="AN18" i="16" s="1"/>
  <c r="AN106" i="11" s="1"/>
  <c r="AA242" i="4"/>
  <c r="AB18" i="16" s="1"/>
  <c r="AB106" i="11" s="1"/>
  <c r="M242" i="4"/>
  <c r="N18" i="16" s="1"/>
  <c r="N106" i="11" s="1"/>
  <c r="AO242" i="4"/>
  <c r="AP18" i="16" s="1"/>
  <c r="AP106" i="11" s="1"/>
  <c r="N242" i="4"/>
  <c r="O18" i="16" s="1"/>
  <c r="O106" i="11" s="1"/>
  <c r="T242" i="4"/>
  <c r="U18" i="16" s="1"/>
  <c r="U106" i="11" s="1"/>
  <c r="BJ242" i="4"/>
  <c r="BK18" i="16" s="1"/>
  <c r="BK106" i="11" s="1"/>
  <c r="AF242" i="4"/>
  <c r="AG18" i="16" s="1"/>
  <c r="AG106" i="11" s="1"/>
  <c r="AW242" i="4"/>
  <c r="AX18" i="16" s="1"/>
  <c r="AX106" i="11" s="1"/>
  <c r="AG242" i="4"/>
  <c r="AH18" i="16" s="1"/>
  <c r="AH106" i="11" s="1"/>
  <c r="L242" i="4"/>
  <c r="M18" i="16" s="1"/>
  <c r="M106" i="11" s="1"/>
  <c r="AT242" i="4"/>
  <c r="AU18" i="16" s="1"/>
  <c r="AU106" i="11" s="1"/>
  <c r="AD242" i="4"/>
  <c r="AE18" i="16" s="1"/>
  <c r="AE106" i="11" s="1"/>
  <c r="BB242" i="4"/>
  <c r="BC18" i="16" s="1"/>
  <c r="BC106" i="11" s="1"/>
  <c r="P242" i="4"/>
  <c r="Q18" i="16" s="1"/>
  <c r="Q106" i="11" s="1"/>
  <c r="AI242" i="4"/>
  <c r="AJ18" i="16" s="1"/>
  <c r="AJ106" i="11" s="1"/>
  <c r="AE242" i="4"/>
  <c r="AF18" i="16" s="1"/>
  <c r="AF106" i="11" s="1"/>
  <c r="U242" i="4"/>
  <c r="V18" i="16" s="1"/>
  <c r="V106" i="11" s="1"/>
  <c r="AB242" i="4"/>
  <c r="AC18" i="16" s="1"/>
  <c r="AC106" i="11" s="1"/>
  <c r="BA242" i="4"/>
  <c r="BB18" i="16" s="1"/>
  <c r="BB106" i="11" s="1"/>
  <c r="Q242" i="4"/>
  <c r="R18" i="16" s="1"/>
  <c r="R106" i="11" s="1"/>
  <c r="AR242" i="4"/>
  <c r="AS18" i="16" s="1"/>
  <c r="AS106" i="11" s="1"/>
  <c r="O242" i="4"/>
  <c r="P18" i="16" s="1"/>
  <c r="P106" i="11" s="1"/>
  <c r="D242" i="4"/>
  <c r="E18" i="16" s="1"/>
  <c r="AQ242" i="4"/>
  <c r="AR18" i="16" s="1"/>
  <c r="AR106" i="11" s="1"/>
  <c r="W242" i="4"/>
  <c r="X18" i="16" s="1"/>
  <c r="X106" i="11" s="1"/>
  <c r="Z242" i="4"/>
  <c r="AA18" i="16" s="1"/>
  <c r="AA106" i="11" s="1"/>
  <c r="BI242" i="4"/>
  <c r="BJ18" i="16" s="1"/>
  <c r="BJ106" i="11" s="1"/>
  <c r="AS242" i="4"/>
  <c r="AT18" i="16" s="1"/>
  <c r="AT106" i="11" s="1"/>
  <c r="AK242" i="4"/>
  <c r="AL18" i="16" s="1"/>
  <c r="AL106" i="11" s="1"/>
  <c r="F79" i="7"/>
  <c r="F80" i="7" s="1"/>
  <c r="P21" i="7"/>
  <c r="N21" i="7"/>
  <c r="O22" i="7" s="1"/>
  <c r="M80" i="7"/>
  <c r="L81" i="7"/>
  <c r="E85" i="22" l="1"/>
  <c r="E106" i="11"/>
  <c r="T85" i="22"/>
  <c r="BM106" i="11"/>
  <c r="F85" i="22"/>
  <c r="K85" i="22"/>
  <c r="O85" i="22"/>
  <c r="R85" i="22"/>
  <c r="Q85" i="22"/>
  <c r="H85" i="22"/>
  <c r="P85" i="22"/>
  <c r="N85" i="22"/>
  <c r="S85" i="22"/>
  <c r="G85" i="22"/>
  <c r="M85" i="22"/>
  <c r="J85" i="22"/>
  <c r="L85" i="22"/>
  <c r="I85" i="22"/>
  <c r="C242" i="4"/>
  <c r="N22" i="7"/>
  <c r="O23" i="7" s="1"/>
  <c r="P22" i="7"/>
  <c r="E19" i="16"/>
  <c r="M81" i="7"/>
  <c r="L82" i="7"/>
  <c r="F16" i="16" l="1"/>
  <c r="F19" i="16" s="1"/>
  <c r="P23" i="7"/>
  <c r="N23" i="7"/>
  <c r="O24" i="7" s="1"/>
  <c r="M82" i="7"/>
  <c r="L83" i="7"/>
  <c r="N24" i="7" l="1"/>
  <c r="O25" i="7" s="1"/>
  <c r="P24" i="7"/>
  <c r="G16" i="16"/>
  <c r="G19" i="16" s="1"/>
  <c r="M83" i="7"/>
  <c r="L84" i="7"/>
  <c r="N25" i="7" l="1"/>
  <c r="O26" i="7" s="1"/>
  <c r="P25" i="7"/>
  <c r="H16" i="16"/>
  <c r="H19" i="16" s="1"/>
  <c r="E22" i="22" s="1"/>
  <c r="E25" i="22" s="1"/>
  <c r="E26" i="22" s="1"/>
  <c r="E32" i="22" s="1"/>
  <c r="M84" i="7"/>
  <c r="L85" i="7"/>
  <c r="C79" i="34" l="1"/>
  <c r="O79" i="34"/>
  <c r="J79" i="34"/>
  <c r="Q79" i="34"/>
  <c r="K79" i="34"/>
  <c r="P79" i="34"/>
  <c r="G79" i="34"/>
  <c r="E79" i="34"/>
  <c r="H79" i="34"/>
  <c r="F79" i="34"/>
  <c r="L79" i="34"/>
  <c r="R79" i="34"/>
  <c r="D79" i="34"/>
  <c r="I79" i="34"/>
  <c r="M79" i="34"/>
  <c r="N79" i="34"/>
  <c r="I16" i="16"/>
  <c r="I19" i="16" s="1"/>
  <c r="P26" i="7"/>
  <c r="N26" i="7"/>
  <c r="O27" i="7" s="1"/>
  <c r="M85" i="7"/>
  <c r="L86" i="7"/>
  <c r="E37" i="22" l="1"/>
  <c r="C104" i="34"/>
  <c r="J16" i="16"/>
  <c r="J19" i="16" s="1"/>
  <c r="N27" i="7"/>
  <c r="O28" i="7" s="1"/>
  <c r="P27" i="7"/>
  <c r="M86" i="7"/>
  <c r="L87" i="7"/>
  <c r="K16" i="16" l="1"/>
  <c r="K19" i="16" s="1"/>
  <c r="P28" i="7"/>
  <c r="N28" i="7"/>
  <c r="O29" i="7" s="1"/>
  <c r="M87" i="7"/>
  <c r="L88" i="7"/>
  <c r="C101" i="34" l="1"/>
  <c r="C103" i="34"/>
  <c r="C14" i="34"/>
  <c r="N29" i="7"/>
  <c r="O30" i="7" s="1"/>
  <c r="P29" i="7"/>
  <c r="L16" i="16"/>
  <c r="L19" i="16" s="1"/>
  <c r="F22" i="22" s="1"/>
  <c r="F25" i="22" s="1"/>
  <c r="F26" i="22" s="1"/>
  <c r="F32" i="22" s="1"/>
  <c r="F34" i="22" s="1"/>
  <c r="M88" i="7"/>
  <c r="L89" i="7"/>
  <c r="C114" i="34" l="1"/>
  <c r="M16" i="16"/>
  <c r="M19" i="16" s="1"/>
  <c r="N30" i="7"/>
  <c r="O31" i="7" s="1"/>
  <c r="P30" i="7"/>
  <c r="M89" i="7"/>
  <c r="L90" i="7"/>
  <c r="F37" i="22" l="1"/>
  <c r="D104" i="34"/>
  <c r="N31" i="7"/>
  <c r="O32" i="7" s="1"/>
  <c r="P31" i="7"/>
  <c r="N16" i="16"/>
  <c r="N19" i="16" s="1"/>
  <c r="M90" i="7"/>
  <c r="L91" i="7"/>
  <c r="D14" i="34" l="1"/>
  <c r="N32" i="7"/>
  <c r="O33" i="7" s="1"/>
  <c r="P32" i="7"/>
  <c r="O16" i="16"/>
  <c r="O19" i="16" s="1"/>
  <c r="M91" i="7"/>
  <c r="L92" i="7"/>
  <c r="D114" i="34" l="1"/>
  <c r="D101" i="34"/>
  <c r="D103" i="34"/>
  <c r="P16" i="16"/>
  <c r="P19" i="16" s="1"/>
  <c r="G22" i="22" s="1"/>
  <c r="G25" i="22" s="1"/>
  <c r="G26" i="22" s="1"/>
  <c r="G32" i="22" s="1"/>
  <c r="G34" i="22" s="1"/>
  <c r="P33" i="7"/>
  <c r="N33" i="7"/>
  <c r="O34" i="7" s="1"/>
  <c r="M92" i="7"/>
  <c r="L93" i="7"/>
  <c r="Q16" i="16" l="1"/>
  <c r="Q19" i="16" s="1"/>
  <c r="P34" i="7"/>
  <c r="N34" i="7"/>
  <c r="O35" i="7" s="1"/>
  <c r="M93" i="7"/>
  <c r="L94" i="7"/>
  <c r="G37" i="22" l="1"/>
  <c r="E104" i="34"/>
  <c r="R16" i="16"/>
  <c r="R19" i="16" s="1"/>
  <c r="N35" i="7"/>
  <c r="O36" i="7" s="1"/>
  <c r="P35" i="7"/>
  <c r="M94" i="7"/>
  <c r="L95" i="7"/>
  <c r="P36" i="7" l="1"/>
  <c r="N36" i="7"/>
  <c r="O37" i="7" s="1"/>
  <c r="S16" i="16"/>
  <c r="S19" i="16" s="1"/>
  <c r="M95" i="7"/>
  <c r="L96" i="7"/>
  <c r="E101" i="34" l="1"/>
  <c r="E103" i="34"/>
  <c r="E14" i="34"/>
  <c r="T16" i="16"/>
  <c r="T19" i="16" s="1"/>
  <c r="H22" i="22" s="1"/>
  <c r="H25" i="22" s="1"/>
  <c r="H26" i="22" s="1"/>
  <c r="H32" i="22" s="1"/>
  <c r="H34" i="22" s="1"/>
  <c r="N37" i="7"/>
  <c r="O38" i="7" s="1"/>
  <c r="P37" i="7"/>
  <c r="M96" i="7"/>
  <c r="L97" i="7"/>
  <c r="E114" i="34" l="1"/>
  <c r="N38" i="7"/>
  <c r="O39" i="7" s="1"/>
  <c r="P38" i="7"/>
  <c r="U16" i="16"/>
  <c r="U19" i="16" s="1"/>
  <c r="M97" i="7"/>
  <c r="L98" i="7"/>
  <c r="H37" i="22" l="1"/>
  <c r="F104" i="34"/>
  <c r="V16" i="16"/>
  <c r="V19" i="16" s="1"/>
  <c r="N39" i="7"/>
  <c r="O40" i="7" s="1"/>
  <c r="P39" i="7"/>
  <c r="M98" i="7"/>
  <c r="L99" i="7"/>
  <c r="F14" i="34" l="1"/>
  <c r="P40" i="7"/>
  <c r="N40" i="7"/>
  <c r="O41" i="7" s="1"/>
  <c r="W16" i="16"/>
  <c r="W19" i="16" s="1"/>
  <c r="U37" i="22"/>
  <c r="M99" i="7"/>
  <c r="L100" i="7"/>
  <c r="F114" i="34" l="1"/>
  <c r="F101" i="34"/>
  <c r="F103" i="34"/>
  <c r="V37" i="22"/>
  <c r="X16" i="16"/>
  <c r="X19" i="16" s="1"/>
  <c r="I22" i="22" s="1"/>
  <c r="N41" i="7"/>
  <c r="O42" i="7" s="1"/>
  <c r="P41" i="7"/>
  <c r="M100" i="7"/>
  <c r="L101" i="7"/>
  <c r="I25" i="22" l="1"/>
  <c r="I26" i="22" s="1"/>
  <c r="I32" i="22" s="1"/>
  <c r="I34" i="22" s="1"/>
  <c r="P42" i="7"/>
  <c r="N42" i="7"/>
  <c r="O43" i="7" s="1"/>
  <c r="Y16" i="16"/>
  <c r="Y19" i="16" s="1"/>
  <c r="W37" i="22"/>
  <c r="M101" i="7"/>
  <c r="L102" i="7"/>
  <c r="I37" i="22" l="1"/>
  <c r="G104" i="34"/>
  <c r="N43" i="7"/>
  <c r="O44" i="7" s="1"/>
  <c r="P43" i="7"/>
  <c r="X37" i="22"/>
  <c r="Z16" i="16"/>
  <c r="Z19" i="16" s="1"/>
  <c r="M102" i="7"/>
  <c r="L103" i="7"/>
  <c r="AA16" i="16" l="1"/>
  <c r="AA19" i="16" s="1"/>
  <c r="Y37" i="22"/>
  <c r="N44" i="7"/>
  <c r="O45" i="7" s="1"/>
  <c r="P44" i="7"/>
  <c r="M103" i="7"/>
  <c r="L104" i="7"/>
  <c r="G101" i="34" l="1"/>
  <c r="G103" i="34"/>
  <c r="G14" i="34"/>
  <c r="Z37" i="22"/>
  <c r="N45" i="7"/>
  <c r="O46" i="7" s="1"/>
  <c r="P45" i="7"/>
  <c r="AB16" i="16"/>
  <c r="AB19" i="16" s="1"/>
  <c r="J22" i="22" s="1"/>
  <c r="J25" i="22" s="1"/>
  <c r="J26" i="22" s="1"/>
  <c r="J32" i="22" s="1"/>
  <c r="J34" i="22" s="1"/>
  <c r="M104" i="7"/>
  <c r="L105" i="7"/>
  <c r="G114" i="34" l="1"/>
  <c r="N46" i="7"/>
  <c r="O47" i="7" s="1"/>
  <c r="P46" i="7"/>
  <c r="AA37" i="22"/>
  <c r="AC16" i="16"/>
  <c r="AC19" i="16" s="1"/>
  <c r="M105" i="7"/>
  <c r="L106" i="7"/>
  <c r="J37" i="22" l="1"/>
  <c r="H104" i="34"/>
  <c r="AD16" i="16"/>
  <c r="AD19" i="16" s="1"/>
  <c r="AB37" i="22"/>
  <c r="N47" i="7"/>
  <c r="O48" i="7" s="1"/>
  <c r="P47" i="7"/>
  <c r="M106" i="7"/>
  <c r="L107" i="7"/>
  <c r="N48" i="7" l="1"/>
  <c r="O49" i="7" s="1"/>
  <c r="P48" i="7"/>
  <c r="AC37" i="22"/>
  <c r="AE16" i="16"/>
  <c r="AE19" i="16" s="1"/>
  <c r="M107" i="7"/>
  <c r="L108" i="7"/>
  <c r="H101" i="34" l="1"/>
  <c r="H103" i="34"/>
  <c r="H14" i="34"/>
  <c r="AD37" i="22"/>
  <c r="AF16" i="16"/>
  <c r="AF19" i="16" s="1"/>
  <c r="K22" i="22" s="1"/>
  <c r="K25" i="22" s="1"/>
  <c r="K26" i="22" s="1"/>
  <c r="K32" i="22" s="1"/>
  <c r="K34" i="22" s="1"/>
  <c r="P49" i="7"/>
  <c r="N49" i="7"/>
  <c r="O50" i="7" s="1"/>
  <c r="M108" i="7"/>
  <c r="L109" i="7"/>
  <c r="H114" i="34" l="1"/>
  <c r="AG16" i="16"/>
  <c r="AG19" i="16" s="1"/>
  <c r="AE37" i="22"/>
  <c r="P50" i="7"/>
  <c r="N50" i="7"/>
  <c r="O51" i="7" s="1"/>
  <c r="M109" i="7"/>
  <c r="L110" i="7"/>
  <c r="K37" i="22" l="1"/>
  <c r="I104" i="34"/>
  <c r="N51" i="7"/>
  <c r="O52" i="7" s="1"/>
  <c r="P51" i="7"/>
  <c r="AF37" i="22"/>
  <c r="AH16" i="16"/>
  <c r="AH19" i="16" s="1"/>
  <c r="M110" i="7"/>
  <c r="L111" i="7"/>
  <c r="I14" i="34" l="1"/>
  <c r="AI16" i="16"/>
  <c r="AI19" i="16" s="1"/>
  <c r="AG37" i="22"/>
  <c r="N52" i="7"/>
  <c r="O53" i="7" s="1"/>
  <c r="P52" i="7"/>
  <c r="M111" i="7"/>
  <c r="L112" i="7"/>
  <c r="I114" i="34" l="1"/>
  <c r="I101" i="34"/>
  <c r="I103" i="34"/>
  <c r="AJ16" i="16"/>
  <c r="AJ19" i="16" s="1"/>
  <c r="L22" i="22" s="1"/>
  <c r="L25" i="22" s="1"/>
  <c r="L26" i="22" s="1"/>
  <c r="L32" i="22" s="1"/>
  <c r="L34" i="22" s="1"/>
  <c r="AH37" i="22"/>
  <c r="P53" i="7"/>
  <c r="N53" i="7"/>
  <c r="O54" i="7" s="1"/>
  <c r="M112" i="7"/>
  <c r="L113" i="7"/>
  <c r="N54" i="7" l="1"/>
  <c r="O55" i="7" s="1"/>
  <c r="P54" i="7"/>
  <c r="AK16" i="16"/>
  <c r="AK19" i="16" s="1"/>
  <c r="AI37" i="22"/>
  <c r="M113" i="7"/>
  <c r="L114" i="7"/>
  <c r="L37" i="22" l="1"/>
  <c r="J104" i="34"/>
  <c r="AL16" i="16"/>
  <c r="AL19" i="16" s="1"/>
  <c r="AJ37" i="22"/>
  <c r="N55" i="7"/>
  <c r="O56" i="7" s="1"/>
  <c r="P55" i="7"/>
  <c r="M114" i="7"/>
  <c r="L115" i="7"/>
  <c r="P56" i="7" l="1"/>
  <c r="N56" i="7"/>
  <c r="O57" i="7" s="1"/>
  <c r="AM16" i="16"/>
  <c r="AM19" i="16" s="1"/>
  <c r="AK37" i="22"/>
  <c r="M115" i="7"/>
  <c r="L116" i="7"/>
  <c r="J101" i="34" l="1"/>
  <c r="J103" i="34"/>
  <c r="J14" i="34"/>
  <c r="AN16" i="16"/>
  <c r="AN19" i="16" s="1"/>
  <c r="M22" i="22" s="1"/>
  <c r="M25" i="22" s="1"/>
  <c r="M26" i="22" s="1"/>
  <c r="M32" i="22" s="1"/>
  <c r="M34" i="22" s="1"/>
  <c r="AL37" i="22"/>
  <c r="N57" i="7"/>
  <c r="O58" i="7" s="1"/>
  <c r="P57" i="7"/>
  <c r="M116" i="7"/>
  <c r="L117" i="7"/>
  <c r="J114" i="34" l="1"/>
  <c r="AO16" i="16"/>
  <c r="AO19" i="16" s="1"/>
  <c r="AM37" i="22"/>
  <c r="P58" i="7"/>
  <c r="N58" i="7"/>
  <c r="O59" i="7" s="1"/>
  <c r="M117" i="7"/>
  <c r="L118" i="7"/>
  <c r="M37" i="22" l="1"/>
  <c r="K104" i="34"/>
  <c r="AN37" i="22"/>
  <c r="AP16" i="16"/>
  <c r="AP19" i="16" s="1"/>
  <c r="N59" i="7"/>
  <c r="O60" i="7" s="1"/>
  <c r="P59" i="7"/>
  <c r="M118" i="7"/>
  <c r="L119" i="7"/>
  <c r="AQ16" i="16" l="1"/>
  <c r="AQ19" i="16" s="1"/>
  <c r="N60" i="7"/>
  <c r="O61" i="7" s="1"/>
  <c r="P60" i="7"/>
  <c r="AO37" i="22"/>
  <c r="M119" i="7"/>
  <c r="L120" i="7"/>
  <c r="K101" i="34" l="1"/>
  <c r="K103" i="34"/>
  <c r="K14" i="34"/>
  <c r="P61" i="7"/>
  <c r="N61" i="7"/>
  <c r="O62" i="7" s="1"/>
  <c r="AP37" i="22"/>
  <c r="AR16" i="16"/>
  <c r="AR19" i="16" s="1"/>
  <c r="N22" i="22" s="1"/>
  <c r="N25" i="22" s="1"/>
  <c r="N26" i="22" s="1"/>
  <c r="N32" i="22" s="1"/>
  <c r="N34" i="22" s="1"/>
  <c r="M120" i="7"/>
  <c r="L121" i="7"/>
  <c r="K114" i="34" l="1"/>
  <c r="AQ37" i="22"/>
  <c r="AS16" i="16"/>
  <c r="AS19" i="16" s="1"/>
  <c r="N62" i="7"/>
  <c r="O63" i="7" s="1"/>
  <c r="P62" i="7"/>
  <c r="M121" i="7"/>
  <c r="L122" i="7"/>
  <c r="N37" i="22" l="1"/>
  <c r="L104" i="34"/>
  <c r="AR37" i="22"/>
  <c r="AT16" i="16"/>
  <c r="AT19" i="16" s="1"/>
  <c r="P63" i="7"/>
  <c r="N63" i="7"/>
  <c r="O64" i="7" s="1"/>
  <c r="M122" i="7"/>
  <c r="L123" i="7"/>
  <c r="AU16" i="16" l="1"/>
  <c r="AU19" i="16" s="1"/>
  <c r="AS37" i="22"/>
  <c r="N64" i="7"/>
  <c r="O65" i="7" s="1"/>
  <c r="P64" i="7"/>
  <c r="M123" i="7"/>
  <c r="L124" i="7"/>
  <c r="L101" i="34" l="1"/>
  <c r="L103" i="34"/>
  <c r="L14" i="34"/>
  <c r="AV16" i="16"/>
  <c r="AV19" i="16" s="1"/>
  <c r="O22" i="22" s="1"/>
  <c r="AT37" i="22"/>
  <c r="N65" i="7"/>
  <c r="O66" i="7" s="1"/>
  <c r="P65" i="7"/>
  <c r="M124" i="7"/>
  <c r="L125" i="7"/>
  <c r="O25" i="22" l="1"/>
  <c r="O26" i="22" s="1"/>
  <c r="O32" i="22" s="1"/>
  <c r="O34" i="22" s="1"/>
  <c r="L114" i="34"/>
  <c r="P66" i="7"/>
  <c r="N66" i="7"/>
  <c r="O67" i="7" s="1"/>
  <c r="AU37" i="22"/>
  <c r="AW16" i="16"/>
  <c r="AW19" i="16" s="1"/>
  <c r="M125" i="7"/>
  <c r="L126" i="7"/>
  <c r="O37" i="22" l="1"/>
  <c r="M104" i="34"/>
  <c r="AX16" i="16"/>
  <c r="AX19" i="16" s="1"/>
  <c r="AV37" i="22"/>
  <c r="P67" i="7"/>
  <c r="N67" i="7"/>
  <c r="O68" i="7" s="1"/>
  <c r="M126" i="7"/>
  <c r="L127" i="7"/>
  <c r="N68" i="7" l="1"/>
  <c r="O69" i="7" s="1"/>
  <c r="P68" i="7"/>
  <c r="AW37" i="22"/>
  <c r="AY16" i="16"/>
  <c r="AY19" i="16" s="1"/>
  <c r="M127" i="7"/>
  <c r="L128" i="7"/>
  <c r="M101" i="34" l="1"/>
  <c r="M103" i="34"/>
  <c r="M14" i="34"/>
  <c r="AX37" i="22"/>
  <c r="AZ16" i="16"/>
  <c r="AZ19" i="16" s="1"/>
  <c r="P22" i="22" s="1"/>
  <c r="P69" i="7"/>
  <c r="N69" i="7"/>
  <c r="O70" i="7" s="1"/>
  <c r="M128" i="7"/>
  <c r="L129" i="7"/>
  <c r="P25" i="22" l="1"/>
  <c r="P26" i="22" s="1"/>
  <c r="P32" i="22" s="1"/>
  <c r="P34" i="22" s="1"/>
  <c r="M114" i="34"/>
  <c r="AY37" i="22"/>
  <c r="BA16" i="16"/>
  <c r="BA19" i="16" s="1"/>
  <c r="P70" i="7"/>
  <c r="N70" i="7"/>
  <c r="O71" i="7" s="1"/>
  <c r="M129" i="7"/>
  <c r="L130" i="7"/>
  <c r="P37" i="22" l="1"/>
  <c r="N104" i="34"/>
  <c r="BB16" i="16"/>
  <c r="BB19" i="16" s="1"/>
  <c r="P71" i="7"/>
  <c r="N71" i="7"/>
  <c r="O72" i="7" s="1"/>
  <c r="AZ37" i="22"/>
  <c r="M130" i="7"/>
  <c r="L131" i="7"/>
  <c r="N14" i="34" l="1"/>
  <c r="N72" i="7"/>
  <c r="O73" i="7" s="1"/>
  <c r="P72" i="7"/>
  <c r="BA37" i="22"/>
  <c r="BC16" i="16"/>
  <c r="BC19" i="16" s="1"/>
  <c r="M131" i="7"/>
  <c r="L132" i="7"/>
  <c r="N114" i="34" l="1"/>
  <c r="N101" i="34"/>
  <c r="N103" i="34"/>
  <c r="BD16" i="16"/>
  <c r="BD19" i="16" s="1"/>
  <c r="Q22" i="22" s="1"/>
  <c r="Q25" i="22" s="1"/>
  <c r="Q26" i="22" s="1"/>
  <c r="Q32" i="22" s="1"/>
  <c r="Q34" i="22" s="1"/>
  <c r="BB37" i="22"/>
  <c r="N73" i="7"/>
  <c r="O74" i="7" s="1"/>
  <c r="P73" i="7"/>
  <c r="M132" i="7"/>
  <c r="L133" i="7"/>
  <c r="BE16" i="16" l="1"/>
  <c r="BE19" i="16" s="1"/>
  <c r="BC37" i="22"/>
  <c r="P74" i="7"/>
  <c r="N74" i="7"/>
  <c r="O75" i="7" s="1"/>
  <c r="M133" i="7"/>
  <c r="L134" i="7"/>
  <c r="Q37" i="22" l="1"/>
  <c r="O104" i="34"/>
  <c r="BD37" i="22"/>
  <c r="BF16" i="16"/>
  <c r="BF19" i="16" s="1"/>
  <c r="P75" i="7"/>
  <c r="N75" i="7"/>
  <c r="O76" i="7" s="1"/>
  <c r="M134" i="7"/>
  <c r="L135" i="7"/>
  <c r="O14" i="34" l="1"/>
  <c r="BG16" i="16"/>
  <c r="BG19" i="16" s="1"/>
  <c r="BE37" i="22"/>
  <c r="N76" i="7"/>
  <c r="O77" i="7" s="1"/>
  <c r="P76" i="7"/>
  <c r="M135" i="7"/>
  <c r="L136" i="7"/>
  <c r="O114" i="34" l="1"/>
  <c r="O101" i="34"/>
  <c r="O103" i="34"/>
  <c r="BH16" i="16"/>
  <c r="BH19" i="16" s="1"/>
  <c r="R22" i="22" s="1"/>
  <c r="R25" i="22" s="1"/>
  <c r="R26" i="22" s="1"/>
  <c r="R32" i="22" s="1"/>
  <c r="R34" i="22" s="1"/>
  <c r="N77" i="7"/>
  <c r="O78" i="7" s="1"/>
  <c r="P77" i="7"/>
  <c r="BF37" i="22"/>
  <c r="M136" i="7"/>
  <c r="L137" i="7"/>
  <c r="P78" i="7" l="1"/>
  <c r="N78" i="7"/>
  <c r="O79" i="7" s="1"/>
  <c r="BI16" i="16"/>
  <c r="BI19" i="16" s="1"/>
  <c r="BG37" i="22"/>
  <c r="M137" i="7"/>
  <c r="L138" i="7"/>
  <c r="P104" i="34" l="1"/>
  <c r="BJ16" i="16"/>
  <c r="BJ19" i="16" s="1"/>
  <c r="BH37" i="22"/>
  <c r="N79" i="7"/>
  <c r="O80" i="7" s="1"/>
  <c r="P79" i="7"/>
  <c r="M138" i="7"/>
  <c r="L139" i="7"/>
  <c r="P14" i="34" l="1"/>
  <c r="N80" i="7"/>
  <c r="O81" i="7" s="1"/>
  <c r="P80" i="7"/>
  <c r="BI37" i="22"/>
  <c r="BK16" i="16"/>
  <c r="BK19" i="16" s="1"/>
  <c r="M139" i="7"/>
  <c r="L140" i="7"/>
  <c r="P114" i="34" l="1"/>
  <c r="P101" i="34"/>
  <c r="P103" i="34"/>
  <c r="BL16" i="16"/>
  <c r="BL19" i="16" s="1"/>
  <c r="S22" i="22" s="1"/>
  <c r="S25" i="22" s="1"/>
  <c r="S26" i="22" s="1"/>
  <c r="S32" i="22" s="1"/>
  <c r="S34" i="22" s="1"/>
  <c r="BJ37" i="22"/>
  <c r="P81" i="7"/>
  <c r="N81" i="7"/>
  <c r="O82" i="7" s="1"/>
  <c r="M140" i="7"/>
  <c r="L141" i="7"/>
  <c r="BM16" i="16" l="1"/>
  <c r="BM19" i="16" s="1"/>
  <c r="T22" i="22" s="1"/>
  <c r="T25" i="22" s="1"/>
  <c r="T26" i="22" s="1"/>
  <c r="T32" i="22" s="1"/>
  <c r="T34" i="22" s="1"/>
  <c r="BK37" i="22"/>
  <c r="N82" i="7"/>
  <c r="O83" i="7" s="1"/>
  <c r="P82" i="7"/>
  <c r="M141" i="7"/>
  <c r="L142" i="7"/>
  <c r="S37" i="22" l="1"/>
  <c r="Q104" i="34"/>
  <c r="BL37" i="22"/>
  <c r="N83" i="7"/>
  <c r="O84" i="7" s="1"/>
  <c r="P83" i="7"/>
  <c r="M142" i="7"/>
  <c r="L143" i="7"/>
  <c r="Q14" i="34" l="1"/>
  <c r="N84" i="7"/>
  <c r="O85" i="7" s="1"/>
  <c r="P84" i="7"/>
  <c r="BM37" i="22"/>
  <c r="M143" i="7"/>
  <c r="L144" i="7"/>
  <c r="R37" i="22" l="1"/>
  <c r="T37" i="22"/>
  <c r="Q114" i="34"/>
  <c r="R104" i="34"/>
  <c r="Q101" i="34"/>
  <c r="Q103" i="34"/>
  <c r="N85" i="7"/>
  <c r="O86" i="7" s="1"/>
  <c r="P85" i="7"/>
  <c r="M144" i="7"/>
  <c r="L145" i="7"/>
  <c r="P86" i="7" l="1"/>
  <c r="N86" i="7"/>
  <c r="O87" i="7" s="1"/>
  <c r="M145" i="7"/>
  <c r="L146" i="7"/>
  <c r="R101" i="34" l="1"/>
  <c r="R103" i="34"/>
  <c r="R14" i="34"/>
  <c r="N87" i="7"/>
  <c r="O88" i="7" s="1"/>
  <c r="P87" i="7"/>
  <c r="M146" i="7"/>
  <c r="L147" i="7"/>
  <c r="R114" i="34" l="1"/>
  <c r="P88" i="7"/>
  <c r="N88" i="7"/>
  <c r="O89" i="7" s="1"/>
  <c r="M147" i="7"/>
  <c r="L148" i="7"/>
  <c r="P89" i="7" l="1"/>
  <c r="N89" i="7"/>
  <c r="O90" i="7" s="1"/>
  <c r="M148" i="7"/>
  <c r="L149" i="7"/>
  <c r="N90" i="7" l="1"/>
  <c r="O91" i="7" s="1"/>
  <c r="P90" i="7"/>
  <c r="M149" i="7"/>
  <c r="L150" i="7"/>
  <c r="P91" i="7" l="1"/>
  <c r="N91" i="7"/>
  <c r="O92" i="7" s="1"/>
  <c r="M150" i="7"/>
  <c r="L151" i="7"/>
  <c r="P92" i="7" l="1"/>
  <c r="N92" i="7"/>
  <c r="O93" i="7" s="1"/>
  <c r="M151" i="7"/>
  <c r="L152" i="7"/>
  <c r="N93" i="7" l="1"/>
  <c r="O94" i="7" s="1"/>
  <c r="P93" i="7"/>
  <c r="M152" i="7"/>
  <c r="L153" i="7"/>
  <c r="P94" i="7" l="1"/>
  <c r="N94" i="7"/>
  <c r="O95" i="7" s="1"/>
  <c r="M153" i="7"/>
  <c r="L154" i="7"/>
  <c r="P95" i="7" l="1"/>
  <c r="N95" i="7"/>
  <c r="O96" i="7" s="1"/>
  <c r="M154" i="7"/>
  <c r="L155" i="7"/>
  <c r="P96" i="7" l="1"/>
  <c r="N96" i="7"/>
  <c r="O97" i="7" s="1"/>
  <c r="M155" i="7"/>
  <c r="L156" i="7"/>
  <c r="P97" i="7" l="1"/>
  <c r="N97" i="7"/>
  <c r="O98" i="7" s="1"/>
  <c r="M156" i="7"/>
  <c r="L157" i="7"/>
  <c r="P98" i="7" l="1"/>
  <c r="N98" i="7"/>
  <c r="O99" i="7" s="1"/>
  <c r="M157" i="7"/>
  <c r="L158" i="7"/>
  <c r="N99" i="7" l="1"/>
  <c r="O100" i="7" s="1"/>
  <c r="P99" i="7"/>
  <c r="M158" i="7"/>
  <c r="L159" i="7"/>
  <c r="P100" i="7" l="1"/>
  <c r="N100" i="7"/>
  <c r="O101" i="7" s="1"/>
  <c r="M159" i="7"/>
  <c r="L160" i="7"/>
  <c r="N101" i="7" l="1"/>
  <c r="O102" i="7" s="1"/>
  <c r="P101" i="7"/>
  <c r="M160" i="7"/>
  <c r="L161" i="7"/>
  <c r="N102" i="7" l="1"/>
  <c r="O103" i="7" s="1"/>
  <c r="P102" i="7"/>
  <c r="M161" i="7"/>
  <c r="L162" i="7"/>
  <c r="P103" i="7" l="1"/>
  <c r="N103" i="7"/>
  <c r="O104" i="7" s="1"/>
  <c r="M162" i="7"/>
  <c r="L163" i="7"/>
  <c r="N104" i="7" l="1"/>
  <c r="O105" i="7" s="1"/>
  <c r="P104" i="7"/>
  <c r="M163" i="7"/>
  <c r="L164" i="7"/>
  <c r="N105" i="7" l="1"/>
  <c r="O106" i="7" s="1"/>
  <c r="P105" i="7"/>
  <c r="M164" i="7"/>
  <c r="L165" i="7"/>
  <c r="N106" i="7" l="1"/>
  <c r="O107" i="7" s="1"/>
  <c r="P106" i="7"/>
  <c r="M165" i="7"/>
  <c r="L166" i="7"/>
  <c r="P107" i="7" l="1"/>
  <c r="N107" i="7"/>
  <c r="O108" i="7" s="1"/>
  <c r="M166" i="7"/>
  <c r="L167" i="7"/>
  <c r="N108" i="7" l="1"/>
  <c r="O109" i="7" s="1"/>
  <c r="P108" i="7"/>
  <c r="M167" i="7"/>
  <c r="L168" i="7"/>
  <c r="N109" i="7" l="1"/>
  <c r="O110" i="7" s="1"/>
  <c r="P109" i="7"/>
  <c r="M168" i="7"/>
  <c r="L169" i="7"/>
  <c r="N110" i="7" l="1"/>
  <c r="O111" i="7" s="1"/>
  <c r="P110" i="7"/>
  <c r="M169" i="7"/>
  <c r="L170" i="7"/>
  <c r="P111" i="7" l="1"/>
  <c r="N111" i="7"/>
  <c r="O112" i="7" s="1"/>
  <c r="M170" i="7"/>
  <c r="L171" i="7"/>
  <c r="N112" i="7" l="1"/>
  <c r="O113" i="7" s="1"/>
  <c r="P112" i="7"/>
  <c r="M171" i="7"/>
  <c r="L172" i="7"/>
  <c r="N113" i="7" l="1"/>
  <c r="O114" i="7" s="1"/>
  <c r="P113" i="7"/>
  <c r="M172" i="7"/>
  <c r="L173" i="7"/>
  <c r="P114" i="7" l="1"/>
  <c r="N114" i="7"/>
  <c r="O115" i="7" s="1"/>
  <c r="M173" i="7"/>
  <c r="L174" i="7"/>
  <c r="N115" i="7" l="1"/>
  <c r="O116" i="7" s="1"/>
  <c r="P115" i="7"/>
  <c r="M174" i="7"/>
  <c r="L175" i="7"/>
  <c r="P116" i="7" l="1"/>
  <c r="N116" i="7"/>
  <c r="O117" i="7" s="1"/>
  <c r="M175" i="7"/>
  <c r="L176" i="7"/>
  <c r="P117" i="7" l="1"/>
  <c r="N117" i="7"/>
  <c r="O118" i="7" s="1"/>
  <c r="M176" i="7"/>
  <c r="L177" i="7"/>
  <c r="P118" i="7" l="1"/>
  <c r="N118" i="7"/>
  <c r="O119" i="7" s="1"/>
  <c r="M177" i="7"/>
  <c r="L178" i="7"/>
  <c r="N119" i="7" l="1"/>
  <c r="O120" i="7" s="1"/>
  <c r="P119" i="7"/>
  <c r="M178" i="7"/>
  <c r="L179" i="7"/>
  <c r="N120" i="7" l="1"/>
  <c r="O121" i="7" s="1"/>
  <c r="P120" i="7"/>
  <c r="M179" i="7"/>
  <c r="L180" i="7"/>
  <c r="N121" i="7" l="1"/>
  <c r="O122" i="7" s="1"/>
  <c r="P121" i="7"/>
  <c r="M180" i="7"/>
  <c r="L181" i="7"/>
  <c r="N122" i="7" l="1"/>
  <c r="O123" i="7" s="1"/>
  <c r="P122" i="7"/>
  <c r="M181" i="7"/>
  <c r="L182" i="7"/>
  <c r="P123" i="7" l="1"/>
  <c r="N123" i="7"/>
  <c r="O124" i="7" s="1"/>
  <c r="M182" i="7"/>
  <c r="L183" i="7"/>
  <c r="N124" i="7" l="1"/>
  <c r="O125" i="7" s="1"/>
  <c r="P124" i="7"/>
  <c r="M183" i="7"/>
  <c r="L184" i="7"/>
  <c r="N125" i="7" l="1"/>
  <c r="O126" i="7" s="1"/>
  <c r="P125" i="7"/>
  <c r="M184" i="7"/>
  <c r="L185" i="7"/>
  <c r="N126" i="7" l="1"/>
  <c r="O127" i="7" s="1"/>
  <c r="P126" i="7"/>
  <c r="M185" i="7"/>
  <c r="L186" i="7"/>
  <c r="P127" i="7" l="1"/>
  <c r="N127" i="7"/>
  <c r="O128" i="7" s="1"/>
  <c r="M186" i="7"/>
  <c r="L187" i="7"/>
  <c r="N128" i="7" l="1"/>
  <c r="O129" i="7" s="1"/>
  <c r="P128" i="7"/>
  <c r="M187" i="7"/>
  <c r="L188" i="7"/>
  <c r="P129" i="7" l="1"/>
  <c r="N129" i="7"/>
  <c r="O130" i="7" s="1"/>
  <c r="M188" i="7"/>
  <c r="L189" i="7"/>
  <c r="N130" i="7" l="1"/>
  <c r="O131" i="7" s="1"/>
  <c r="P130" i="7"/>
  <c r="M189" i="7"/>
  <c r="L190" i="7"/>
  <c r="P131" i="7" l="1"/>
  <c r="N131" i="7"/>
  <c r="O132" i="7" s="1"/>
  <c r="M190" i="7"/>
  <c r="L191" i="7"/>
  <c r="P132" i="7" l="1"/>
  <c r="N132" i="7"/>
  <c r="O133" i="7" s="1"/>
  <c r="M191" i="7"/>
  <c r="L192" i="7"/>
  <c r="P133" i="7" l="1"/>
  <c r="N133" i="7"/>
  <c r="O134" i="7" s="1"/>
  <c r="M192" i="7"/>
  <c r="L193" i="7"/>
  <c r="N134" i="7" l="1"/>
  <c r="O135" i="7" s="1"/>
  <c r="P134" i="7"/>
  <c r="M193" i="7"/>
  <c r="L194" i="7"/>
  <c r="P135" i="7" l="1"/>
  <c r="N135" i="7"/>
  <c r="O136" i="7" s="1"/>
  <c r="M194" i="7"/>
  <c r="L195" i="7"/>
  <c r="N136" i="7" l="1"/>
  <c r="O137" i="7" s="1"/>
  <c r="P136" i="7"/>
  <c r="M195" i="7"/>
  <c r="L196" i="7"/>
  <c r="P137" i="7" l="1"/>
  <c r="N137" i="7"/>
  <c r="O138" i="7" s="1"/>
  <c r="M196" i="7"/>
  <c r="L197" i="7"/>
  <c r="P138" i="7" l="1"/>
  <c r="N138" i="7"/>
  <c r="O139" i="7" s="1"/>
  <c r="M197" i="7"/>
  <c r="L198" i="7"/>
  <c r="P139" i="7" l="1"/>
  <c r="N139" i="7"/>
  <c r="O140" i="7" s="1"/>
  <c r="M198" i="7"/>
  <c r="L199" i="7"/>
  <c r="P140" i="7" l="1"/>
  <c r="N140" i="7"/>
  <c r="O141" i="7" s="1"/>
  <c r="M199" i="7"/>
  <c r="L200" i="7"/>
  <c r="N141" i="7" l="1"/>
  <c r="O142" i="7" s="1"/>
  <c r="P141" i="7"/>
  <c r="M200" i="7"/>
  <c r="L201" i="7"/>
  <c r="N142" i="7" l="1"/>
  <c r="O143" i="7" s="1"/>
  <c r="P142" i="7"/>
  <c r="M201" i="7"/>
  <c r="L202" i="7"/>
  <c r="N143" i="7" l="1"/>
  <c r="O144" i="7" s="1"/>
  <c r="P143" i="7"/>
  <c r="M202" i="7"/>
  <c r="L203" i="7"/>
  <c r="N144" i="7" l="1"/>
  <c r="O145" i="7" s="1"/>
  <c r="P144" i="7"/>
  <c r="M203" i="7"/>
  <c r="L204" i="7"/>
  <c r="P145" i="7" l="1"/>
  <c r="N145" i="7"/>
  <c r="O146" i="7" s="1"/>
  <c r="M204" i="7"/>
  <c r="L205" i="7"/>
  <c r="N146" i="7" l="1"/>
  <c r="O147" i="7" s="1"/>
  <c r="P146" i="7"/>
  <c r="M205" i="7"/>
  <c r="L206" i="7"/>
  <c r="N147" i="7" l="1"/>
  <c r="O148" i="7" s="1"/>
  <c r="P147" i="7"/>
  <c r="M206" i="7"/>
  <c r="L207" i="7"/>
  <c r="N148" i="7" l="1"/>
  <c r="O149" i="7" s="1"/>
  <c r="P148" i="7"/>
  <c r="M207" i="7"/>
  <c r="L208" i="7"/>
  <c r="P149" i="7" l="1"/>
  <c r="N149" i="7"/>
  <c r="O150" i="7" s="1"/>
  <c r="M208" i="7"/>
  <c r="L209" i="7"/>
  <c r="P150" i="7" l="1"/>
  <c r="N150" i="7"/>
  <c r="O151" i="7" s="1"/>
  <c r="M209" i="7"/>
  <c r="L210" i="7"/>
  <c r="P151" i="7" l="1"/>
  <c r="N151" i="7"/>
  <c r="O152" i="7" s="1"/>
  <c r="M210" i="7"/>
  <c r="L211" i="7"/>
  <c r="P152" i="7" l="1"/>
  <c r="N152" i="7"/>
  <c r="O153" i="7" s="1"/>
  <c r="M211" i="7"/>
  <c r="L212" i="7"/>
  <c r="N153" i="7" l="1"/>
  <c r="O154" i="7" s="1"/>
  <c r="P153" i="7"/>
  <c r="M212" i="7"/>
  <c r="L213" i="7"/>
  <c r="P154" i="7" l="1"/>
  <c r="N154" i="7"/>
  <c r="O155" i="7" s="1"/>
  <c r="M213" i="7"/>
  <c r="L214" i="7"/>
  <c r="N155" i="7" l="1"/>
  <c r="O156" i="7" s="1"/>
  <c r="P155" i="7"/>
  <c r="M214" i="7"/>
  <c r="L215" i="7"/>
  <c r="N156" i="7" l="1"/>
  <c r="O157" i="7" s="1"/>
  <c r="P156" i="7"/>
  <c r="M215" i="7"/>
  <c r="L216" i="7"/>
  <c r="N157" i="7" l="1"/>
  <c r="O158" i="7" s="1"/>
  <c r="P157" i="7"/>
  <c r="M216" i="7"/>
  <c r="L217" i="7"/>
  <c r="P158" i="7" l="1"/>
  <c r="N158" i="7"/>
  <c r="O159" i="7" s="1"/>
  <c r="M217" i="7"/>
  <c r="L218" i="7"/>
  <c r="P159" i="7" l="1"/>
  <c r="N159" i="7"/>
  <c r="O160" i="7" s="1"/>
  <c r="M218" i="7"/>
  <c r="L219" i="7"/>
  <c r="N160" i="7" l="1"/>
  <c r="O161" i="7" s="1"/>
  <c r="P160" i="7"/>
  <c r="M219" i="7"/>
  <c r="L220" i="7"/>
  <c r="P161" i="7" l="1"/>
  <c r="N161" i="7"/>
  <c r="O162" i="7" s="1"/>
  <c r="M220" i="7"/>
  <c r="L221" i="7"/>
  <c r="N162" i="7" l="1"/>
  <c r="O163" i="7" s="1"/>
  <c r="P162" i="7"/>
  <c r="M221" i="7"/>
  <c r="L222" i="7"/>
  <c r="P163" i="7" l="1"/>
  <c r="N163" i="7"/>
  <c r="O164" i="7" s="1"/>
  <c r="M222" i="7"/>
  <c r="L223" i="7"/>
  <c r="N164" i="7" l="1"/>
  <c r="O165" i="7" s="1"/>
  <c r="P164" i="7"/>
  <c r="M223" i="7"/>
  <c r="L224" i="7"/>
  <c r="P165" i="7" l="1"/>
  <c r="N165" i="7"/>
  <c r="O166" i="7" s="1"/>
  <c r="M224" i="7"/>
  <c r="L225" i="7"/>
  <c r="N166" i="7" l="1"/>
  <c r="O167" i="7" s="1"/>
  <c r="P166" i="7"/>
  <c r="M225" i="7"/>
  <c r="L226" i="7"/>
  <c r="N167" i="7" l="1"/>
  <c r="O168" i="7" s="1"/>
  <c r="P167" i="7"/>
  <c r="M226" i="7"/>
  <c r="L227" i="7"/>
  <c r="N168" i="7" l="1"/>
  <c r="O169" i="7" s="1"/>
  <c r="P168" i="7"/>
  <c r="M227" i="7"/>
  <c r="L228" i="7"/>
  <c r="P169" i="7" l="1"/>
  <c r="N169" i="7"/>
  <c r="O170" i="7" s="1"/>
  <c r="M228" i="7"/>
  <c r="L229" i="7"/>
  <c r="N170" i="7" l="1"/>
  <c r="O171" i="7" s="1"/>
  <c r="P170" i="7"/>
  <c r="M229" i="7"/>
  <c r="L230" i="7"/>
  <c r="N171" i="7" l="1"/>
  <c r="O172" i="7" s="1"/>
  <c r="P171" i="7"/>
  <c r="M230" i="7"/>
  <c r="L231" i="7"/>
  <c r="P172" i="7" l="1"/>
  <c r="N172" i="7"/>
  <c r="O173" i="7" s="1"/>
  <c r="M231" i="7"/>
  <c r="L232" i="7"/>
  <c r="N173" i="7" l="1"/>
  <c r="O174" i="7" s="1"/>
  <c r="P173" i="7"/>
  <c r="M232" i="7"/>
  <c r="L233" i="7"/>
  <c r="N174" i="7" l="1"/>
  <c r="O175" i="7" s="1"/>
  <c r="P174" i="7"/>
  <c r="M233" i="7"/>
  <c r="L234" i="7"/>
  <c r="N175" i="7" l="1"/>
  <c r="O176" i="7" s="1"/>
  <c r="P175" i="7"/>
  <c r="M234" i="7"/>
  <c r="L235" i="7"/>
  <c r="N176" i="7" l="1"/>
  <c r="O177" i="7" s="1"/>
  <c r="P176" i="7"/>
  <c r="M235" i="7"/>
  <c r="L236" i="7"/>
  <c r="N177" i="7" l="1"/>
  <c r="O178" i="7" s="1"/>
  <c r="P177" i="7"/>
  <c r="M236" i="7"/>
  <c r="L237" i="7"/>
  <c r="P178" i="7" l="1"/>
  <c r="N178" i="7"/>
  <c r="O179" i="7" s="1"/>
  <c r="M237" i="7"/>
  <c r="L238" i="7"/>
  <c r="N179" i="7" l="1"/>
  <c r="O180" i="7" s="1"/>
  <c r="P179" i="7"/>
  <c r="M238" i="7"/>
  <c r="L239" i="7"/>
  <c r="P180" i="7" l="1"/>
  <c r="N180" i="7"/>
  <c r="O181" i="7" s="1"/>
  <c r="M239" i="7"/>
  <c r="L240" i="7"/>
  <c r="P181" i="7" l="1"/>
  <c r="N181" i="7"/>
  <c r="O182" i="7" s="1"/>
  <c r="M240" i="7"/>
  <c r="L241" i="7"/>
  <c r="N182" i="7" l="1"/>
  <c r="O183" i="7" s="1"/>
  <c r="P182" i="7"/>
  <c r="M241" i="7"/>
  <c r="L242" i="7"/>
  <c r="P183" i="7" l="1"/>
  <c r="N183" i="7"/>
  <c r="O184" i="7" s="1"/>
  <c r="M242" i="7"/>
  <c r="L243" i="7"/>
  <c r="N184" i="7" l="1"/>
  <c r="O185" i="7" s="1"/>
  <c r="P184" i="7"/>
  <c r="M243" i="7"/>
  <c r="L244" i="7"/>
  <c r="N185" i="7" l="1"/>
  <c r="O186" i="7" s="1"/>
  <c r="P185" i="7"/>
  <c r="M244" i="7"/>
  <c r="L245" i="7"/>
  <c r="P186" i="7" l="1"/>
  <c r="N186" i="7"/>
  <c r="O187" i="7" s="1"/>
  <c r="M245" i="7"/>
  <c r="L246" i="7"/>
  <c r="N187" i="7" l="1"/>
  <c r="O188" i="7" s="1"/>
  <c r="P187" i="7"/>
  <c r="M246" i="7"/>
  <c r="L247" i="7"/>
  <c r="N188" i="7" l="1"/>
  <c r="O189" i="7" s="1"/>
  <c r="P188" i="7"/>
  <c r="M247" i="7"/>
  <c r="L248" i="7"/>
  <c r="P189" i="7" l="1"/>
  <c r="N189" i="7"/>
  <c r="O190" i="7" s="1"/>
  <c r="M248" i="7"/>
  <c r="L249" i="7"/>
  <c r="P190" i="7" l="1"/>
  <c r="N190" i="7"/>
  <c r="O191" i="7" s="1"/>
  <c r="M249" i="7"/>
  <c r="L250" i="7"/>
  <c r="N191" i="7" l="1"/>
  <c r="O192" i="7" s="1"/>
  <c r="P191" i="7"/>
  <c r="M250" i="7"/>
  <c r="L251" i="7"/>
  <c r="P192" i="7" l="1"/>
  <c r="N192" i="7"/>
  <c r="O193" i="7" s="1"/>
  <c r="M251" i="7"/>
  <c r="L252" i="7"/>
  <c r="P193" i="7" l="1"/>
  <c r="N193" i="7"/>
  <c r="O194" i="7" s="1"/>
  <c r="M252" i="7"/>
  <c r="L253" i="7"/>
  <c r="N194" i="7" l="1"/>
  <c r="O195" i="7" s="1"/>
  <c r="P194" i="7"/>
  <c r="M253" i="7"/>
  <c r="L254" i="7"/>
  <c r="P195" i="7" l="1"/>
  <c r="N195" i="7"/>
  <c r="O196" i="7" s="1"/>
  <c r="M254" i="7"/>
  <c r="L255" i="7"/>
  <c r="N196" i="7" l="1"/>
  <c r="O197" i="7" s="1"/>
  <c r="P196" i="7"/>
  <c r="M255" i="7"/>
  <c r="L256" i="7"/>
  <c r="N197" i="7" l="1"/>
  <c r="O198" i="7" s="1"/>
  <c r="P197" i="7"/>
  <c r="M256" i="7"/>
  <c r="L257" i="7"/>
  <c r="P198" i="7" l="1"/>
  <c r="N198" i="7"/>
  <c r="O199" i="7" s="1"/>
  <c r="M257" i="7"/>
  <c r="L258" i="7"/>
  <c r="P199" i="7" l="1"/>
  <c r="N199" i="7"/>
  <c r="O200" i="7" s="1"/>
  <c r="M258" i="7"/>
  <c r="L259" i="7"/>
  <c r="P200" i="7" l="1"/>
  <c r="N200" i="7"/>
  <c r="O201" i="7" s="1"/>
  <c r="M259" i="7"/>
  <c r="L260" i="7"/>
  <c r="N201" i="7" l="1"/>
  <c r="O202" i="7" s="1"/>
  <c r="P201" i="7"/>
  <c r="M260" i="7"/>
  <c r="L261" i="7"/>
  <c r="P202" i="7" l="1"/>
  <c r="N202" i="7"/>
  <c r="O203" i="7" s="1"/>
  <c r="M261" i="7"/>
  <c r="L262" i="7"/>
  <c r="P203" i="7" l="1"/>
  <c r="N203" i="7"/>
  <c r="O204" i="7" s="1"/>
  <c r="M262" i="7"/>
  <c r="L263" i="7"/>
  <c r="N204" i="7" l="1"/>
  <c r="O205" i="7" s="1"/>
  <c r="P204" i="7"/>
  <c r="M263" i="7"/>
  <c r="L264" i="7"/>
  <c r="P205" i="7" l="1"/>
  <c r="N205" i="7"/>
  <c r="O206" i="7" s="1"/>
  <c r="M264" i="7"/>
  <c r="L265" i="7"/>
  <c r="N206" i="7" l="1"/>
  <c r="O207" i="7" s="1"/>
  <c r="P206" i="7"/>
  <c r="M265" i="7"/>
  <c r="L266" i="7"/>
  <c r="P207" i="7" l="1"/>
  <c r="N207" i="7"/>
  <c r="O208" i="7" s="1"/>
  <c r="M266" i="7"/>
  <c r="L267" i="7"/>
  <c r="N208" i="7" l="1"/>
  <c r="O209" i="7" s="1"/>
  <c r="P208" i="7"/>
  <c r="M267" i="7"/>
  <c r="L268" i="7"/>
  <c r="P209" i="7" l="1"/>
  <c r="N209" i="7"/>
  <c r="O210" i="7" s="1"/>
  <c r="M268" i="7"/>
  <c r="L269" i="7"/>
  <c r="P210" i="7" l="1"/>
  <c r="N210" i="7"/>
  <c r="O211" i="7" s="1"/>
  <c r="M269" i="7"/>
  <c r="L270" i="7"/>
  <c r="N211" i="7" l="1"/>
  <c r="O212" i="7" s="1"/>
  <c r="P211" i="7"/>
  <c r="M270" i="7"/>
  <c r="L271" i="7"/>
  <c r="P212" i="7" l="1"/>
  <c r="N212" i="7"/>
  <c r="O213" i="7" s="1"/>
  <c r="M271" i="7"/>
  <c r="L272" i="7"/>
  <c r="N213" i="7" l="1"/>
  <c r="O214" i="7" s="1"/>
  <c r="P213" i="7"/>
  <c r="M272" i="7"/>
  <c r="L273" i="7"/>
  <c r="N214" i="7" l="1"/>
  <c r="O215" i="7" s="1"/>
  <c r="P214" i="7"/>
  <c r="M273" i="7"/>
  <c r="L274" i="7"/>
  <c r="P215" i="7" l="1"/>
  <c r="N215" i="7"/>
  <c r="O216" i="7" s="1"/>
  <c r="M274" i="7"/>
  <c r="L275" i="7"/>
  <c r="P216" i="7" l="1"/>
  <c r="N216" i="7"/>
  <c r="O217" i="7" s="1"/>
  <c r="M275" i="7"/>
  <c r="L276" i="7"/>
  <c r="P217" i="7" l="1"/>
  <c r="N217" i="7"/>
  <c r="O218" i="7" s="1"/>
  <c r="M276" i="7"/>
  <c r="L277" i="7"/>
  <c r="P218" i="7" l="1"/>
  <c r="N218" i="7"/>
  <c r="O219" i="7" s="1"/>
  <c r="M277" i="7"/>
  <c r="L278" i="7"/>
  <c r="P219" i="7" l="1"/>
  <c r="N219" i="7"/>
  <c r="O220" i="7" s="1"/>
  <c r="M278" i="7"/>
  <c r="L279" i="7"/>
  <c r="N220" i="7" l="1"/>
  <c r="O221" i="7" s="1"/>
  <c r="P220" i="7"/>
  <c r="M279" i="7"/>
  <c r="L280" i="7"/>
  <c r="P221" i="7" l="1"/>
  <c r="N221" i="7"/>
  <c r="O222" i="7" s="1"/>
  <c r="M280" i="7"/>
  <c r="L281" i="7"/>
  <c r="N222" i="7" l="1"/>
  <c r="O223" i="7" s="1"/>
  <c r="P222" i="7"/>
  <c r="M281" i="7"/>
  <c r="L282" i="7"/>
  <c r="P223" i="7" l="1"/>
  <c r="N223" i="7"/>
  <c r="O224" i="7" s="1"/>
  <c r="M282" i="7"/>
  <c r="L283" i="7"/>
  <c r="P224" i="7" l="1"/>
  <c r="N224" i="7"/>
  <c r="O225" i="7" s="1"/>
  <c r="M283" i="7"/>
  <c r="L284" i="7"/>
  <c r="N225" i="7" l="1"/>
  <c r="O226" i="7" s="1"/>
  <c r="P225" i="7"/>
  <c r="M284" i="7"/>
  <c r="L285" i="7"/>
  <c r="P226" i="7" l="1"/>
  <c r="N226" i="7"/>
  <c r="O227" i="7" s="1"/>
  <c r="M285" i="7"/>
  <c r="L286" i="7"/>
  <c r="N227" i="7" l="1"/>
  <c r="O228" i="7" s="1"/>
  <c r="P227" i="7"/>
  <c r="M286" i="7"/>
  <c r="L287" i="7"/>
  <c r="P228" i="7" l="1"/>
  <c r="N228" i="7"/>
  <c r="O229" i="7" s="1"/>
  <c r="M287" i="7"/>
  <c r="L288" i="7"/>
  <c r="P229" i="7" l="1"/>
  <c r="N229" i="7"/>
  <c r="O230" i="7" s="1"/>
  <c r="M288" i="7"/>
  <c r="L289" i="7"/>
  <c r="P230" i="7" l="1"/>
  <c r="N230" i="7"/>
  <c r="O231" i="7" s="1"/>
  <c r="M289" i="7"/>
  <c r="L290" i="7"/>
  <c r="N231" i="7" l="1"/>
  <c r="O232" i="7" s="1"/>
  <c r="P231" i="7"/>
  <c r="M290" i="7"/>
  <c r="L291" i="7"/>
  <c r="P232" i="7" l="1"/>
  <c r="N232" i="7"/>
  <c r="O233" i="7" s="1"/>
  <c r="M291" i="7"/>
  <c r="L292" i="7"/>
  <c r="P233" i="7" l="1"/>
  <c r="N233" i="7"/>
  <c r="O234" i="7" s="1"/>
  <c r="M292" i="7"/>
  <c r="L293" i="7"/>
  <c r="P234" i="7" l="1"/>
  <c r="N234" i="7"/>
  <c r="O235" i="7" s="1"/>
  <c r="M293" i="7"/>
  <c r="L294" i="7"/>
  <c r="P235" i="7" l="1"/>
  <c r="N235" i="7"/>
  <c r="O236" i="7" s="1"/>
  <c r="M294" i="7"/>
  <c r="L295" i="7"/>
  <c r="N236" i="7" l="1"/>
  <c r="O237" i="7" s="1"/>
  <c r="P236" i="7"/>
  <c r="M295" i="7"/>
  <c r="L296" i="7"/>
  <c r="N237" i="7" l="1"/>
  <c r="O238" i="7" s="1"/>
  <c r="P237" i="7"/>
  <c r="M296" i="7"/>
  <c r="L297" i="7"/>
  <c r="P238" i="7" l="1"/>
  <c r="N238" i="7"/>
  <c r="O239" i="7" s="1"/>
  <c r="M297" i="7"/>
  <c r="L298" i="7"/>
  <c r="P239" i="7" l="1"/>
  <c r="N239" i="7"/>
  <c r="O240" i="7" s="1"/>
  <c r="M298" i="7"/>
  <c r="L299" i="7"/>
  <c r="N240" i="7" l="1"/>
  <c r="O241" i="7" s="1"/>
  <c r="P240" i="7"/>
  <c r="M299" i="7"/>
  <c r="L300" i="7"/>
  <c r="P241" i="7" l="1"/>
  <c r="N241" i="7"/>
  <c r="O242" i="7" s="1"/>
  <c r="M300" i="7"/>
  <c r="L301" i="7"/>
  <c r="N242" i="7" l="1"/>
  <c r="O243" i="7" s="1"/>
  <c r="P242" i="7"/>
  <c r="M301" i="7"/>
  <c r="L302" i="7"/>
  <c r="P243" i="7" l="1"/>
  <c r="N243" i="7"/>
  <c r="O244" i="7" s="1"/>
  <c r="M302" i="7"/>
  <c r="L303" i="7"/>
  <c r="P244" i="7" l="1"/>
  <c r="N244" i="7"/>
  <c r="O245" i="7" s="1"/>
  <c r="M303" i="7"/>
  <c r="L304" i="7"/>
  <c r="P245" i="7" l="1"/>
  <c r="N245" i="7"/>
  <c r="O246" i="7" s="1"/>
  <c r="M304" i="7"/>
  <c r="L305" i="7"/>
  <c r="N246" i="7" l="1"/>
  <c r="O247" i="7" s="1"/>
  <c r="P246" i="7"/>
  <c r="M305" i="7"/>
  <c r="L306" i="7"/>
  <c r="N247" i="7" l="1"/>
  <c r="O248" i="7" s="1"/>
  <c r="P247" i="7"/>
  <c r="M306" i="7"/>
  <c r="L307" i="7"/>
  <c r="P248" i="7" l="1"/>
  <c r="N248" i="7"/>
  <c r="O249" i="7" s="1"/>
  <c r="M307" i="7"/>
  <c r="L308" i="7"/>
  <c r="N249" i="7" l="1"/>
  <c r="O250" i="7" s="1"/>
  <c r="P249" i="7"/>
  <c r="M308" i="7"/>
  <c r="L309" i="7"/>
  <c r="P250" i="7" l="1"/>
  <c r="N250" i="7"/>
  <c r="O251" i="7" s="1"/>
  <c r="M309" i="7"/>
  <c r="L310" i="7"/>
  <c r="N251" i="7" l="1"/>
  <c r="O252" i="7" s="1"/>
  <c r="P251" i="7"/>
  <c r="M310" i="7"/>
  <c r="L311" i="7"/>
  <c r="P252" i="7" l="1"/>
  <c r="N252" i="7"/>
  <c r="O253" i="7" s="1"/>
  <c r="M311" i="7"/>
  <c r="L312" i="7"/>
  <c r="N253" i="7" l="1"/>
  <c r="O254" i="7" s="1"/>
  <c r="P253" i="7"/>
  <c r="M312" i="7"/>
  <c r="L313" i="7"/>
  <c r="N254" i="7" l="1"/>
  <c r="O255" i="7" s="1"/>
  <c r="P254" i="7"/>
  <c r="M313" i="7"/>
  <c r="L314" i="7"/>
  <c r="N255" i="7" l="1"/>
  <c r="O256" i="7" s="1"/>
  <c r="P255" i="7"/>
  <c r="M314" i="7"/>
  <c r="L315" i="7"/>
  <c r="P256" i="7" l="1"/>
  <c r="N256" i="7"/>
  <c r="O257" i="7" s="1"/>
  <c r="M315" i="7"/>
  <c r="L316" i="7"/>
  <c r="P257" i="7" l="1"/>
  <c r="N257" i="7"/>
  <c r="O258" i="7" s="1"/>
  <c r="M316" i="7"/>
  <c r="L317" i="7"/>
  <c r="P258" i="7" l="1"/>
  <c r="N258" i="7"/>
  <c r="O259" i="7" s="1"/>
  <c r="M317" i="7"/>
  <c r="L318" i="7"/>
  <c r="N259" i="7" l="1"/>
  <c r="O260" i="7" s="1"/>
  <c r="P259" i="7"/>
  <c r="M318" i="7"/>
  <c r="L319" i="7"/>
  <c r="P260" i="7" l="1"/>
  <c r="N260" i="7"/>
  <c r="O261" i="7" s="1"/>
  <c r="M319" i="7"/>
  <c r="L320" i="7"/>
  <c r="N261" i="7" l="1"/>
  <c r="O262" i="7" s="1"/>
  <c r="P261" i="7"/>
  <c r="M320" i="7"/>
  <c r="L321" i="7"/>
  <c r="N262" i="7" l="1"/>
  <c r="O263" i="7" s="1"/>
  <c r="P262" i="7"/>
  <c r="M321" i="7"/>
  <c r="L322" i="7"/>
  <c r="P263" i="7" l="1"/>
  <c r="N263" i="7"/>
  <c r="O264" i="7" s="1"/>
  <c r="M322" i="7"/>
  <c r="L323" i="7"/>
  <c r="P264" i="7" l="1"/>
  <c r="N264" i="7"/>
  <c r="O265" i="7" s="1"/>
  <c r="M323" i="7"/>
  <c r="L324" i="7"/>
  <c r="P265" i="7" l="1"/>
  <c r="N265" i="7"/>
  <c r="O266" i="7" s="1"/>
  <c r="M324" i="7"/>
  <c r="L325" i="7"/>
  <c r="N266" i="7" l="1"/>
  <c r="O267" i="7" s="1"/>
  <c r="P266" i="7"/>
  <c r="M325" i="7"/>
  <c r="L326" i="7"/>
  <c r="N267" i="7" l="1"/>
  <c r="O268" i="7" s="1"/>
  <c r="P267" i="7"/>
  <c r="M326" i="7"/>
  <c r="L327" i="7"/>
  <c r="P268" i="7" l="1"/>
  <c r="N268" i="7"/>
  <c r="O269" i="7" s="1"/>
  <c r="M327" i="7"/>
  <c r="L328" i="7"/>
  <c r="N269" i="7" l="1"/>
  <c r="O270" i="7" s="1"/>
  <c r="P269" i="7"/>
  <c r="M328" i="7"/>
  <c r="L329" i="7"/>
  <c r="N270" i="7" l="1"/>
  <c r="O271" i="7" s="1"/>
  <c r="P270" i="7"/>
  <c r="M329" i="7"/>
  <c r="L330" i="7"/>
  <c r="P271" i="7" l="1"/>
  <c r="N271" i="7"/>
  <c r="O272" i="7" s="1"/>
  <c r="M330" i="7"/>
  <c r="L331" i="7"/>
  <c r="P272" i="7" l="1"/>
  <c r="N272" i="7"/>
  <c r="O273" i="7" s="1"/>
  <c r="M331" i="7"/>
  <c r="L332" i="7"/>
  <c r="N273" i="7" l="1"/>
  <c r="O274" i="7" s="1"/>
  <c r="P273" i="7"/>
  <c r="M332" i="7"/>
  <c r="L333" i="7"/>
  <c r="P274" i="7" l="1"/>
  <c r="N274" i="7"/>
  <c r="O275" i="7" s="1"/>
  <c r="M333" i="7"/>
  <c r="L334" i="7"/>
  <c r="N275" i="7" l="1"/>
  <c r="O276" i="7" s="1"/>
  <c r="P275" i="7"/>
  <c r="M334" i="7"/>
  <c r="L335" i="7"/>
  <c r="N276" i="7" l="1"/>
  <c r="O277" i="7" s="1"/>
  <c r="P276" i="7"/>
  <c r="M335" i="7"/>
  <c r="L336" i="7"/>
  <c r="N277" i="7" l="1"/>
  <c r="O278" i="7" s="1"/>
  <c r="P277" i="7"/>
  <c r="M336" i="7"/>
  <c r="L337" i="7"/>
  <c r="N278" i="7" l="1"/>
  <c r="O279" i="7" s="1"/>
  <c r="P278" i="7"/>
  <c r="M337" i="7"/>
  <c r="L338" i="7"/>
  <c r="P279" i="7" l="1"/>
  <c r="N279" i="7"/>
  <c r="O280" i="7" s="1"/>
  <c r="M338" i="7"/>
  <c r="L339" i="7"/>
  <c r="N280" i="7" l="1"/>
  <c r="O281" i="7" s="1"/>
  <c r="P280" i="7"/>
  <c r="M339" i="7"/>
  <c r="L340" i="7"/>
  <c r="P281" i="7" l="1"/>
  <c r="N281" i="7"/>
  <c r="O282" i="7" s="1"/>
  <c r="M340" i="7"/>
  <c r="L341" i="7"/>
  <c r="P282" i="7" l="1"/>
  <c r="N282" i="7"/>
  <c r="O283" i="7" s="1"/>
  <c r="M341" i="7"/>
  <c r="L342" i="7"/>
  <c r="P283" i="7" l="1"/>
  <c r="N283" i="7"/>
  <c r="O284" i="7" s="1"/>
  <c r="M342" i="7"/>
  <c r="L343" i="7"/>
  <c r="P284" i="7" l="1"/>
  <c r="N284" i="7"/>
  <c r="O285" i="7" s="1"/>
  <c r="M343" i="7"/>
  <c r="L344" i="7"/>
  <c r="N285" i="7" l="1"/>
  <c r="O286" i="7" s="1"/>
  <c r="P285" i="7"/>
  <c r="M344" i="7"/>
  <c r="L345" i="7"/>
  <c r="N286" i="7" l="1"/>
  <c r="O287" i="7" s="1"/>
  <c r="P286" i="7"/>
  <c r="M345" i="7"/>
  <c r="L346" i="7"/>
  <c r="N287" i="7" l="1"/>
  <c r="O288" i="7" s="1"/>
  <c r="P287" i="7"/>
  <c r="M346" i="7"/>
  <c r="L347" i="7"/>
  <c r="N288" i="7" l="1"/>
  <c r="O289" i="7" s="1"/>
  <c r="P288" i="7"/>
  <c r="M347" i="7"/>
  <c r="L348" i="7"/>
  <c r="P289" i="7" l="1"/>
  <c r="N289" i="7"/>
  <c r="O290" i="7" s="1"/>
  <c r="M348" i="7"/>
  <c r="L349" i="7"/>
  <c r="N290" i="7" l="1"/>
  <c r="O291" i="7" s="1"/>
  <c r="P290" i="7"/>
  <c r="M349" i="7"/>
  <c r="L350" i="7"/>
  <c r="P291" i="7" l="1"/>
  <c r="N291" i="7"/>
  <c r="O292" i="7" s="1"/>
  <c r="M350" i="7"/>
  <c r="L351" i="7"/>
  <c r="P292" i="7" l="1"/>
  <c r="N292" i="7"/>
  <c r="O293" i="7" s="1"/>
  <c r="M351" i="7"/>
  <c r="L352" i="7"/>
  <c r="P293" i="7" l="1"/>
  <c r="N293" i="7"/>
  <c r="O294" i="7" s="1"/>
  <c r="M352" i="7"/>
  <c r="L353" i="7"/>
  <c r="P294" i="7" l="1"/>
  <c r="N294" i="7"/>
  <c r="O295" i="7" s="1"/>
  <c r="M353" i="7"/>
  <c r="L354" i="7"/>
  <c r="P295" i="7" l="1"/>
  <c r="N295" i="7"/>
  <c r="O296" i="7" s="1"/>
  <c r="M354" i="7"/>
  <c r="L355" i="7"/>
  <c r="P296" i="7" l="1"/>
  <c r="N296" i="7"/>
  <c r="O297" i="7" s="1"/>
  <c r="M355" i="7"/>
  <c r="L356" i="7"/>
  <c r="P297" i="7" l="1"/>
  <c r="N297" i="7"/>
  <c r="O298" i="7" s="1"/>
  <c r="M356" i="7"/>
  <c r="L357" i="7"/>
  <c r="N298" i="7" l="1"/>
  <c r="O299" i="7" s="1"/>
  <c r="P298" i="7"/>
  <c r="M357" i="7"/>
  <c r="L358" i="7"/>
  <c r="P299" i="7" l="1"/>
  <c r="N299" i="7"/>
  <c r="O300" i="7" s="1"/>
  <c r="M358" i="7"/>
  <c r="L359" i="7"/>
  <c r="N300" i="7" l="1"/>
  <c r="O301" i="7" s="1"/>
  <c r="P300" i="7"/>
  <c r="M359" i="7"/>
  <c r="L360" i="7"/>
  <c r="N301" i="7" l="1"/>
  <c r="O302" i="7" s="1"/>
  <c r="P301" i="7"/>
  <c r="M360" i="7"/>
  <c r="L361" i="7"/>
  <c r="P302" i="7" l="1"/>
  <c r="N302" i="7"/>
  <c r="O303" i="7" s="1"/>
  <c r="M361" i="7"/>
  <c r="L362" i="7"/>
  <c r="N303" i="7" l="1"/>
  <c r="O304" i="7" s="1"/>
  <c r="P303" i="7"/>
  <c r="M362" i="7"/>
  <c r="L363" i="7"/>
  <c r="P304" i="7" l="1"/>
  <c r="N304" i="7"/>
  <c r="O305" i="7" s="1"/>
  <c r="M363" i="7"/>
  <c r="L364" i="7"/>
  <c r="P305" i="7" l="1"/>
  <c r="N305" i="7"/>
  <c r="O306" i="7" s="1"/>
  <c r="M364" i="7"/>
  <c r="L365" i="7"/>
  <c r="P306" i="7" l="1"/>
  <c r="N306" i="7"/>
  <c r="O307" i="7" s="1"/>
  <c r="M365" i="7"/>
  <c r="L366" i="7"/>
  <c r="P307" i="7" l="1"/>
  <c r="N307" i="7"/>
  <c r="O308" i="7" s="1"/>
  <c r="M366" i="7"/>
  <c r="L367" i="7"/>
  <c r="P308" i="7" l="1"/>
  <c r="N308" i="7"/>
  <c r="O309" i="7" s="1"/>
  <c r="M367" i="7"/>
  <c r="L368" i="7"/>
  <c r="P309" i="7" l="1"/>
  <c r="N309" i="7"/>
  <c r="O310" i="7" s="1"/>
  <c r="M368" i="7"/>
  <c r="L369" i="7"/>
  <c r="P310" i="7" l="1"/>
  <c r="N310" i="7"/>
  <c r="O311" i="7" s="1"/>
  <c r="M369" i="7"/>
  <c r="L370" i="7"/>
  <c r="N311" i="7" l="1"/>
  <c r="O312" i="7" s="1"/>
  <c r="P311" i="7"/>
  <c r="M370" i="7"/>
  <c r="L371" i="7"/>
  <c r="P312" i="7" l="1"/>
  <c r="N312" i="7"/>
  <c r="O313" i="7" s="1"/>
  <c r="M371" i="7"/>
  <c r="L372" i="7"/>
  <c r="P313" i="7" l="1"/>
  <c r="N313" i="7"/>
  <c r="O314" i="7" s="1"/>
  <c r="M372" i="7"/>
  <c r="L373" i="7"/>
  <c r="N314" i="7" l="1"/>
  <c r="O315" i="7" s="1"/>
  <c r="P314" i="7"/>
  <c r="M373" i="7"/>
  <c r="L374" i="7"/>
  <c r="P315" i="7" l="1"/>
  <c r="N315" i="7"/>
  <c r="O316" i="7" s="1"/>
  <c r="M374" i="7"/>
  <c r="L375" i="7"/>
  <c r="P316" i="7" l="1"/>
  <c r="N316" i="7"/>
  <c r="O317" i="7" s="1"/>
  <c r="M375" i="7"/>
  <c r="L376" i="7"/>
  <c r="N317" i="7" l="1"/>
  <c r="O318" i="7" s="1"/>
  <c r="P317" i="7"/>
  <c r="M376" i="7"/>
  <c r="L377" i="7"/>
  <c r="P318" i="7" l="1"/>
  <c r="N318" i="7"/>
  <c r="O319" i="7" s="1"/>
  <c r="M377" i="7"/>
  <c r="L378" i="7"/>
  <c r="N319" i="7" l="1"/>
  <c r="O320" i="7" s="1"/>
  <c r="P319" i="7"/>
  <c r="M378" i="7"/>
  <c r="L379" i="7"/>
  <c r="P320" i="7" l="1"/>
  <c r="N320" i="7"/>
  <c r="O321" i="7" s="1"/>
  <c r="M379" i="7"/>
  <c r="L380" i="7"/>
  <c r="P321" i="7" l="1"/>
  <c r="N321" i="7"/>
  <c r="O322" i="7" s="1"/>
  <c r="M380" i="7"/>
  <c r="L381" i="7"/>
  <c r="P322" i="7" l="1"/>
  <c r="N322" i="7"/>
  <c r="O323" i="7" s="1"/>
  <c r="M381" i="7"/>
  <c r="L382" i="7"/>
  <c r="N323" i="7" l="1"/>
  <c r="O324" i="7" s="1"/>
  <c r="P323" i="7"/>
  <c r="M382" i="7"/>
  <c r="L383" i="7"/>
  <c r="N324" i="7" l="1"/>
  <c r="O325" i="7" s="1"/>
  <c r="P324" i="7"/>
  <c r="M383" i="7"/>
  <c r="L384" i="7"/>
  <c r="P325" i="7" l="1"/>
  <c r="N325" i="7"/>
  <c r="O326" i="7" s="1"/>
  <c r="M384" i="7"/>
  <c r="L385" i="7"/>
  <c r="N326" i="7" l="1"/>
  <c r="O327" i="7" s="1"/>
  <c r="P326" i="7"/>
  <c r="M385" i="7"/>
  <c r="L386" i="7"/>
  <c r="N327" i="7" l="1"/>
  <c r="O328" i="7" s="1"/>
  <c r="P327" i="7"/>
  <c r="M386" i="7"/>
  <c r="L387" i="7"/>
  <c r="N328" i="7" l="1"/>
  <c r="O329" i="7" s="1"/>
  <c r="P328" i="7"/>
  <c r="M387" i="7"/>
  <c r="L388" i="7"/>
  <c r="N329" i="7" l="1"/>
  <c r="O330" i="7" s="1"/>
  <c r="P329" i="7"/>
  <c r="M388" i="7"/>
  <c r="L389" i="7"/>
  <c r="N330" i="7" l="1"/>
  <c r="O331" i="7" s="1"/>
  <c r="P330" i="7"/>
  <c r="M389" i="7"/>
  <c r="L390" i="7"/>
  <c r="N331" i="7" l="1"/>
  <c r="O332" i="7" s="1"/>
  <c r="P331" i="7"/>
  <c r="M390" i="7"/>
  <c r="L391" i="7"/>
  <c r="N332" i="7" l="1"/>
  <c r="O333" i="7" s="1"/>
  <c r="P332" i="7"/>
  <c r="M391" i="7"/>
  <c r="L392" i="7"/>
  <c r="P333" i="7" l="1"/>
  <c r="N333" i="7"/>
  <c r="O334" i="7" s="1"/>
  <c r="M392" i="7"/>
  <c r="L393" i="7"/>
  <c r="N334" i="7" l="1"/>
  <c r="O335" i="7" s="1"/>
  <c r="P334" i="7"/>
  <c r="M393" i="7"/>
  <c r="L394" i="7"/>
  <c r="P335" i="7" l="1"/>
  <c r="N335" i="7"/>
  <c r="O336" i="7" s="1"/>
  <c r="M394" i="7"/>
  <c r="L395" i="7"/>
  <c r="N336" i="7" l="1"/>
  <c r="O337" i="7" s="1"/>
  <c r="P336" i="7"/>
  <c r="M395" i="7"/>
  <c r="L396" i="7"/>
  <c r="P337" i="7" l="1"/>
  <c r="N337" i="7"/>
  <c r="O338" i="7" s="1"/>
  <c r="M396" i="7"/>
  <c r="L397" i="7"/>
  <c r="N338" i="7" l="1"/>
  <c r="O339" i="7" s="1"/>
  <c r="P338" i="7"/>
  <c r="M397" i="7"/>
  <c r="L398" i="7"/>
  <c r="N339" i="7" l="1"/>
  <c r="O340" i="7" s="1"/>
  <c r="P339" i="7"/>
  <c r="M398" i="7"/>
  <c r="L399" i="7"/>
  <c r="N340" i="7" l="1"/>
  <c r="O341" i="7" s="1"/>
  <c r="P340" i="7"/>
  <c r="M399" i="7"/>
  <c r="L400" i="7"/>
  <c r="P341" i="7" l="1"/>
  <c r="N341" i="7"/>
  <c r="O342" i="7" s="1"/>
  <c r="M400" i="7"/>
  <c r="L401" i="7"/>
  <c r="P342" i="7" l="1"/>
  <c r="N342" i="7"/>
  <c r="O343" i="7" s="1"/>
  <c r="M401" i="7"/>
  <c r="L402" i="7"/>
  <c r="P343" i="7" l="1"/>
  <c r="N343" i="7"/>
  <c r="O344" i="7" s="1"/>
  <c r="M402" i="7"/>
  <c r="L403" i="7"/>
  <c r="N344" i="7" l="1"/>
  <c r="O345" i="7" s="1"/>
  <c r="P344" i="7"/>
  <c r="M403" i="7"/>
  <c r="L404" i="7"/>
  <c r="P345" i="7" l="1"/>
  <c r="N345" i="7"/>
  <c r="O346" i="7" s="1"/>
  <c r="M404" i="7"/>
  <c r="L405" i="7"/>
  <c r="N346" i="7" l="1"/>
  <c r="O347" i="7" s="1"/>
  <c r="P346" i="7"/>
  <c r="M405" i="7"/>
  <c r="L406" i="7"/>
  <c r="P347" i="7" l="1"/>
  <c r="N347" i="7"/>
  <c r="O348" i="7" s="1"/>
  <c r="M406" i="7"/>
  <c r="L407" i="7"/>
  <c r="N348" i="7" l="1"/>
  <c r="O349" i="7" s="1"/>
  <c r="P348" i="7"/>
  <c r="M407" i="7"/>
  <c r="L408" i="7"/>
  <c r="P349" i="7" l="1"/>
  <c r="N349" i="7"/>
  <c r="O350" i="7" s="1"/>
  <c r="M408" i="7"/>
  <c r="L409" i="7"/>
  <c r="N350" i="7" l="1"/>
  <c r="O351" i="7" s="1"/>
  <c r="P350" i="7"/>
  <c r="M409" i="7"/>
  <c r="L410" i="7"/>
  <c r="N351" i="7" l="1"/>
  <c r="O352" i="7" s="1"/>
  <c r="P351" i="7"/>
  <c r="M410" i="7"/>
  <c r="L411" i="7"/>
  <c r="N352" i="7" l="1"/>
  <c r="O353" i="7" s="1"/>
  <c r="P352" i="7"/>
  <c r="M411" i="7"/>
  <c r="L412" i="7"/>
  <c r="N353" i="7" l="1"/>
  <c r="O354" i="7" s="1"/>
  <c r="P353" i="7"/>
  <c r="M412" i="7"/>
  <c r="L413" i="7"/>
  <c r="P354" i="7" l="1"/>
  <c r="N354" i="7"/>
  <c r="O355" i="7" s="1"/>
  <c r="M413" i="7"/>
  <c r="L414" i="7"/>
  <c r="P355" i="7" l="1"/>
  <c r="N355" i="7"/>
  <c r="O356" i="7" s="1"/>
  <c r="M414" i="7"/>
  <c r="L415" i="7"/>
  <c r="P356" i="7" l="1"/>
  <c r="N356" i="7"/>
  <c r="O357" i="7" s="1"/>
  <c r="M415" i="7"/>
  <c r="L416" i="7"/>
  <c r="P357" i="7" l="1"/>
  <c r="N357" i="7"/>
  <c r="O358" i="7" s="1"/>
  <c r="M416" i="7"/>
  <c r="L417" i="7"/>
  <c r="P358" i="7" l="1"/>
  <c r="N358" i="7"/>
  <c r="O359" i="7" s="1"/>
  <c r="M417" i="7"/>
  <c r="L418" i="7"/>
  <c r="P359" i="7" l="1"/>
  <c r="N359" i="7"/>
  <c r="O360" i="7" s="1"/>
  <c r="M418" i="7"/>
  <c r="L419" i="7"/>
  <c r="P360" i="7" l="1"/>
  <c r="N360" i="7"/>
  <c r="O361" i="7" s="1"/>
  <c r="M419" i="7"/>
  <c r="L420" i="7"/>
  <c r="N361" i="7" l="1"/>
  <c r="O362" i="7" s="1"/>
  <c r="P361" i="7"/>
  <c r="M420" i="7"/>
  <c r="L421" i="7"/>
  <c r="P362" i="7" l="1"/>
  <c r="N362" i="7"/>
  <c r="O363" i="7" s="1"/>
  <c r="M421" i="7"/>
  <c r="L422" i="7"/>
  <c r="N363" i="7" l="1"/>
  <c r="O364" i="7" s="1"/>
  <c r="P363" i="7"/>
  <c r="M422" i="7"/>
  <c r="L423" i="7"/>
  <c r="P364" i="7" l="1"/>
  <c r="N364" i="7"/>
  <c r="O365" i="7" s="1"/>
  <c r="M423" i="7"/>
  <c r="L424" i="7"/>
  <c r="N365" i="7" l="1"/>
  <c r="O366" i="7" s="1"/>
  <c r="P365" i="7"/>
  <c r="M424" i="7"/>
  <c r="L425" i="7"/>
  <c r="N366" i="7" l="1"/>
  <c r="O367" i="7" s="1"/>
  <c r="P366" i="7"/>
  <c r="M425" i="7"/>
  <c r="L426" i="7"/>
  <c r="N367" i="7" l="1"/>
  <c r="O368" i="7" s="1"/>
  <c r="P367" i="7"/>
  <c r="M426" i="7"/>
  <c r="L427" i="7"/>
  <c r="P368" i="7" l="1"/>
  <c r="N368" i="7"/>
  <c r="O369" i="7" s="1"/>
  <c r="M427" i="7"/>
  <c r="L428" i="7"/>
  <c r="P369" i="7" l="1"/>
  <c r="N369" i="7"/>
  <c r="O370" i="7" s="1"/>
  <c r="M428" i="7"/>
  <c r="L429" i="7"/>
  <c r="N370" i="7" l="1"/>
  <c r="O371" i="7" s="1"/>
  <c r="P370" i="7"/>
  <c r="M429" i="7"/>
  <c r="L430" i="7"/>
  <c r="N371" i="7" l="1"/>
  <c r="O372" i="7" s="1"/>
  <c r="P371" i="7"/>
  <c r="M430" i="7"/>
  <c r="L431" i="7"/>
  <c r="N372" i="7" l="1"/>
  <c r="O373" i="7" s="1"/>
  <c r="P372" i="7"/>
  <c r="M431" i="7"/>
  <c r="L432" i="7"/>
  <c r="P373" i="7" l="1"/>
  <c r="N373" i="7"/>
  <c r="O374" i="7" s="1"/>
  <c r="M432" i="7"/>
  <c r="L433" i="7"/>
  <c r="N374" i="7" l="1"/>
  <c r="O375" i="7" s="1"/>
  <c r="P374" i="7"/>
  <c r="M433" i="7"/>
  <c r="L434" i="7"/>
  <c r="P375" i="7" l="1"/>
  <c r="N375" i="7"/>
  <c r="O376" i="7" s="1"/>
  <c r="M434" i="7"/>
  <c r="L435" i="7"/>
  <c r="P376" i="7" l="1"/>
  <c r="N376" i="7"/>
  <c r="O377" i="7" s="1"/>
  <c r="M435" i="7"/>
  <c r="L436" i="7"/>
  <c r="N377" i="7" l="1"/>
  <c r="O378" i="7" s="1"/>
  <c r="P377" i="7"/>
  <c r="M436" i="7"/>
  <c r="L437" i="7"/>
  <c r="N378" i="7" l="1"/>
  <c r="O379" i="7" s="1"/>
  <c r="P378" i="7"/>
  <c r="M437" i="7"/>
  <c r="L438" i="7"/>
  <c r="P379" i="7" l="1"/>
  <c r="N379" i="7"/>
  <c r="O380" i="7" s="1"/>
  <c r="M438" i="7"/>
  <c r="L439" i="7"/>
  <c r="N380" i="7" l="1"/>
  <c r="O381" i="7" s="1"/>
  <c r="P380" i="7"/>
  <c r="M439" i="7"/>
  <c r="L440" i="7"/>
  <c r="N381" i="7" l="1"/>
  <c r="O382" i="7" s="1"/>
  <c r="P381" i="7"/>
  <c r="M440" i="7"/>
  <c r="L441" i="7"/>
  <c r="N382" i="7" l="1"/>
  <c r="O383" i="7" s="1"/>
  <c r="P382" i="7"/>
  <c r="M441" i="7"/>
  <c r="L442" i="7"/>
  <c r="P383" i="7" l="1"/>
  <c r="N383" i="7"/>
  <c r="O384" i="7" s="1"/>
  <c r="M442" i="7"/>
  <c r="L443" i="7"/>
  <c r="P384" i="7" l="1"/>
  <c r="N384" i="7"/>
  <c r="O385" i="7" s="1"/>
  <c r="M443" i="7"/>
  <c r="L444" i="7"/>
  <c r="N385" i="7" l="1"/>
  <c r="O386" i="7" s="1"/>
  <c r="P385" i="7"/>
  <c r="M444" i="7"/>
  <c r="L445" i="7"/>
  <c r="P386" i="7" l="1"/>
  <c r="N386" i="7"/>
  <c r="O387" i="7" s="1"/>
  <c r="M445" i="7"/>
  <c r="L446" i="7"/>
  <c r="P387" i="7" l="1"/>
  <c r="N387" i="7"/>
  <c r="O388" i="7" s="1"/>
  <c r="M446" i="7"/>
  <c r="L447" i="7"/>
  <c r="P388" i="7" l="1"/>
  <c r="N388" i="7"/>
  <c r="O389" i="7" s="1"/>
  <c r="M447" i="7"/>
  <c r="L448" i="7"/>
  <c r="N389" i="7" l="1"/>
  <c r="O390" i="7" s="1"/>
  <c r="P389" i="7"/>
  <c r="M448" i="7"/>
  <c r="L449" i="7"/>
  <c r="P390" i="7" l="1"/>
  <c r="N390" i="7"/>
  <c r="O391" i="7" s="1"/>
  <c r="M449" i="7"/>
  <c r="L450" i="7"/>
  <c r="N391" i="7" l="1"/>
  <c r="O392" i="7" s="1"/>
  <c r="P391" i="7"/>
  <c r="M450" i="7"/>
  <c r="L451" i="7"/>
  <c r="P392" i="7" l="1"/>
  <c r="N392" i="7"/>
  <c r="O393" i="7" s="1"/>
  <c r="M451" i="7"/>
  <c r="L452" i="7"/>
  <c r="N393" i="7" l="1"/>
  <c r="O394" i="7" s="1"/>
  <c r="P393" i="7"/>
  <c r="M452" i="7"/>
  <c r="L453" i="7"/>
  <c r="N394" i="7" l="1"/>
  <c r="O395" i="7" s="1"/>
  <c r="P394" i="7"/>
  <c r="M453" i="7"/>
  <c r="L454" i="7"/>
  <c r="N395" i="7" l="1"/>
  <c r="O396" i="7" s="1"/>
  <c r="P395" i="7"/>
  <c r="M454" i="7"/>
  <c r="L455" i="7"/>
  <c r="N396" i="7" l="1"/>
  <c r="O397" i="7" s="1"/>
  <c r="P396" i="7"/>
  <c r="M455" i="7"/>
  <c r="L456" i="7"/>
  <c r="N397" i="7" l="1"/>
  <c r="O398" i="7" s="1"/>
  <c r="P397" i="7"/>
  <c r="M456" i="7"/>
  <c r="L457" i="7"/>
  <c r="N398" i="7" l="1"/>
  <c r="O399" i="7" s="1"/>
  <c r="P398" i="7"/>
  <c r="M457" i="7"/>
  <c r="L458" i="7"/>
  <c r="N399" i="7" l="1"/>
  <c r="O400" i="7" s="1"/>
  <c r="P399" i="7"/>
  <c r="M458" i="7"/>
  <c r="L459" i="7"/>
  <c r="P400" i="7" l="1"/>
  <c r="N400" i="7"/>
  <c r="O401" i="7" s="1"/>
  <c r="M459" i="7"/>
  <c r="L460" i="7"/>
  <c r="P401" i="7" l="1"/>
  <c r="N401" i="7"/>
  <c r="O402" i="7" s="1"/>
  <c r="M460" i="7"/>
  <c r="L461" i="7"/>
  <c r="P402" i="7" l="1"/>
  <c r="N402" i="7"/>
  <c r="O403" i="7" s="1"/>
  <c r="M461" i="7"/>
  <c r="L462" i="7"/>
  <c r="N403" i="7" l="1"/>
  <c r="O404" i="7" s="1"/>
  <c r="P403" i="7"/>
  <c r="M462" i="7"/>
  <c r="L463" i="7"/>
  <c r="P404" i="7" l="1"/>
  <c r="N404" i="7"/>
  <c r="O405" i="7" s="1"/>
  <c r="M463" i="7"/>
  <c r="L464" i="7"/>
  <c r="N405" i="7" l="1"/>
  <c r="O406" i="7" s="1"/>
  <c r="P405" i="7"/>
  <c r="M464" i="7"/>
  <c r="L465" i="7"/>
  <c r="N406" i="7" l="1"/>
  <c r="O407" i="7" s="1"/>
  <c r="P406" i="7"/>
  <c r="M465" i="7"/>
  <c r="L466" i="7"/>
  <c r="N407" i="7" l="1"/>
  <c r="O408" i="7" s="1"/>
  <c r="P407" i="7"/>
  <c r="M466" i="7"/>
  <c r="L467" i="7"/>
  <c r="P408" i="7" l="1"/>
  <c r="N408" i="7"/>
  <c r="O409" i="7" s="1"/>
  <c r="M467" i="7"/>
  <c r="L468" i="7"/>
  <c r="P409" i="7" l="1"/>
  <c r="N409" i="7"/>
  <c r="O410" i="7" s="1"/>
  <c r="M468" i="7"/>
  <c r="L469" i="7"/>
  <c r="P410" i="7" l="1"/>
  <c r="N410" i="7"/>
  <c r="O411" i="7" s="1"/>
  <c r="M469" i="7"/>
  <c r="L470" i="7"/>
  <c r="P411" i="7" l="1"/>
  <c r="N411" i="7"/>
  <c r="O412" i="7" s="1"/>
  <c r="M470" i="7"/>
  <c r="L471" i="7"/>
  <c r="P412" i="7" l="1"/>
  <c r="N412" i="7"/>
  <c r="O413" i="7" s="1"/>
  <c r="M471" i="7"/>
  <c r="L472" i="7"/>
  <c r="N413" i="7" l="1"/>
  <c r="O414" i="7" s="1"/>
  <c r="P413" i="7"/>
  <c r="M472" i="7"/>
  <c r="L473" i="7"/>
  <c r="P414" i="7" l="1"/>
  <c r="N414" i="7"/>
  <c r="O415" i="7" s="1"/>
  <c r="M473" i="7"/>
  <c r="L474" i="7"/>
  <c r="N415" i="7" l="1"/>
  <c r="O416" i="7" s="1"/>
  <c r="P415" i="7"/>
  <c r="M474" i="7"/>
  <c r="L475" i="7"/>
  <c r="P416" i="7" l="1"/>
  <c r="N416" i="7"/>
  <c r="O417" i="7" s="1"/>
  <c r="M475" i="7"/>
  <c r="L476" i="7"/>
  <c r="N417" i="7" l="1"/>
  <c r="O418" i="7" s="1"/>
  <c r="P417" i="7"/>
  <c r="M476" i="7"/>
  <c r="L477" i="7"/>
  <c r="P418" i="7" l="1"/>
  <c r="N418" i="7"/>
  <c r="O419" i="7" s="1"/>
  <c r="M477" i="7"/>
  <c r="L478" i="7"/>
  <c r="N419" i="7" l="1"/>
  <c r="O420" i="7" s="1"/>
  <c r="P419" i="7"/>
  <c r="M478" i="7"/>
  <c r="L479" i="7"/>
  <c r="N420" i="7" l="1"/>
  <c r="O421" i="7" s="1"/>
  <c r="P420" i="7"/>
  <c r="M479" i="7"/>
  <c r="L480" i="7"/>
  <c r="N421" i="7" l="1"/>
  <c r="O422" i="7" s="1"/>
  <c r="P421" i="7"/>
  <c r="M480" i="7"/>
  <c r="L481" i="7"/>
  <c r="N422" i="7" l="1"/>
  <c r="O423" i="7" s="1"/>
  <c r="P422" i="7"/>
  <c r="M481" i="7"/>
  <c r="L482" i="7"/>
  <c r="P423" i="7" l="1"/>
  <c r="N423" i="7"/>
  <c r="O424" i="7" s="1"/>
  <c r="M482" i="7"/>
  <c r="L483" i="7"/>
  <c r="P424" i="7" l="1"/>
  <c r="N424" i="7"/>
  <c r="O425" i="7" s="1"/>
  <c r="M483" i="7"/>
  <c r="L484" i="7"/>
  <c r="P425" i="7" l="1"/>
  <c r="N425" i="7"/>
  <c r="O426" i="7" s="1"/>
  <c r="M484" i="7"/>
  <c r="L485" i="7"/>
  <c r="N426" i="7" l="1"/>
  <c r="O427" i="7" s="1"/>
  <c r="P426" i="7"/>
  <c r="M485" i="7"/>
  <c r="L486" i="7"/>
  <c r="P427" i="7" l="1"/>
  <c r="N427" i="7"/>
  <c r="O428" i="7" s="1"/>
  <c r="M486" i="7"/>
  <c r="L487" i="7"/>
  <c r="N428" i="7" l="1"/>
  <c r="O429" i="7" s="1"/>
  <c r="P428" i="7"/>
  <c r="M487" i="7"/>
  <c r="L488" i="7"/>
  <c r="N429" i="7" l="1"/>
  <c r="O430" i="7" s="1"/>
  <c r="P429" i="7"/>
  <c r="M488" i="7"/>
  <c r="L489" i="7"/>
  <c r="N430" i="7" l="1"/>
  <c r="O431" i="7" s="1"/>
  <c r="P430" i="7"/>
  <c r="M489" i="7"/>
  <c r="L490" i="7"/>
  <c r="P431" i="7" l="1"/>
  <c r="N431" i="7"/>
  <c r="O432" i="7" s="1"/>
  <c r="M490" i="7"/>
  <c r="L491" i="7"/>
  <c r="N432" i="7" l="1"/>
  <c r="O433" i="7" s="1"/>
  <c r="P432" i="7"/>
  <c r="M491" i="7"/>
  <c r="L492" i="7"/>
  <c r="N433" i="7" l="1"/>
  <c r="O434" i="7" s="1"/>
  <c r="P433" i="7"/>
  <c r="M492" i="7"/>
  <c r="L493" i="7"/>
  <c r="P434" i="7" l="1"/>
  <c r="N434" i="7"/>
  <c r="O435" i="7" s="1"/>
  <c r="M493" i="7"/>
  <c r="L494" i="7"/>
  <c r="N435" i="7" l="1"/>
  <c r="O436" i="7" s="1"/>
  <c r="P435" i="7"/>
  <c r="M494" i="7"/>
  <c r="L495" i="7"/>
  <c r="N436" i="7" l="1"/>
  <c r="O437" i="7" s="1"/>
  <c r="P436" i="7"/>
  <c r="M495" i="7"/>
  <c r="L496" i="7"/>
  <c r="P437" i="7" l="1"/>
  <c r="N437" i="7"/>
  <c r="O438" i="7" s="1"/>
  <c r="M496" i="7"/>
  <c r="L497" i="7"/>
  <c r="P438" i="7" l="1"/>
  <c r="N438" i="7"/>
  <c r="O439" i="7" s="1"/>
  <c r="M497" i="7"/>
  <c r="L498" i="7"/>
  <c r="P439" i="7" l="1"/>
  <c r="N439" i="7"/>
  <c r="O440" i="7" s="1"/>
  <c r="M498" i="7"/>
  <c r="L499" i="7"/>
  <c r="P440" i="7" l="1"/>
  <c r="N440" i="7"/>
  <c r="O441" i="7" s="1"/>
  <c r="M499" i="7"/>
  <c r="L500" i="7"/>
  <c r="P441" i="7" l="1"/>
  <c r="N441" i="7"/>
  <c r="O442" i="7" s="1"/>
  <c r="M500" i="7"/>
  <c r="L501" i="7"/>
  <c r="N442" i="7" l="1"/>
  <c r="O443" i="7" s="1"/>
  <c r="P442" i="7"/>
  <c r="M501" i="7"/>
  <c r="L502" i="7"/>
  <c r="P443" i="7" l="1"/>
  <c r="N443" i="7"/>
  <c r="O444" i="7" s="1"/>
  <c r="M502" i="7"/>
  <c r="L503" i="7"/>
  <c r="P444" i="7" l="1"/>
  <c r="N444" i="7"/>
  <c r="O445" i="7" s="1"/>
  <c r="M503" i="7"/>
  <c r="L504" i="7"/>
  <c r="N445" i="7" l="1"/>
  <c r="O446" i="7" s="1"/>
  <c r="P445" i="7"/>
  <c r="M504" i="7"/>
  <c r="L505" i="7"/>
  <c r="N446" i="7" l="1"/>
  <c r="O447" i="7" s="1"/>
  <c r="P446" i="7"/>
  <c r="M505" i="7"/>
  <c r="L506" i="7"/>
  <c r="P447" i="7" l="1"/>
  <c r="N447" i="7"/>
  <c r="O448" i="7" s="1"/>
  <c r="M506" i="7"/>
  <c r="L507" i="7"/>
  <c r="N448" i="7" l="1"/>
  <c r="O449" i="7" s="1"/>
  <c r="P448" i="7"/>
  <c r="M507" i="7"/>
  <c r="L508" i="7"/>
  <c r="N449" i="7" l="1"/>
  <c r="O450" i="7" s="1"/>
  <c r="P449" i="7"/>
  <c r="M508" i="7"/>
  <c r="L509" i="7"/>
  <c r="P450" i="7" l="1"/>
  <c r="N450" i="7"/>
  <c r="O451" i="7" s="1"/>
  <c r="M509" i="7"/>
  <c r="L510" i="7"/>
  <c r="P451" i="7" l="1"/>
  <c r="N451" i="7"/>
  <c r="O452" i="7" s="1"/>
  <c r="M510" i="7"/>
  <c r="L511" i="7"/>
  <c r="P452" i="7" l="1"/>
  <c r="N452" i="7"/>
  <c r="O453" i="7" s="1"/>
  <c r="M511" i="7"/>
  <c r="L512" i="7"/>
  <c r="N453" i="7" l="1"/>
  <c r="O454" i="7" s="1"/>
  <c r="P453" i="7"/>
  <c r="M512" i="7"/>
  <c r="L513" i="7"/>
  <c r="P454" i="7" l="1"/>
  <c r="N454" i="7"/>
  <c r="O455" i="7" s="1"/>
  <c r="M513" i="7"/>
  <c r="L514" i="7"/>
  <c r="N455" i="7" l="1"/>
  <c r="O456" i="7" s="1"/>
  <c r="P455" i="7"/>
  <c r="M514" i="7"/>
  <c r="L515" i="7"/>
  <c r="P456" i="7" l="1"/>
  <c r="N456" i="7"/>
  <c r="O457" i="7" s="1"/>
  <c r="M515" i="7"/>
  <c r="L516" i="7"/>
  <c r="N457" i="7" l="1"/>
  <c r="O458" i="7" s="1"/>
  <c r="P457" i="7"/>
  <c r="M516" i="7"/>
  <c r="L517" i="7"/>
  <c r="P458" i="7" l="1"/>
  <c r="N458" i="7"/>
  <c r="O459" i="7" s="1"/>
  <c r="M517" i="7"/>
  <c r="L518" i="7"/>
  <c r="P459" i="7" l="1"/>
  <c r="N459" i="7"/>
  <c r="O460" i="7" s="1"/>
  <c r="M518" i="7"/>
  <c r="L519" i="7"/>
  <c r="P460" i="7" l="1"/>
  <c r="N460" i="7"/>
  <c r="O461" i="7" s="1"/>
  <c r="M519" i="7"/>
  <c r="L520" i="7"/>
  <c r="N461" i="7" l="1"/>
  <c r="O462" i="7" s="1"/>
  <c r="P461" i="7"/>
  <c r="M520" i="7"/>
  <c r="L521" i="7"/>
  <c r="P462" i="7" l="1"/>
  <c r="N462" i="7"/>
  <c r="O463" i="7" s="1"/>
  <c r="M521" i="7"/>
  <c r="L522" i="7"/>
  <c r="P463" i="7" l="1"/>
  <c r="N463" i="7"/>
  <c r="O464" i="7" s="1"/>
  <c r="M522" i="7"/>
  <c r="L523" i="7"/>
  <c r="N464" i="7" l="1"/>
  <c r="O465" i="7" s="1"/>
  <c r="P464" i="7"/>
  <c r="M523" i="7"/>
  <c r="L524" i="7"/>
  <c r="N465" i="7" l="1"/>
  <c r="O466" i="7" s="1"/>
  <c r="P465" i="7"/>
  <c r="M524" i="7"/>
  <c r="L525" i="7"/>
  <c r="P466" i="7" l="1"/>
  <c r="N466" i="7"/>
  <c r="O467" i="7" s="1"/>
  <c r="M525" i="7"/>
  <c r="L526" i="7"/>
  <c r="N467" i="7" l="1"/>
  <c r="O468" i="7" s="1"/>
  <c r="P467" i="7"/>
  <c r="M526" i="7"/>
  <c r="L527" i="7"/>
  <c r="P468" i="7" l="1"/>
  <c r="N468" i="7"/>
  <c r="O469" i="7" s="1"/>
  <c r="M527" i="7"/>
  <c r="L528" i="7"/>
  <c r="P469" i="7" l="1"/>
  <c r="N469" i="7"/>
  <c r="O470" i="7" s="1"/>
  <c r="M528" i="7"/>
  <c r="L529" i="7"/>
  <c r="P470" i="7" l="1"/>
  <c r="N470" i="7"/>
  <c r="O471" i="7" s="1"/>
  <c r="M529" i="7"/>
  <c r="L530" i="7"/>
  <c r="P471" i="7" l="1"/>
  <c r="N471" i="7"/>
  <c r="O472" i="7" s="1"/>
  <c r="M530" i="7"/>
  <c r="L531" i="7"/>
  <c r="P472" i="7" l="1"/>
  <c r="N472" i="7"/>
  <c r="O473" i="7" s="1"/>
  <c r="M531" i="7"/>
  <c r="L532" i="7"/>
  <c r="N473" i="7" l="1"/>
  <c r="O474" i="7" s="1"/>
  <c r="P473" i="7"/>
  <c r="M532" i="7"/>
  <c r="L533" i="7"/>
  <c r="N474" i="7" l="1"/>
  <c r="O475" i="7" s="1"/>
  <c r="P474" i="7"/>
  <c r="M533" i="7"/>
  <c r="L534" i="7"/>
  <c r="P475" i="7" l="1"/>
  <c r="N475" i="7"/>
  <c r="O476" i="7" s="1"/>
  <c r="M534" i="7"/>
  <c r="L535" i="7"/>
  <c r="N476" i="7" l="1"/>
  <c r="O477" i="7" s="1"/>
  <c r="P476" i="7"/>
  <c r="M535" i="7"/>
  <c r="L536" i="7"/>
  <c r="P477" i="7" l="1"/>
  <c r="N477" i="7"/>
  <c r="O478" i="7" s="1"/>
  <c r="M536" i="7"/>
  <c r="L537" i="7"/>
  <c r="P478" i="7" l="1"/>
  <c r="N478" i="7"/>
  <c r="O479" i="7" s="1"/>
  <c r="M537" i="7"/>
  <c r="L538" i="7"/>
  <c r="N479" i="7" l="1"/>
  <c r="O480" i="7" s="1"/>
  <c r="P479" i="7"/>
  <c r="M538" i="7"/>
  <c r="L539" i="7"/>
  <c r="P480" i="7" l="1"/>
  <c r="N480" i="7"/>
  <c r="O481" i="7" s="1"/>
  <c r="M539" i="7"/>
  <c r="L540" i="7"/>
  <c r="N481" i="7" l="1"/>
  <c r="O482" i="7" s="1"/>
  <c r="P481" i="7"/>
  <c r="M540" i="7"/>
  <c r="L541" i="7"/>
  <c r="P482" i="7" l="1"/>
  <c r="N482" i="7"/>
  <c r="O483" i="7" s="1"/>
  <c r="M541" i="7"/>
  <c r="L542" i="7"/>
  <c r="P483" i="7" l="1"/>
  <c r="N483" i="7"/>
  <c r="O484" i="7" s="1"/>
  <c r="M542" i="7"/>
  <c r="L543" i="7"/>
  <c r="N484" i="7" l="1"/>
  <c r="O485" i="7" s="1"/>
  <c r="P484" i="7"/>
  <c r="M543" i="7"/>
  <c r="L544" i="7"/>
  <c r="N485" i="7" l="1"/>
  <c r="O486" i="7" s="1"/>
  <c r="P485" i="7"/>
  <c r="M544" i="7"/>
  <c r="L545" i="7"/>
  <c r="P486" i="7" l="1"/>
  <c r="N486" i="7"/>
  <c r="O487" i="7" s="1"/>
  <c r="M545" i="7"/>
  <c r="L546" i="7"/>
  <c r="N487" i="7" l="1"/>
  <c r="O488" i="7" s="1"/>
  <c r="P487" i="7"/>
  <c r="M546" i="7"/>
  <c r="L547" i="7"/>
  <c r="P488" i="7" l="1"/>
  <c r="N488" i="7"/>
  <c r="O489" i="7" s="1"/>
  <c r="M547" i="7"/>
  <c r="L548" i="7"/>
  <c r="P489" i="7" l="1"/>
  <c r="N489" i="7"/>
  <c r="O490" i="7" s="1"/>
  <c r="M548" i="7"/>
  <c r="L549" i="7"/>
  <c r="N490" i="7" l="1"/>
  <c r="O491" i="7" s="1"/>
  <c r="P490" i="7"/>
  <c r="M549" i="7"/>
  <c r="L550" i="7"/>
  <c r="P491" i="7" l="1"/>
  <c r="N491" i="7"/>
  <c r="O492" i="7" s="1"/>
  <c r="M550" i="7"/>
  <c r="L551" i="7"/>
  <c r="P492" i="7" l="1"/>
  <c r="N492" i="7"/>
  <c r="O493" i="7" s="1"/>
  <c r="M551" i="7"/>
  <c r="L552" i="7"/>
  <c r="P493" i="7" l="1"/>
  <c r="N493" i="7"/>
  <c r="O494" i="7" s="1"/>
  <c r="M552" i="7"/>
  <c r="L553" i="7"/>
  <c r="N494" i="7" l="1"/>
  <c r="O495" i="7" s="1"/>
  <c r="P494" i="7"/>
  <c r="M553" i="7"/>
  <c r="L554" i="7"/>
  <c r="N495" i="7" l="1"/>
  <c r="O496" i="7" s="1"/>
  <c r="P495" i="7"/>
  <c r="M554" i="7"/>
  <c r="L555" i="7"/>
  <c r="N496" i="7" l="1"/>
  <c r="O497" i="7" s="1"/>
  <c r="P496" i="7"/>
  <c r="M555" i="7"/>
  <c r="L556" i="7"/>
  <c r="N497" i="7" l="1"/>
  <c r="O498" i="7" s="1"/>
  <c r="P497" i="7"/>
  <c r="M556" i="7"/>
  <c r="L557" i="7"/>
  <c r="N498" i="7" l="1"/>
  <c r="O499" i="7" s="1"/>
  <c r="P498" i="7"/>
  <c r="M557" i="7"/>
  <c r="L558" i="7"/>
  <c r="N499" i="7" l="1"/>
  <c r="O500" i="7" s="1"/>
  <c r="P499" i="7"/>
  <c r="M558" i="7"/>
  <c r="L559" i="7"/>
  <c r="P500" i="7" l="1"/>
  <c r="N500" i="7"/>
  <c r="O501" i="7" s="1"/>
  <c r="M559" i="7"/>
  <c r="L560" i="7"/>
  <c r="P501" i="7" l="1"/>
  <c r="N501" i="7"/>
  <c r="O502" i="7" s="1"/>
  <c r="M560" i="7"/>
  <c r="L561" i="7"/>
  <c r="P502" i="7" l="1"/>
  <c r="N502" i="7"/>
  <c r="O503" i="7" s="1"/>
  <c r="M561" i="7"/>
  <c r="L562" i="7"/>
  <c r="N503" i="7" l="1"/>
  <c r="O504" i="7" s="1"/>
  <c r="P503" i="7"/>
  <c r="M562" i="7"/>
  <c r="L563" i="7"/>
  <c r="P504" i="7" l="1"/>
  <c r="N504" i="7"/>
  <c r="O505" i="7" s="1"/>
  <c r="M563" i="7"/>
  <c r="L564" i="7"/>
  <c r="P505" i="7" l="1"/>
  <c r="N505" i="7"/>
  <c r="O506" i="7" s="1"/>
  <c r="M564" i="7"/>
  <c r="L565" i="7"/>
  <c r="P506" i="7" l="1"/>
  <c r="N506" i="7"/>
  <c r="O507" i="7" s="1"/>
  <c r="M565" i="7"/>
  <c r="L566" i="7"/>
  <c r="N507" i="7" l="1"/>
  <c r="O508" i="7" s="1"/>
  <c r="P507" i="7"/>
  <c r="M566" i="7"/>
  <c r="L567" i="7"/>
  <c r="P508" i="7" l="1"/>
  <c r="N508" i="7"/>
  <c r="O509" i="7" s="1"/>
  <c r="M567" i="7"/>
  <c r="L568" i="7"/>
  <c r="N509" i="7" l="1"/>
  <c r="O510" i="7" s="1"/>
  <c r="P509" i="7"/>
  <c r="M568" i="7"/>
  <c r="L569" i="7"/>
  <c r="P510" i="7" l="1"/>
  <c r="N510" i="7"/>
  <c r="O511" i="7" s="1"/>
  <c r="M569" i="7"/>
  <c r="L570" i="7"/>
  <c r="N511" i="7" l="1"/>
  <c r="O512" i="7" s="1"/>
  <c r="P511" i="7"/>
  <c r="M570" i="7"/>
  <c r="L571" i="7"/>
  <c r="P512" i="7" l="1"/>
  <c r="N512" i="7"/>
  <c r="O513" i="7" s="1"/>
  <c r="M571" i="7"/>
  <c r="L572" i="7"/>
  <c r="P513" i="7" l="1"/>
  <c r="N513" i="7"/>
  <c r="O514" i="7" s="1"/>
  <c r="M572" i="7"/>
  <c r="L573" i="7"/>
  <c r="P514" i="7" l="1"/>
  <c r="N514" i="7"/>
  <c r="O515" i="7" s="1"/>
  <c r="M573" i="7"/>
  <c r="L574" i="7"/>
  <c r="P515" i="7" l="1"/>
  <c r="N515" i="7"/>
  <c r="O516" i="7" s="1"/>
  <c r="M574" i="7"/>
  <c r="L575" i="7"/>
  <c r="P516" i="7" l="1"/>
  <c r="N516" i="7"/>
  <c r="O517" i="7" s="1"/>
  <c r="M575" i="7"/>
  <c r="L576" i="7"/>
  <c r="P517" i="7" l="1"/>
  <c r="N517" i="7"/>
  <c r="O518" i="7" s="1"/>
  <c r="M576" i="7"/>
  <c r="L577" i="7"/>
  <c r="N518" i="7" l="1"/>
  <c r="O519" i="7" s="1"/>
  <c r="P518" i="7"/>
  <c r="M577" i="7"/>
  <c r="L578" i="7"/>
  <c r="P519" i="7" l="1"/>
  <c r="N519" i="7"/>
  <c r="O520" i="7" s="1"/>
  <c r="M578" i="7"/>
  <c r="L579" i="7"/>
  <c r="N520" i="7" l="1"/>
  <c r="O521" i="7" s="1"/>
  <c r="P520" i="7"/>
  <c r="M579" i="7"/>
  <c r="L580" i="7"/>
  <c r="P521" i="7" l="1"/>
  <c r="N521" i="7"/>
  <c r="O522" i="7" s="1"/>
  <c r="M580" i="7"/>
  <c r="L581" i="7"/>
  <c r="P522" i="7" l="1"/>
  <c r="N522" i="7"/>
  <c r="O523" i="7" s="1"/>
  <c r="M581" i="7"/>
  <c r="L582" i="7"/>
  <c r="N523" i="7" l="1"/>
  <c r="O524" i="7" s="1"/>
  <c r="P523" i="7"/>
  <c r="M582" i="7"/>
  <c r="L583" i="7"/>
  <c r="P524" i="7" l="1"/>
  <c r="N524" i="7"/>
  <c r="O525" i="7" s="1"/>
  <c r="M583" i="7"/>
  <c r="L584" i="7"/>
  <c r="N525" i="7" l="1"/>
  <c r="O526" i="7" s="1"/>
  <c r="P525" i="7"/>
  <c r="M584" i="7"/>
  <c r="L585" i="7"/>
  <c r="P526" i="7" l="1"/>
  <c r="N526" i="7"/>
  <c r="O527" i="7" s="1"/>
  <c r="M585" i="7"/>
  <c r="L586" i="7"/>
  <c r="P527" i="7" l="1"/>
  <c r="N527" i="7"/>
  <c r="O528" i="7" s="1"/>
  <c r="M586" i="7"/>
  <c r="L587" i="7"/>
  <c r="N528" i="7" l="1"/>
  <c r="O529" i="7" s="1"/>
  <c r="P528" i="7"/>
  <c r="M587" i="7"/>
  <c r="L588" i="7"/>
  <c r="N529" i="7" l="1"/>
  <c r="O530" i="7" s="1"/>
  <c r="P529" i="7"/>
  <c r="M588" i="7"/>
  <c r="L589" i="7"/>
  <c r="P530" i="7" l="1"/>
  <c r="N530" i="7"/>
  <c r="O531" i="7" s="1"/>
  <c r="M589" i="7"/>
  <c r="L590" i="7"/>
  <c r="P531" i="7" l="1"/>
  <c r="N531" i="7"/>
  <c r="O532" i="7" s="1"/>
  <c r="M590" i="7"/>
  <c r="L591" i="7"/>
  <c r="P532" i="7" l="1"/>
  <c r="N532" i="7"/>
  <c r="O533" i="7" s="1"/>
  <c r="M591" i="7"/>
  <c r="L592" i="7"/>
  <c r="P533" i="7" l="1"/>
  <c r="N533" i="7"/>
  <c r="O534" i="7" s="1"/>
  <c r="M592" i="7"/>
  <c r="L593" i="7"/>
  <c r="N534" i="7" l="1"/>
  <c r="O535" i="7" s="1"/>
  <c r="P534" i="7"/>
  <c r="M593" i="7"/>
  <c r="L594" i="7"/>
  <c r="N535" i="7" l="1"/>
  <c r="O536" i="7" s="1"/>
  <c r="P535" i="7"/>
  <c r="M594" i="7"/>
  <c r="L595" i="7"/>
  <c r="P536" i="7" l="1"/>
  <c r="N536" i="7"/>
  <c r="O537" i="7" s="1"/>
  <c r="M595" i="7"/>
  <c r="L596" i="7"/>
  <c r="P537" i="7" l="1"/>
  <c r="N537" i="7"/>
  <c r="O538" i="7" s="1"/>
  <c r="M596" i="7"/>
  <c r="L597" i="7"/>
  <c r="N538" i="7" l="1"/>
  <c r="O539" i="7" s="1"/>
  <c r="P538" i="7"/>
  <c r="M597" i="7"/>
  <c r="L598" i="7"/>
  <c r="P539" i="7" l="1"/>
  <c r="N539" i="7"/>
  <c r="O540" i="7" s="1"/>
  <c r="M598" i="7"/>
  <c r="L599" i="7"/>
  <c r="P540" i="7" l="1"/>
  <c r="N540" i="7"/>
  <c r="O541" i="7" s="1"/>
  <c r="M599" i="7"/>
  <c r="L600" i="7"/>
  <c r="N541" i="7" l="1"/>
  <c r="O542" i="7" s="1"/>
  <c r="P541" i="7"/>
  <c r="M600" i="7"/>
  <c r="L601" i="7"/>
  <c r="P542" i="7" l="1"/>
  <c r="N542" i="7"/>
  <c r="O543" i="7" s="1"/>
  <c r="M601" i="7"/>
  <c r="L602" i="7"/>
  <c r="N543" i="7" l="1"/>
  <c r="O544" i="7" s="1"/>
  <c r="P543" i="7"/>
  <c r="M602" i="7"/>
  <c r="L603" i="7"/>
  <c r="P544" i="7" l="1"/>
  <c r="N544" i="7"/>
  <c r="O545" i="7" s="1"/>
  <c r="M603" i="7"/>
  <c r="L604" i="7"/>
  <c r="P545" i="7" l="1"/>
  <c r="N545" i="7"/>
  <c r="O546" i="7" s="1"/>
  <c r="M604" i="7"/>
  <c r="L605" i="7"/>
  <c r="N546" i="7" l="1"/>
  <c r="O547" i="7" s="1"/>
  <c r="P546" i="7"/>
  <c r="M605" i="7"/>
  <c r="L606" i="7"/>
  <c r="N547" i="7" l="1"/>
  <c r="O548" i="7" s="1"/>
  <c r="P547" i="7"/>
  <c r="M606" i="7"/>
  <c r="L607" i="7"/>
  <c r="P548" i="7" l="1"/>
  <c r="N548" i="7"/>
  <c r="O549" i="7" s="1"/>
  <c r="M607" i="7"/>
  <c r="L608" i="7"/>
  <c r="N549" i="7" l="1"/>
  <c r="O550" i="7" s="1"/>
  <c r="P549" i="7"/>
  <c r="M608" i="7"/>
  <c r="L609" i="7"/>
  <c r="P550" i="7" l="1"/>
  <c r="N550" i="7"/>
  <c r="O551" i="7" s="1"/>
  <c r="M609" i="7"/>
  <c r="L610" i="7"/>
  <c r="N551" i="7" l="1"/>
  <c r="O552" i="7" s="1"/>
  <c r="P551" i="7"/>
  <c r="M610" i="7"/>
  <c r="L611" i="7"/>
  <c r="N552" i="7" l="1"/>
  <c r="O553" i="7" s="1"/>
  <c r="P552" i="7"/>
  <c r="M611" i="7"/>
  <c r="L612" i="7"/>
  <c r="P553" i="7" l="1"/>
  <c r="N553" i="7"/>
  <c r="O554" i="7" s="1"/>
  <c r="M612" i="7"/>
  <c r="L613" i="7"/>
  <c r="N554" i="7" l="1"/>
  <c r="O555" i="7" s="1"/>
  <c r="P554" i="7"/>
  <c r="M613" i="7"/>
  <c r="L614" i="7"/>
  <c r="P555" i="7" l="1"/>
  <c r="N555" i="7"/>
  <c r="O556" i="7" s="1"/>
  <c r="M614" i="7"/>
  <c r="L615" i="7"/>
  <c r="N556" i="7" l="1"/>
  <c r="O557" i="7" s="1"/>
  <c r="P556" i="7"/>
  <c r="M615" i="7"/>
  <c r="L616" i="7"/>
  <c r="P557" i="7" l="1"/>
  <c r="N557" i="7"/>
  <c r="O558" i="7" s="1"/>
  <c r="M616" i="7"/>
  <c r="L617" i="7"/>
  <c r="N558" i="7" l="1"/>
  <c r="O559" i="7" s="1"/>
  <c r="P558" i="7"/>
  <c r="M617" i="7"/>
  <c r="L618" i="7"/>
  <c r="N559" i="7" l="1"/>
  <c r="O560" i="7" s="1"/>
  <c r="P559" i="7"/>
  <c r="M618" i="7"/>
  <c r="L619" i="7"/>
  <c r="N560" i="7" l="1"/>
  <c r="O561" i="7" s="1"/>
  <c r="P560" i="7"/>
  <c r="M619" i="7"/>
  <c r="L620" i="7"/>
  <c r="P561" i="7" l="1"/>
  <c r="N561" i="7"/>
  <c r="O562" i="7" s="1"/>
  <c r="M620" i="7"/>
  <c r="L621" i="7"/>
  <c r="P562" i="7" l="1"/>
  <c r="N562" i="7"/>
  <c r="O563" i="7" s="1"/>
  <c r="M621" i="7"/>
  <c r="L622" i="7"/>
  <c r="N563" i="7" l="1"/>
  <c r="O564" i="7" s="1"/>
  <c r="P563" i="7"/>
  <c r="M622" i="7"/>
  <c r="L623" i="7"/>
  <c r="N564" i="7" l="1"/>
  <c r="O565" i="7" s="1"/>
  <c r="P564" i="7"/>
  <c r="M623" i="7"/>
  <c r="L624" i="7"/>
  <c r="N565" i="7" l="1"/>
  <c r="O566" i="7" s="1"/>
  <c r="P565" i="7"/>
  <c r="M624" i="7"/>
  <c r="L625" i="7"/>
  <c r="N566" i="7" l="1"/>
  <c r="O567" i="7" s="1"/>
  <c r="P566" i="7"/>
  <c r="M625" i="7"/>
  <c r="L626" i="7"/>
  <c r="P567" i="7" l="1"/>
  <c r="N567" i="7"/>
  <c r="O568" i="7" s="1"/>
  <c r="M626" i="7"/>
  <c r="L627" i="7"/>
  <c r="N568" i="7" l="1"/>
  <c r="O569" i="7" s="1"/>
  <c r="P568" i="7"/>
  <c r="M627" i="7"/>
  <c r="L628" i="7"/>
  <c r="P569" i="7" l="1"/>
  <c r="N569" i="7"/>
  <c r="O570" i="7" s="1"/>
  <c r="M628" i="7"/>
  <c r="L629" i="7"/>
  <c r="N570" i="7" l="1"/>
  <c r="O571" i="7" s="1"/>
  <c r="P570" i="7"/>
  <c r="M629" i="7"/>
  <c r="L630" i="7"/>
  <c r="N571" i="7" l="1"/>
  <c r="O572" i="7" s="1"/>
  <c r="P571" i="7"/>
  <c r="M630" i="7"/>
  <c r="L631" i="7"/>
  <c r="P572" i="7" l="1"/>
  <c r="N572" i="7"/>
  <c r="O573" i="7" s="1"/>
  <c r="M631" i="7"/>
  <c r="L632" i="7"/>
  <c r="P573" i="7" l="1"/>
  <c r="N573" i="7"/>
  <c r="O574" i="7" s="1"/>
  <c r="M632" i="7"/>
  <c r="L633" i="7"/>
  <c r="N574" i="7" l="1"/>
  <c r="O575" i="7" s="1"/>
  <c r="P574" i="7"/>
  <c r="M633" i="7"/>
  <c r="L634" i="7"/>
  <c r="P575" i="7" l="1"/>
  <c r="N575" i="7"/>
  <c r="O576" i="7" s="1"/>
  <c r="M634" i="7"/>
  <c r="L635" i="7"/>
  <c r="N576" i="7" l="1"/>
  <c r="O577" i="7" s="1"/>
  <c r="P576" i="7"/>
  <c r="M635" i="7"/>
  <c r="L636" i="7"/>
  <c r="P577" i="7" l="1"/>
  <c r="N577" i="7"/>
  <c r="O578" i="7" s="1"/>
  <c r="M636" i="7"/>
  <c r="L637" i="7"/>
  <c r="N578" i="7" l="1"/>
  <c r="O579" i="7" s="1"/>
  <c r="P578" i="7"/>
  <c r="M637" i="7"/>
  <c r="L638" i="7"/>
  <c r="P579" i="7" l="1"/>
  <c r="N579" i="7"/>
  <c r="O580" i="7" s="1"/>
  <c r="M638" i="7"/>
  <c r="L639" i="7"/>
  <c r="N580" i="7" l="1"/>
  <c r="O581" i="7" s="1"/>
  <c r="P580" i="7"/>
  <c r="M639" i="7"/>
  <c r="L640" i="7"/>
  <c r="P581" i="7" l="1"/>
  <c r="N581" i="7"/>
  <c r="O582" i="7" s="1"/>
  <c r="M640" i="7"/>
  <c r="L641" i="7"/>
  <c r="N582" i="7" l="1"/>
  <c r="O583" i="7" s="1"/>
  <c r="P582" i="7"/>
  <c r="M641" i="7"/>
  <c r="L642" i="7"/>
  <c r="P583" i="7" l="1"/>
  <c r="N583" i="7"/>
  <c r="O584" i="7" s="1"/>
  <c r="M642" i="7"/>
  <c r="L643" i="7"/>
  <c r="P584" i="7" l="1"/>
  <c r="N584" i="7"/>
  <c r="O585" i="7" s="1"/>
  <c r="M643" i="7"/>
  <c r="L644" i="7"/>
  <c r="P585" i="7" l="1"/>
  <c r="N585" i="7"/>
  <c r="O586" i="7" s="1"/>
  <c r="M644" i="7"/>
  <c r="L645" i="7"/>
  <c r="N586" i="7" l="1"/>
  <c r="O587" i="7" s="1"/>
  <c r="P586" i="7"/>
  <c r="M645" i="7"/>
  <c r="L646" i="7"/>
  <c r="N587" i="7" l="1"/>
  <c r="O588" i="7" s="1"/>
  <c r="P587" i="7"/>
  <c r="M646" i="7"/>
  <c r="L647" i="7"/>
  <c r="P588" i="7" l="1"/>
  <c r="N588" i="7"/>
  <c r="O589" i="7" s="1"/>
  <c r="M647" i="7"/>
  <c r="L648" i="7"/>
  <c r="N589" i="7" l="1"/>
  <c r="O590" i="7" s="1"/>
  <c r="P589" i="7"/>
  <c r="M648" i="7"/>
  <c r="L649" i="7"/>
  <c r="N590" i="7" l="1"/>
  <c r="O591" i="7" s="1"/>
  <c r="P590" i="7"/>
  <c r="M649" i="7"/>
  <c r="L650" i="7"/>
  <c r="N591" i="7" l="1"/>
  <c r="O592" i="7" s="1"/>
  <c r="P591" i="7"/>
  <c r="M650" i="7"/>
  <c r="L651" i="7"/>
  <c r="N592" i="7" l="1"/>
  <c r="O593" i="7" s="1"/>
  <c r="P592" i="7"/>
  <c r="M651" i="7"/>
  <c r="L652" i="7"/>
  <c r="N593" i="7" l="1"/>
  <c r="O594" i="7" s="1"/>
  <c r="P593" i="7"/>
  <c r="M652" i="7"/>
  <c r="L653" i="7"/>
  <c r="N594" i="7" l="1"/>
  <c r="O595" i="7" s="1"/>
  <c r="P594" i="7"/>
  <c r="M653" i="7"/>
  <c r="L654" i="7"/>
  <c r="P595" i="7" l="1"/>
  <c r="N595" i="7"/>
  <c r="O596" i="7" s="1"/>
  <c r="M654" i="7"/>
  <c r="L655" i="7"/>
  <c r="N596" i="7" l="1"/>
  <c r="O597" i="7" s="1"/>
  <c r="P596" i="7"/>
  <c r="M655" i="7"/>
  <c r="L656" i="7"/>
  <c r="P597" i="7" l="1"/>
  <c r="N597" i="7"/>
  <c r="O598" i="7" s="1"/>
  <c r="M656" i="7"/>
  <c r="L657" i="7"/>
  <c r="N598" i="7" l="1"/>
  <c r="O599" i="7" s="1"/>
  <c r="P598" i="7"/>
  <c r="M657" i="7"/>
  <c r="L658" i="7"/>
  <c r="N599" i="7" l="1"/>
  <c r="O600" i="7" s="1"/>
  <c r="P599" i="7"/>
  <c r="M658" i="7"/>
  <c r="L659" i="7"/>
  <c r="P600" i="7" l="1"/>
  <c r="N600" i="7"/>
  <c r="O601" i="7" s="1"/>
  <c r="M659" i="7"/>
  <c r="L660" i="7"/>
  <c r="N601" i="7" l="1"/>
  <c r="O602" i="7" s="1"/>
  <c r="P601" i="7"/>
  <c r="M660" i="7"/>
  <c r="L661" i="7"/>
  <c r="P602" i="7" l="1"/>
  <c r="N602" i="7"/>
  <c r="O603" i="7" s="1"/>
  <c r="M661" i="7"/>
  <c r="L662" i="7"/>
  <c r="P603" i="7" l="1"/>
  <c r="N603" i="7"/>
  <c r="O604" i="7" s="1"/>
  <c r="M662" i="7"/>
  <c r="L663" i="7"/>
  <c r="P604" i="7" l="1"/>
  <c r="N604" i="7"/>
  <c r="O605" i="7" s="1"/>
  <c r="M663" i="7"/>
  <c r="L664" i="7"/>
  <c r="P605" i="7" l="1"/>
  <c r="N605" i="7"/>
  <c r="O606" i="7" s="1"/>
  <c r="M664" i="7"/>
  <c r="L665" i="7"/>
  <c r="P606" i="7" l="1"/>
  <c r="N606" i="7"/>
  <c r="O607" i="7" s="1"/>
  <c r="M665" i="7"/>
  <c r="L666" i="7"/>
  <c r="P607" i="7" l="1"/>
  <c r="N607" i="7"/>
  <c r="O608" i="7" s="1"/>
  <c r="M666" i="7"/>
  <c r="L667" i="7"/>
  <c r="N608" i="7" l="1"/>
  <c r="O609" i="7" s="1"/>
  <c r="P608" i="7"/>
  <c r="M667" i="7"/>
  <c r="L668" i="7"/>
  <c r="N609" i="7" l="1"/>
  <c r="O610" i="7" s="1"/>
  <c r="P609" i="7"/>
  <c r="M668" i="7"/>
  <c r="L669" i="7"/>
  <c r="P610" i="7" l="1"/>
  <c r="N610" i="7"/>
  <c r="O611" i="7" s="1"/>
  <c r="M669" i="7"/>
  <c r="L670" i="7"/>
  <c r="N611" i="7" l="1"/>
  <c r="O612" i="7" s="1"/>
  <c r="P611" i="7"/>
  <c r="M670" i="7"/>
  <c r="L671" i="7"/>
  <c r="P612" i="7" l="1"/>
  <c r="N612" i="7"/>
  <c r="O613" i="7" s="1"/>
  <c r="M671" i="7"/>
  <c r="L672" i="7"/>
  <c r="P613" i="7" l="1"/>
  <c r="N613" i="7"/>
  <c r="O614" i="7" s="1"/>
  <c r="M672" i="7"/>
  <c r="L673" i="7"/>
  <c r="N614" i="7" l="1"/>
  <c r="O615" i="7" s="1"/>
  <c r="P614" i="7"/>
  <c r="M673" i="7"/>
  <c r="L674" i="7"/>
  <c r="P615" i="7" l="1"/>
  <c r="N615" i="7"/>
  <c r="O616" i="7" s="1"/>
  <c r="M674" i="7"/>
  <c r="L675" i="7"/>
  <c r="P616" i="7" l="1"/>
  <c r="N616" i="7"/>
  <c r="O617" i="7" s="1"/>
  <c r="M675" i="7"/>
  <c r="L676" i="7"/>
  <c r="P617" i="7" l="1"/>
  <c r="N617" i="7"/>
  <c r="O618" i="7" s="1"/>
  <c r="M676" i="7"/>
  <c r="L677" i="7"/>
  <c r="P618" i="7" l="1"/>
  <c r="N618" i="7"/>
  <c r="O619" i="7" s="1"/>
  <c r="M677" i="7"/>
  <c r="L678" i="7"/>
  <c r="N619" i="7" l="1"/>
  <c r="O620" i="7" s="1"/>
  <c r="P619" i="7"/>
  <c r="M678" i="7"/>
  <c r="L679" i="7"/>
  <c r="P620" i="7" l="1"/>
  <c r="N620" i="7"/>
  <c r="O621" i="7" s="1"/>
  <c r="M679" i="7"/>
  <c r="L680" i="7"/>
  <c r="P621" i="7" l="1"/>
  <c r="N621" i="7"/>
  <c r="O622" i="7" s="1"/>
  <c r="M680" i="7"/>
  <c r="L681" i="7"/>
  <c r="P622" i="7" l="1"/>
  <c r="N622" i="7"/>
  <c r="O623" i="7" s="1"/>
  <c r="M681" i="7"/>
  <c r="L682" i="7"/>
  <c r="P623" i="7" l="1"/>
  <c r="N623" i="7"/>
  <c r="O624" i="7" s="1"/>
  <c r="M682" i="7"/>
  <c r="L683" i="7"/>
  <c r="P624" i="7" l="1"/>
  <c r="N624" i="7"/>
  <c r="O625" i="7" s="1"/>
  <c r="M683" i="7"/>
  <c r="L684" i="7"/>
  <c r="P625" i="7" l="1"/>
  <c r="N625" i="7"/>
  <c r="O626" i="7" s="1"/>
  <c r="M684" i="7"/>
  <c r="L685" i="7"/>
  <c r="P626" i="7" l="1"/>
  <c r="N626" i="7"/>
  <c r="O627" i="7" s="1"/>
  <c r="M685" i="7"/>
  <c r="L686" i="7"/>
  <c r="N627" i="7" l="1"/>
  <c r="O628" i="7" s="1"/>
  <c r="P627" i="7"/>
  <c r="M686" i="7"/>
  <c r="L687" i="7"/>
  <c r="P628" i="7" l="1"/>
  <c r="N628" i="7"/>
  <c r="O629" i="7" s="1"/>
  <c r="M687" i="7"/>
  <c r="L688" i="7"/>
  <c r="N629" i="7" l="1"/>
  <c r="O630" i="7" s="1"/>
  <c r="P629" i="7"/>
  <c r="M688" i="7"/>
  <c r="L689" i="7"/>
  <c r="P630" i="7" l="1"/>
  <c r="N630" i="7"/>
  <c r="O631" i="7" s="1"/>
  <c r="M689" i="7"/>
  <c r="L690" i="7"/>
  <c r="N631" i="7" l="1"/>
  <c r="O632" i="7" s="1"/>
  <c r="P631" i="7"/>
  <c r="M690" i="7"/>
  <c r="L691" i="7"/>
  <c r="P632" i="7" l="1"/>
  <c r="N632" i="7"/>
  <c r="O633" i="7" s="1"/>
  <c r="M691" i="7"/>
  <c r="L692" i="7"/>
  <c r="N633" i="7" l="1"/>
  <c r="O634" i="7" s="1"/>
  <c r="P633" i="7"/>
  <c r="M692" i="7"/>
  <c r="L693" i="7"/>
  <c r="P634" i="7" l="1"/>
  <c r="N634" i="7"/>
  <c r="O635" i="7" s="1"/>
  <c r="M693" i="7"/>
  <c r="L694" i="7"/>
  <c r="P635" i="7" l="1"/>
  <c r="N635" i="7"/>
  <c r="O636" i="7" s="1"/>
  <c r="M694" i="7"/>
  <c r="L695" i="7"/>
  <c r="P636" i="7" l="1"/>
  <c r="N636" i="7"/>
  <c r="O637" i="7" s="1"/>
  <c r="M695" i="7"/>
  <c r="L696" i="7"/>
  <c r="N637" i="7" l="1"/>
  <c r="O638" i="7" s="1"/>
  <c r="P637" i="7"/>
  <c r="M696" i="7"/>
  <c r="L697" i="7"/>
  <c r="P638" i="7" l="1"/>
  <c r="N638" i="7"/>
  <c r="O639" i="7" s="1"/>
  <c r="M697" i="7"/>
  <c r="L698" i="7"/>
  <c r="N639" i="7" l="1"/>
  <c r="O640" i="7" s="1"/>
  <c r="P639" i="7"/>
  <c r="M698" i="7"/>
  <c r="L699" i="7"/>
  <c r="P640" i="7" l="1"/>
  <c r="N640" i="7"/>
  <c r="O641" i="7" s="1"/>
  <c r="M699" i="7"/>
  <c r="L700" i="7"/>
  <c r="P641" i="7" l="1"/>
  <c r="N641" i="7"/>
  <c r="O642" i="7" s="1"/>
  <c r="M700" i="7"/>
  <c r="L701" i="7"/>
  <c r="N642" i="7" l="1"/>
  <c r="O643" i="7" s="1"/>
  <c r="P642" i="7"/>
  <c r="M701" i="7"/>
  <c r="L702" i="7"/>
  <c r="P643" i="7" l="1"/>
  <c r="N643" i="7"/>
  <c r="O644" i="7" s="1"/>
  <c r="M702" i="7"/>
  <c r="L703" i="7"/>
  <c r="N644" i="7" l="1"/>
  <c r="O645" i="7" s="1"/>
  <c r="P644" i="7"/>
  <c r="M703" i="7"/>
  <c r="L704" i="7"/>
  <c r="N645" i="7" l="1"/>
  <c r="O646" i="7" s="1"/>
  <c r="P645" i="7"/>
  <c r="M704" i="7"/>
  <c r="L705" i="7"/>
  <c r="P646" i="7" l="1"/>
  <c r="N646" i="7"/>
  <c r="O647" i="7" s="1"/>
  <c r="M705" i="7"/>
  <c r="L706" i="7"/>
  <c r="N647" i="7" l="1"/>
  <c r="O648" i="7" s="1"/>
  <c r="P647" i="7"/>
  <c r="M706" i="7"/>
  <c r="L707" i="7"/>
  <c r="N648" i="7" l="1"/>
  <c r="O649" i="7" s="1"/>
  <c r="P648" i="7"/>
  <c r="M707" i="7"/>
  <c r="L708" i="7"/>
  <c r="N649" i="7" l="1"/>
  <c r="O650" i="7" s="1"/>
  <c r="P649" i="7"/>
  <c r="M708" i="7"/>
  <c r="L709" i="7"/>
  <c r="N650" i="7" l="1"/>
  <c r="O651" i="7" s="1"/>
  <c r="P650" i="7"/>
  <c r="M709" i="7"/>
  <c r="L710" i="7"/>
  <c r="N651" i="7" l="1"/>
  <c r="O652" i="7" s="1"/>
  <c r="P651" i="7"/>
  <c r="M710" i="7"/>
  <c r="L711" i="7"/>
  <c r="N652" i="7" l="1"/>
  <c r="O653" i="7" s="1"/>
  <c r="P652" i="7"/>
  <c r="M711" i="7"/>
  <c r="L712" i="7"/>
  <c r="N653" i="7" l="1"/>
  <c r="O654" i="7" s="1"/>
  <c r="P653" i="7"/>
  <c r="M712" i="7"/>
  <c r="L713" i="7"/>
  <c r="P654" i="7" l="1"/>
  <c r="N654" i="7"/>
  <c r="O655" i="7" s="1"/>
  <c r="M713" i="7"/>
  <c r="L714" i="7"/>
  <c r="P655" i="7" l="1"/>
  <c r="N655" i="7"/>
  <c r="O656" i="7" s="1"/>
  <c r="M714" i="7"/>
  <c r="L715" i="7"/>
  <c r="P656" i="7" l="1"/>
  <c r="N656" i="7"/>
  <c r="O657" i="7" s="1"/>
  <c r="M715" i="7"/>
  <c r="L716" i="7"/>
  <c r="N657" i="7" l="1"/>
  <c r="O658" i="7" s="1"/>
  <c r="P657" i="7"/>
  <c r="M716" i="7"/>
  <c r="L717" i="7"/>
  <c r="P658" i="7" l="1"/>
  <c r="N658" i="7"/>
  <c r="O659" i="7" s="1"/>
  <c r="M717" i="7"/>
  <c r="L718" i="7"/>
  <c r="P659" i="7" l="1"/>
  <c r="N659" i="7"/>
  <c r="O660" i="7" s="1"/>
  <c r="M718" i="7"/>
  <c r="L719" i="7"/>
  <c r="P660" i="7" l="1"/>
  <c r="N660" i="7"/>
  <c r="O661" i="7" s="1"/>
  <c r="M719" i="7"/>
  <c r="L720" i="7"/>
  <c r="P661" i="7" l="1"/>
  <c r="N661" i="7"/>
  <c r="O662" i="7" s="1"/>
  <c r="M720" i="7"/>
  <c r="L721" i="7"/>
  <c r="P662" i="7" l="1"/>
  <c r="N662" i="7"/>
  <c r="O663" i="7" s="1"/>
  <c r="M721" i="7"/>
  <c r="L722" i="7"/>
  <c r="P663" i="7" l="1"/>
  <c r="N663" i="7"/>
  <c r="O664" i="7" s="1"/>
  <c r="M722" i="7"/>
  <c r="L723" i="7"/>
  <c r="N664" i="7" l="1"/>
  <c r="O665" i="7" s="1"/>
  <c r="P664" i="7"/>
  <c r="M723" i="7"/>
  <c r="L724" i="7"/>
  <c r="N665" i="7" l="1"/>
  <c r="O666" i="7" s="1"/>
  <c r="P665" i="7"/>
  <c r="M724" i="7"/>
  <c r="L725" i="7"/>
  <c r="P666" i="7" l="1"/>
  <c r="N666" i="7"/>
  <c r="O667" i="7" s="1"/>
  <c r="M725" i="7"/>
  <c r="L726" i="7"/>
  <c r="P667" i="7" l="1"/>
  <c r="N667" i="7"/>
  <c r="O668" i="7" s="1"/>
  <c r="M726" i="7"/>
  <c r="L727" i="7"/>
  <c r="N668" i="7" l="1"/>
  <c r="O669" i="7" s="1"/>
  <c r="P668" i="7"/>
  <c r="M727" i="7"/>
  <c r="L728" i="7"/>
  <c r="N669" i="7" l="1"/>
  <c r="O670" i="7" s="1"/>
  <c r="P669" i="7"/>
  <c r="M728" i="7"/>
  <c r="L729" i="7"/>
  <c r="P670" i="7" l="1"/>
  <c r="N670" i="7"/>
  <c r="O671" i="7" s="1"/>
  <c r="M729" i="7"/>
  <c r="L730" i="7"/>
  <c r="N671" i="7" l="1"/>
  <c r="O672" i="7" s="1"/>
  <c r="P671" i="7"/>
  <c r="M730" i="7"/>
  <c r="L731" i="7"/>
  <c r="N672" i="7" l="1"/>
  <c r="O673" i="7" s="1"/>
  <c r="P672" i="7"/>
  <c r="M731" i="7"/>
  <c r="L732" i="7"/>
  <c r="P673" i="7" l="1"/>
  <c r="N673" i="7"/>
  <c r="O674" i="7" s="1"/>
  <c r="M732" i="7"/>
  <c r="L733" i="7"/>
  <c r="N674" i="7" l="1"/>
  <c r="O675" i="7" s="1"/>
  <c r="P674" i="7"/>
  <c r="M733" i="7"/>
  <c r="L734" i="7"/>
  <c r="N675" i="7" l="1"/>
  <c r="O676" i="7" s="1"/>
  <c r="P675" i="7"/>
  <c r="M734" i="7"/>
  <c r="L735" i="7"/>
  <c r="P676" i="7" l="1"/>
  <c r="N676" i="7"/>
  <c r="O677" i="7" s="1"/>
  <c r="M735" i="7"/>
  <c r="L736" i="7"/>
  <c r="P677" i="7" l="1"/>
  <c r="N677" i="7"/>
  <c r="O678" i="7" s="1"/>
  <c r="M736" i="7"/>
  <c r="L737" i="7"/>
  <c r="N678" i="7" l="1"/>
  <c r="O679" i="7" s="1"/>
  <c r="P678" i="7"/>
  <c r="M737" i="7"/>
  <c r="L738" i="7"/>
  <c r="P679" i="7" l="1"/>
  <c r="N679" i="7"/>
  <c r="O680" i="7" s="1"/>
  <c r="M738" i="7"/>
  <c r="L739" i="7"/>
  <c r="P680" i="7" l="1"/>
  <c r="N680" i="7"/>
  <c r="O681" i="7" s="1"/>
  <c r="M739" i="7"/>
  <c r="L740" i="7"/>
  <c r="N681" i="7" l="1"/>
  <c r="O682" i="7" s="1"/>
  <c r="P681" i="7"/>
  <c r="M740" i="7"/>
  <c r="L741" i="7"/>
  <c r="N682" i="7" l="1"/>
  <c r="O683" i="7" s="1"/>
  <c r="P682" i="7"/>
  <c r="M741" i="7"/>
  <c r="L742" i="7"/>
  <c r="N683" i="7" l="1"/>
  <c r="O684" i="7" s="1"/>
  <c r="P683" i="7"/>
  <c r="M742" i="7"/>
  <c r="L743" i="7"/>
  <c r="N684" i="7" l="1"/>
  <c r="O685" i="7" s="1"/>
  <c r="P684" i="7"/>
  <c r="M743" i="7"/>
  <c r="L744" i="7"/>
  <c r="P685" i="7" l="1"/>
  <c r="N685" i="7"/>
  <c r="O686" i="7" s="1"/>
  <c r="M744" i="7"/>
  <c r="L745" i="7"/>
  <c r="P686" i="7" l="1"/>
  <c r="N686" i="7"/>
  <c r="O687" i="7" s="1"/>
  <c r="M745" i="7"/>
  <c r="L746" i="7"/>
  <c r="N687" i="7" l="1"/>
  <c r="O688" i="7" s="1"/>
  <c r="P687" i="7"/>
  <c r="M746" i="7"/>
  <c r="L747" i="7"/>
  <c r="N688" i="7" l="1"/>
  <c r="O689" i="7" s="1"/>
  <c r="P688" i="7"/>
  <c r="M747" i="7"/>
  <c r="L748" i="7"/>
  <c r="P689" i="7" l="1"/>
  <c r="N689" i="7"/>
  <c r="O690" i="7" s="1"/>
  <c r="M748" i="7"/>
  <c r="L749" i="7"/>
  <c r="N690" i="7" l="1"/>
  <c r="O691" i="7" s="1"/>
  <c r="P690" i="7"/>
  <c r="M749" i="7"/>
  <c r="L750" i="7"/>
  <c r="P691" i="7" l="1"/>
  <c r="N691" i="7"/>
  <c r="O692" i="7" s="1"/>
  <c r="M750" i="7"/>
  <c r="L751" i="7"/>
  <c r="P692" i="7" l="1"/>
  <c r="N692" i="7"/>
  <c r="O693" i="7" s="1"/>
  <c r="M751" i="7"/>
  <c r="L752" i="7"/>
  <c r="N693" i="7" l="1"/>
  <c r="O694" i="7" s="1"/>
  <c r="P693" i="7"/>
  <c r="M752" i="7"/>
  <c r="L753" i="7"/>
  <c r="N694" i="7" l="1"/>
  <c r="O695" i="7" s="1"/>
  <c r="P694" i="7"/>
  <c r="M753" i="7"/>
  <c r="L754" i="7"/>
  <c r="N695" i="7" l="1"/>
  <c r="O696" i="7" s="1"/>
  <c r="P695" i="7"/>
  <c r="M754" i="7"/>
  <c r="L755" i="7"/>
  <c r="N696" i="7" l="1"/>
  <c r="O697" i="7" s="1"/>
  <c r="P696" i="7"/>
  <c r="M755" i="7"/>
  <c r="L756" i="7"/>
  <c r="P697" i="7" l="1"/>
  <c r="N697" i="7"/>
  <c r="O698" i="7" s="1"/>
  <c r="M756" i="7"/>
  <c r="L757" i="7"/>
  <c r="N698" i="7" l="1"/>
  <c r="O699" i="7" s="1"/>
  <c r="P698" i="7"/>
  <c r="M757" i="7"/>
  <c r="L758" i="7"/>
  <c r="N699" i="7" l="1"/>
  <c r="O700" i="7" s="1"/>
  <c r="P699" i="7"/>
  <c r="M758" i="7"/>
  <c r="L759" i="7"/>
  <c r="P700" i="7" l="1"/>
  <c r="N700" i="7"/>
  <c r="O701" i="7" s="1"/>
  <c r="M759" i="7"/>
  <c r="L760" i="7"/>
  <c r="P701" i="7" l="1"/>
  <c r="N701" i="7"/>
  <c r="O702" i="7" s="1"/>
  <c r="M760" i="7"/>
  <c r="L761" i="7"/>
  <c r="P702" i="7" l="1"/>
  <c r="N702" i="7"/>
  <c r="O703" i="7" s="1"/>
  <c r="M761" i="7"/>
  <c r="L762" i="7"/>
  <c r="N703" i="7" l="1"/>
  <c r="O704" i="7" s="1"/>
  <c r="P703" i="7"/>
  <c r="M762" i="7"/>
  <c r="L763" i="7"/>
  <c r="P704" i="7" l="1"/>
  <c r="N704" i="7"/>
  <c r="O705" i="7" s="1"/>
  <c r="M763" i="7"/>
  <c r="L764" i="7"/>
  <c r="N705" i="7" l="1"/>
  <c r="O706" i="7" s="1"/>
  <c r="P705" i="7"/>
  <c r="M764" i="7"/>
  <c r="L765" i="7"/>
  <c r="P706" i="7" l="1"/>
  <c r="N706" i="7"/>
  <c r="O707" i="7" s="1"/>
  <c r="M765" i="7"/>
  <c r="L766" i="7"/>
  <c r="N707" i="7" l="1"/>
  <c r="O708" i="7" s="1"/>
  <c r="P707" i="7"/>
  <c r="M766" i="7"/>
  <c r="L767" i="7"/>
  <c r="P708" i="7" l="1"/>
  <c r="N708" i="7"/>
  <c r="O709" i="7" s="1"/>
  <c r="M767" i="7"/>
  <c r="L768" i="7"/>
  <c r="P709" i="7" l="1"/>
  <c r="N709" i="7"/>
  <c r="O710" i="7" s="1"/>
  <c r="M768" i="7"/>
  <c r="L769" i="7"/>
  <c r="P710" i="7" l="1"/>
  <c r="N710" i="7"/>
  <c r="O711" i="7" s="1"/>
  <c r="M769" i="7"/>
  <c r="L770" i="7"/>
  <c r="P711" i="7" l="1"/>
  <c r="N711" i="7"/>
  <c r="O712" i="7" s="1"/>
  <c r="M770" i="7"/>
  <c r="L771" i="7"/>
  <c r="N712" i="7" l="1"/>
  <c r="O713" i="7" s="1"/>
  <c r="P712" i="7"/>
  <c r="M771" i="7"/>
  <c r="L772" i="7"/>
  <c r="N713" i="7" l="1"/>
  <c r="O714" i="7" s="1"/>
  <c r="P713" i="7"/>
  <c r="M772" i="7"/>
  <c r="L773" i="7"/>
  <c r="N714" i="7" l="1"/>
  <c r="O715" i="7" s="1"/>
  <c r="P714" i="7"/>
  <c r="M773" i="7"/>
  <c r="L774" i="7"/>
  <c r="P715" i="7" l="1"/>
  <c r="N715" i="7"/>
  <c r="O716" i="7" s="1"/>
  <c r="M774" i="7"/>
  <c r="L775" i="7"/>
  <c r="P716" i="7" l="1"/>
  <c r="N716" i="7"/>
  <c r="O717" i="7" s="1"/>
  <c r="M775" i="7"/>
  <c r="L776" i="7"/>
  <c r="N717" i="7" l="1"/>
  <c r="O718" i="7" s="1"/>
  <c r="P717" i="7"/>
  <c r="M776" i="7"/>
  <c r="L777" i="7"/>
  <c r="P718" i="7" l="1"/>
  <c r="N718" i="7"/>
  <c r="O719" i="7" s="1"/>
  <c r="M777" i="7"/>
  <c r="L778" i="7"/>
  <c r="N719" i="7" l="1"/>
  <c r="O720" i="7" s="1"/>
  <c r="P719" i="7"/>
  <c r="M778" i="7"/>
  <c r="L779" i="7"/>
  <c r="P720" i="7" l="1"/>
  <c r="N720" i="7"/>
  <c r="O721" i="7" s="1"/>
  <c r="M779" i="7"/>
  <c r="L780" i="7"/>
  <c r="P721" i="7" l="1"/>
  <c r="N721" i="7"/>
  <c r="O722" i="7" s="1"/>
  <c r="M780" i="7"/>
  <c r="L781" i="7"/>
  <c r="P722" i="7" l="1"/>
  <c r="N722" i="7"/>
  <c r="O723" i="7" s="1"/>
  <c r="M781" i="7"/>
  <c r="L782" i="7"/>
  <c r="N723" i="7" l="1"/>
  <c r="O724" i="7" s="1"/>
  <c r="P723" i="7"/>
  <c r="M782" i="7"/>
  <c r="L783" i="7"/>
  <c r="P724" i="7" l="1"/>
  <c r="N724" i="7"/>
  <c r="O725" i="7" s="1"/>
  <c r="M783" i="7"/>
  <c r="L784" i="7"/>
  <c r="P725" i="7" l="1"/>
  <c r="N725" i="7"/>
  <c r="O726" i="7" s="1"/>
  <c r="M784" i="7"/>
  <c r="L785" i="7"/>
  <c r="P726" i="7" l="1"/>
  <c r="N726" i="7"/>
  <c r="O727" i="7" s="1"/>
  <c r="M785" i="7"/>
  <c r="L786" i="7"/>
  <c r="N727" i="7" l="1"/>
  <c r="O728" i="7" s="1"/>
  <c r="P727" i="7"/>
  <c r="M786" i="7"/>
  <c r="L787" i="7"/>
  <c r="N728" i="7" l="1"/>
  <c r="O729" i="7" s="1"/>
  <c r="P728" i="7"/>
  <c r="M787" i="7"/>
  <c r="L788" i="7"/>
  <c r="P729" i="7" l="1"/>
  <c r="N729" i="7"/>
  <c r="O730" i="7" s="1"/>
  <c r="M788" i="7"/>
  <c r="L789" i="7"/>
  <c r="N730" i="7" l="1"/>
  <c r="O731" i="7" s="1"/>
  <c r="P730" i="7"/>
  <c r="M789" i="7"/>
  <c r="L790" i="7"/>
  <c r="P731" i="7" l="1"/>
  <c r="N731" i="7"/>
  <c r="O732" i="7" s="1"/>
  <c r="M790" i="7"/>
  <c r="L791" i="7"/>
  <c r="P732" i="7" l="1"/>
  <c r="N732" i="7"/>
  <c r="O733" i="7" s="1"/>
  <c r="M791" i="7"/>
  <c r="L792" i="7"/>
  <c r="N733" i="7" l="1"/>
  <c r="O734" i="7" s="1"/>
  <c r="P733" i="7"/>
  <c r="M792" i="7"/>
  <c r="L793" i="7"/>
  <c r="P734" i="7" l="1"/>
  <c r="N734" i="7"/>
  <c r="O735" i="7" s="1"/>
  <c r="M793" i="7"/>
  <c r="L794" i="7"/>
  <c r="N735" i="7" l="1"/>
  <c r="O736" i="7" s="1"/>
  <c r="P735" i="7"/>
  <c r="M794" i="7"/>
  <c r="L795" i="7"/>
  <c r="N736" i="7" l="1"/>
  <c r="O737" i="7" s="1"/>
  <c r="P736" i="7"/>
  <c r="M795" i="7"/>
  <c r="L796" i="7"/>
  <c r="N737" i="7" l="1"/>
  <c r="O738" i="7" s="1"/>
  <c r="P737" i="7"/>
  <c r="M796" i="7"/>
  <c r="L797" i="7"/>
  <c r="P738" i="7" l="1"/>
  <c r="N738" i="7"/>
  <c r="O739" i="7" s="1"/>
  <c r="M797" i="7"/>
  <c r="L798" i="7"/>
  <c r="P739" i="7" l="1"/>
  <c r="N739" i="7"/>
  <c r="O740" i="7" s="1"/>
  <c r="M798" i="7"/>
  <c r="L799" i="7"/>
  <c r="N740" i="7" l="1"/>
  <c r="O741" i="7" s="1"/>
  <c r="P740" i="7"/>
  <c r="M799" i="7"/>
  <c r="L800" i="7"/>
  <c r="N741" i="7" l="1"/>
  <c r="O742" i="7" s="1"/>
  <c r="P741" i="7"/>
  <c r="M800" i="7"/>
  <c r="L801" i="7"/>
  <c r="P742" i="7" l="1"/>
  <c r="N742" i="7"/>
  <c r="O743" i="7" s="1"/>
  <c r="M801" i="7"/>
  <c r="L802" i="7"/>
  <c r="P743" i="7" l="1"/>
  <c r="N743" i="7"/>
  <c r="O744" i="7" s="1"/>
  <c r="M802" i="7"/>
  <c r="L803" i="7"/>
  <c r="N744" i="7" l="1"/>
  <c r="O745" i="7" s="1"/>
  <c r="P744" i="7"/>
  <c r="M803" i="7"/>
  <c r="L804" i="7"/>
  <c r="N745" i="7" l="1"/>
  <c r="O746" i="7" s="1"/>
  <c r="P745" i="7"/>
  <c r="M804" i="7"/>
  <c r="L805" i="7"/>
  <c r="P746" i="7" l="1"/>
  <c r="N746" i="7"/>
  <c r="O747" i="7" s="1"/>
  <c r="M805" i="7"/>
  <c r="L806" i="7"/>
  <c r="N747" i="7" l="1"/>
  <c r="O748" i="7" s="1"/>
  <c r="P747" i="7"/>
  <c r="M806" i="7"/>
  <c r="L807" i="7"/>
  <c r="P748" i="7" l="1"/>
  <c r="N748" i="7"/>
  <c r="O749" i="7" s="1"/>
  <c r="M807" i="7"/>
  <c r="L808" i="7"/>
  <c r="P749" i="7" l="1"/>
  <c r="N749" i="7"/>
  <c r="O750" i="7" s="1"/>
  <c r="M808" i="7"/>
  <c r="L809" i="7"/>
  <c r="N750" i="7" l="1"/>
  <c r="O751" i="7" s="1"/>
  <c r="P750" i="7"/>
  <c r="M809" i="7"/>
  <c r="L810" i="7"/>
  <c r="P751" i="7" l="1"/>
  <c r="N751" i="7"/>
  <c r="O752" i="7" s="1"/>
  <c r="M810" i="7"/>
  <c r="L811" i="7"/>
  <c r="P752" i="7" l="1"/>
  <c r="N752" i="7"/>
  <c r="O753" i="7" s="1"/>
  <c r="M811" i="7"/>
  <c r="L812" i="7"/>
  <c r="P753" i="7" l="1"/>
  <c r="N753" i="7"/>
  <c r="O754" i="7" s="1"/>
  <c r="M812" i="7"/>
  <c r="L813" i="7"/>
  <c r="P754" i="7" l="1"/>
  <c r="N754" i="7"/>
  <c r="O755" i="7" s="1"/>
  <c r="M813" i="7"/>
  <c r="L814" i="7"/>
  <c r="N755" i="7" l="1"/>
  <c r="O756" i="7" s="1"/>
  <c r="P755" i="7"/>
  <c r="M814" i="7"/>
  <c r="L815" i="7"/>
  <c r="N756" i="7" l="1"/>
  <c r="O757" i="7" s="1"/>
  <c r="P756" i="7"/>
  <c r="M815" i="7"/>
  <c r="L816" i="7"/>
  <c r="N757" i="7" l="1"/>
  <c r="O758" i="7" s="1"/>
  <c r="P757" i="7"/>
  <c r="M816" i="7"/>
  <c r="L817" i="7"/>
  <c r="N758" i="7" l="1"/>
  <c r="O759" i="7" s="1"/>
  <c r="P758" i="7"/>
  <c r="M817" i="7"/>
  <c r="L818" i="7"/>
  <c r="P759" i="7" l="1"/>
  <c r="N759" i="7"/>
  <c r="O760" i="7" s="1"/>
  <c r="M818" i="7"/>
  <c r="L819" i="7"/>
  <c r="N760" i="7" l="1"/>
  <c r="O761" i="7" s="1"/>
  <c r="P760" i="7"/>
  <c r="M819" i="7"/>
  <c r="L820" i="7"/>
  <c r="N761" i="7" l="1"/>
  <c r="O762" i="7" s="1"/>
  <c r="P761" i="7"/>
  <c r="M820" i="7"/>
  <c r="L821" i="7"/>
  <c r="N762" i="7" l="1"/>
  <c r="O763" i="7" s="1"/>
  <c r="P762" i="7"/>
  <c r="M821" i="7"/>
  <c r="L822" i="7"/>
  <c r="P763" i="7" l="1"/>
  <c r="N763" i="7"/>
  <c r="O764" i="7" s="1"/>
  <c r="M822" i="7"/>
  <c r="L823" i="7"/>
  <c r="N764" i="7" l="1"/>
  <c r="O765" i="7" s="1"/>
  <c r="P764" i="7"/>
  <c r="M823" i="7"/>
  <c r="L824" i="7"/>
  <c r="P765" i="7" l="1"/>
  <c r="N765" i="7"/>
  <c r="O766" i="7" s="1"/>
  <c r="M824" i="7"/>
  <c r="L825" i="7"/>
  <c r="P766" i="7" l="1"/>
  <c r="N766" i="7"/>
  <c r="O767" i="7" s="1"/>
  <c r="M825" i="7"/>
  <c r="L826" i="7"/>
  <c r="P767" i="7" l="1"/>
  <c r="N767" i="7"/>
  <c r="O768" i="7" s="1"/>
  <c r="M826" i="7"/>
  <c r="L827" i="7"/>
  <c r="N768" i="7" l="1"/>
  <c r="O769" i="7" s="1"/>
  <c r="P768" i="7"/>
  <c r="M827" i="7"/>
  <c r="L828" i="7"/>
  <c r="N769" i="7" l="1"/>
  <c r="O770" i="7" s="1"/>
  <c r="P769" i="7"/>
  <c r="M828" i="7"/>
  <c r="L829" i="7"/>
  <c r="N770" i="7" l="1"/>
  <c r="O771" i="7" s="1"/>
  <c r="P770" i="7"/>
  <c r="M829" i="7"/>
  <c r="L830" i="7"/>
  <c r="P771" i="7" l="1"/>
  <c r="N771" i="7"/>
  <c r="O772" i="7" s="1"/>
  <c r="M830" i="7"/>
  <c r="L831" i="7"/>
  <c r="P772" i="7" l="1"/>
  <c r="N772" i="7"/>
  <c r="O773" i="7" s="1"/>
  <c r="M831" i="7"/>
  <c r="L832" i="7"/>
  <c r="N773" i="7" l="1"/>
  <c r="O774" i="7" s="1"/>
  <c r="P773" i="7"/>
  <c r="M832" i="7"/>
  <c r="L833" i="7"/>
  <c r="P774" i="7" l="1"/>
  <c r="N774" i="7"/>
  <c r="O775" i="7" s="1"/>
  <c r="M833" i="7"/>
  <c r="L834" i="7"/>
  <c r="N775" i="7" l="1"/>
  <c r="O776" i="7" s="1"/>
  <c r="P775" i="7"/>
  <c r="M834" i="7"/>
  <c r="L835" i="7"/>
  <c r="P776" i="7" l="1"/>
  <c r="N776" i="7"/>
  <c r="O777" i="7" s="1"/>
  <c r="M835" i="7"/>
  <c r="L836" i="7"/>
  <c r="N777" i="7" l="1"/>
  <c r="O778" i="7" s="1"/>
  <c r="P777" i="7"/>
  <c r="M836" i="7"/>
  <c r="L837" i="7"/>
  <c r="N778" i="7" l="1"/>
  <c r="O779" i="7" s="1"/>
  <c r="P778" i="7"/>
  <c r="M837" i="7"/>
  <c r="L838" i="7"/>
  <c r="P779" i="7" l="1"/>
  <c r="N779" i="7"/>
  <c r="O780" i="7" s="1"/>
  <c r="M838" i="7"/>
  <c r="L839" i="7"/>
  <c r="N780" i="7" l="1"/>
  <c r="O781" i="7" s="1"/>
  <c r="P780" i="7"/>
  <c r="M839" i="7"/>
  <c r="L840" i="7"/>
  <c r="N781" i="7" l="1"/>
  <c r="O782" i="7" s="1"/>
  <c r="P781" i="7"/>
  <c r="M840" i="7"/>
  <c r="L841" i="7"/>
  <c r="N782" i="7" l="1"/>
  <c r="O783" i="7" s="1"/>
  <c r="P782" i="7"/>
  <c r="M841" i="7"/>
  <c r="L842" i="7"/>
  <c r="N783" i="7" l="1"/>
  <c r="O784" i="7" s="1"/>
  <c r="P783" i="7"/>
  <c r="M842" i="7"/>
  <c r="L843" i="7"/>
  <c r="N784" i="7" l="1"/>
  <c r="O785" i="7" s="1"/>
  <c r="P784" i="7"/>
  <c r="M843" i="7"/>
  <c r="L844" i="7"/>
  <c r="N785" i="7" l="1"/>
  <c r="O786" i="7" s="1"/>
  <c r="P785" i="7"/>
  <c r="M844" i="7"/>
  <c r="L845" i="7"/>
  <c r="P786" i="7" l="1"/>
  <c r="N786" i="7"/>
  <c r="O787" i="7" s="1"/>
  <c r="M845" i="7"/>
  <c r="L846" i="7"/>
  <c r="P787" i="7" l="1"/>
  <c r="N787" i="7"/>
  <c r="O788" i="7" s="1"/>
  <c r="M846" i="7"/>
  <c r="L847" i="7"/>
  <c r="N788" i="7" l="1"/>
  <c r="O789" i="7" s="1"/>
  <c r="P788" i="7"/>
  <c r="M847" i="7"/>
  <c r="L848" i="7"/>
  <c r="N789" i="7" l="1"/>
  <c r="O790" i="7" s="1"/>
  <c r="P789" i="7"/>
  <c r="M848" i="7"/>
  <c r="L849" i="7"/>
  <c r="N790" i="7" l="1"/>
  <c r="O791" i="7" s="1"/>
  <c r="P790" i="7"/>
  <c r="M849" i="7"/>
  <c r="L850" i="7"/>
  <c r="N791" i="7" l="1"/>
  <c r="O792" i="7" s="1"/>
  <c r="P791" i="7"/>
  <c r="M850" i="7"/>
  <c r="L851" i="7"/>
  <c r="N792" i="7" l="1"/>
  <c r="O793" i="7" s="1"/>
  <c r="P792" i="7"/>
  <c r="M851" i="7"/>
  <c r="L852" i="7"/>
  <c r="P793" i="7" l="1"/>
  <c r="N793" i="7"/>
  <c r="O794" i="7" s="1"/>
  <c r="M852" i="7"/>
  <c r="L853" i="7"/>
  <c r="P794" i="7" l="1"/>
  <c r="N794" i="7"/>
  <c r="O795" i="7" s="1"/>
  <c r="M853" i="7"/>
  <c r="L854" i="7"/>
  <c r="P795" i="7" l="1"/>
  <c r="N795" i="7"/>
  <c r="O796" i="7" s="1"/>
  <c r="M854" i="7"/>
  <c r="L855" i="7"/>
  <c r="P796" i="7" l="1"/>
  <c r="N796" i="7"/>
  <c r="O797" i="7" s="1"/>
  <c r="M855" i="7"/>
  <c r="L856" i="7"/>
  <c r="N797" i="7" l="1"/>
  <c r="O798" i="7" s="1"/>
  <c r="P797" i="7"/>
  <c r="M856" i="7"/>
  <c r="L857" i="7"/>
  <c r="N798" i="7" l="1"/>
  <c r="O799" i="7" s="1"/>
  <c r="P798" i="7"/>
  <c r="M857" i="7"/>
  <c r="L858" i="7"/>
  <c r="N799" i="7" l="1"/>
  <c r="O800" i="7" s="1"/>
  <c r="P799" i="7"/>
  <c r="M858" i="7"/>
  <c r="L859" i="7"/>
  <c r="P800" i="7" l="1"/>
  <c r="N800" i="7"/>
  <c r="O801" i="7" s="1"/>
  <c r="M859" i="7"/>
  <c r="L860" i="7"/>
  <c r="P801" i="7" l="1"/>
  <c r="N801" i="7"/>
  <c r="O802" i="7" s="1"/>
  <c r="M860" i="7"/>
  <c r="L861" i="7"/>
  <c r="N802" i="7" l="1"/>
  <c r="O803" i="7" s="1"/>
  <c r="P802" i="7"/>
  <c r="M861" i="7"/>
  <c r="L862" i="7"/>
  <c r="P803" i="7" l="1"/>
  <c r="N803" i="7"/>
  <c r="O804" i="7" s="1"/>
  <c r="M862" i="7"/>
  <c r="L863" i="7"/>
  <c r="P804" i="7" l="1"/>
  <c r="N804" i="7"/>
  <c r="O805" i="7" s="1"/>
  <c r="M863" i="7"/>
  <c r="L864" i="7"/>
  <c r="P805" i="7" l="1"/>
  <c r="N805" i="7"/>
  <c r="O806" i="7" s="1"/>
  <c r="M864" i="7"/>
  <c r="L865" i="7"/>
  <c r="N806" i="7" l="1"/>
  <c r="O807" i="7" s="1"/>
  <c r="P806" i="7"/>
  <c r="M865" i="7"/>
  <c r="L866" i="7"/>
  <c r="N807" i="7" l="1"/>
  <c r="O808" i="7" s="1"/>
  <c r="P807" i="7"/>
  <c r="M866" i="7"/>
  <c r="L867" i="7"/>
  <c r="P808" i="7" l="1"/>
  <c r="N808" i="7"/>
  <c r="O809" i="7" s="1"/>
  <c r="M867" i="7"/>
  <c r="L868" i="7"/>
  <c r="N809" i="7" l="1"/>
  <c r="O810" i="7" s="1"/>
  <c r="P809" i="7"/>
  <c r="M868" i="7"/>
  <c r="L869" i="7"/>
  <c r="P810" i="7" l="1"/>
  <c r="N810" i="7"/>
  <c r="O811" i="7" s="1"/>
  <c r="M869" i="7"/>
  <c r="L870" i="7"/>
  <c r="N811" i="7" l="1"/>
  <c r="O812" i="7" s="1"/>
  <c r="P811" i="7"/>
  <c r="M870" i="7"/>
  <c r="L871" i="7"/>
  <c r="P812" i="7" l="1"/>
  <c r="N812" i="7"/>
  <c r="O813" i="7" s="1"/>
  <c r="M871" i="7"/>
  <c r="L872" i="7"/>
  <c r="N813" i="7" l="1"/>
  <c r="O814" i="7" s="1"/>
  <c r="P813" i="7"/>
  <c r="M872" i="7"/>
  <c r="L873" i="7"/>
  <c r="N814" i="7" l="1"/>
  <c r="O815" i="7" s="1"/>
  <c r="P814" i="7"/>
  <c r="M873" i="7"/>
  <c r="L874" i="7"/>
  <c r="P815" i="7" l="1"/>
  <c r="N815" i="7"/>
  <c r="O816" i="7" s="1"/>
  <c r="M874" i="7"/>
  <c r="L875" i="7"/>
  <c r="P816" i="7" l="1"/>
  <c r="N816" i="7"/>
  <c r="O817" i="7" s="1"/>
  <c r="M875" i="7"/>
  <c r="L876" i="7"/>
  <c r="N817" i="7" l="1"/>
  <c r="O818" i="7" s="1"/>
  <c r="P817" i="7"/>
  <c r="M876" i="7"/>
  <c r="L877" i="7"/>
  <c r="N818" i="7" l="1"/>
  <c r="O819" i="7" s="1"/>
  <c r="P818" i="7"/>
  <c r="M877" i="7"/>
  <c r="L878" i="7"/>
  <c r="P819" i="7" l="1"/>
  <c r="N819" i="7"/>
  <c r="O820" i="7" s="1"/>
  <c r="M878" i="7"/>
  <c r="L879" i="7"/>
  <c r="P820" i="7" l="1"/>
  <c r="N820" i="7"/>
  <c r="O821" i="7" s="1"/>
  <c r="M879" i="7"/>
  <c r="L880" i="7"/>
  <c r="P821" i="7" l="1"/>
  <c r="N821" i="7"/>
  <c r="O822" i="7" s="1"/>
  <c r="M880" i="7"/>
  <c r="L881" i="7"/>
  <c r="P822" i="7" l="1"/>
  <c r="N822" i="7"/>
  <c r="O823" i="7" s="1"/>
  <c r="M881" i="7"/>
  <c r="L882" i="7"/>
  <c r="P823" i="7" l="1"/>
  <c r="N823" i="7"/>
  <c r="O824" i="7" s="1"/>
  <c r="M882" i="7"/>
  <c r="L883" i="7"/>
  <c r="N824" i="7" l="1"/>
  <c r="O825" i="7" s="1"/>
  <c r="P824" i="7"/>
  <c r="M883" i="7"/>
  <c r="L884" i="7"/>
  <c r="P825" i="7" l="1"/>
  <c r="N825" i="7"/>
  <c r="O826" i="7" s="1"/>
  <c r="M884" i="7"/>
  <c r="L885" i="7"/>
  <c r="P826" i="7" l="1"/>
  <c r="N826" i="7"/>
  <c r="O827" i="7" s="1"/>
  <c r="M885" i="7"/>
  <c r="L886" i="7"/>
  <c r="P827" i="7" l="1"/>
  <c r="N827" i="7"/>
  <c r="O828" i="7" s="1"/>
  <c r="M886" i="7"/>
  <c r="L887" i="7"/>
  <c r="N828" i="7" l="1"/>
  <c r="O829" i="7" s="1"/>
  <c r="P828" i="7"/>
  <c r="M887" i="7"/>
  <c r="L888" i="7"/>
  <c r="P829" i="7" l="1"/>
  <c r="N829" i="7"/>
  <c r="O830" i="7" s="1"/>
  <c r="M888" i="7"/>
  <c r="L889" i="7"/>
  <c r="N830" i="7" l="1"/>
  <c r="O831" i="7" s="1"/>
  <c r="P830" i="7"/>
  <c r="M889" i="7"/>
  <c r="L890" i="7"/>
  <c r="P831" i="7" l="1"/>
  <c r="N831" i="7"/>
  <c r="O832" i="7" s="1"/>
  <c r="M890" i="7"/>
  <c r="L891" i="7"/>
  <c r="N832" i="7" l="1"/>
  <c r="O833" i="7" s="1"/>
  <c r="P832" i="7"/>
  <c r="M891" i="7"/>
  <c r="L892" i="7"/>
  <c r="P833" i="7" l="1"/>
  <c r="N833" i="7"/>
  <c r="O834" i="7" s="1"/>
  <c r="M892" i="7"/>
  <c r="L893" i="7"/>
  <c r="P834" i="7" l="1"/>
  <c r="N834" i="7"/>
  <c r="O835" i="7" s="1"/>
  <c r="M893" i="7"/>
  <c r="L894" i="7"/>
  <c r="N835" i="7" l="1"/>
  <c r="O836" i="7" s="1"/>
  <c r="P835" i="7"/>
  <c r="M894" i="7"/>
  <c r="L895" i="7"/>
  <c r="N836" i="7" l="1"/>
  <c r="O837" i="7" s="1"/>
  <c r="P836" i="7"/>
  <c r="M895" i="7"/>
  <c r="L896" i="7"/>
  <c r="N837" i="7" l="1"/>
  <c r="O838" i="7" s="1"/>
  <c r="P837" i="7"/>
  <c r="M896" i="7"/>
  <c r="L897" i="7"/>
  <c r="P838" i="7" l="1"/>
  <c r="N838" i="7"/>
  <c r="O839" i="7" s="1"/>
  <c r="M897" i="7"/>
  <c r="L898" i="7"/>
  <c r="P839" i="7" l="1"/>
  <c r="N839" i="7"/>
  <c r="O840" i="7" s="1"/>
  <c r="M898" i="7"/>
  <c r="L899" i="7"/>
  <c r="N840" i="7" l="1"/>
  <c r="O841" i="7" s="1"/>
  <c r="P840" i="7"/>
  <c r="M899" i="7"/>
  <c r="L900" i="7"/>
  <c r="N841" i="7" l="1"/>
  <c r="O842" i="7" s="1"/>
  <c r="P841" i="7"/>
  <c r="M900" i="7"/>
  <c r="L901" i="7"/>
  <c r="N842" i="7" l="1"/>
  <c r="O843" i="7" s="1"/>
  <c r="P842" i="7"/>
  <c r="M901" i="7"/>
  <c r="L902" i="7"/>
  <c r="P843" i="7" l="1"/>
  <c r="N843" i="7"/>
  <c r="O844" i="7" s="1"/>
  <c r="M902" i="7"/>
  <c r="L903" i="7"/>
  <c r="N844" i="7" l="1"/>
  <c r="O845" i="7" s="1"/>
  <c r="P844" i="7"/>
  <c r="M903" i="7"/>
  <c r="L904" i="7"/>
  <c r="N845" i="7" l="1"/>
  <c r="O846" i="7" s="1"/>
  <c r="P845" i="7"/>
  <c r="M904" i="7"/>
  <c r="L905" i="7"/>
  <c r="N846" i="7" l="1"/>
  <c r="O847" i="7" s="1"/>
  <c r="P846" i="7"/>
  <c r="M905" i="7"/>
  <c r="L906" i="7"/>
  <c r="N847" i="7" l="1"/>
  <c r="O848" i="7" s="1"/>
  <c r="P847" i="7"/>
  <c r="M906" i="7"/>
  <c r="L907" i="7"/>
  <c r="N848" i="7" l="1"/>
  <c r="O849" i="7" s="1"/>
  <c r="P848" i="7"/>
  <c r="M907" i="7"/>
  <c r="L908" i="7"/>
  <c r="P849" i="7" l="1"/>
  <c r="N849" i="7"/>
  <c r="O850" i="7" s="1"/>
  <c r="M908" i="7"/>
  <c r="L909" i="7"/>
  <c r="P850" i="7" l="1"/>
  <c r="N850" i="7"/>
  <c r="O851" i="7" s="1"/>
  <c r="M909" i="7"/>
  <c r="L910" i="7"/>
  <c r="N851" i="7" l="1"/>
  <c r="O852" i="7" s="1"/>
  <c r="P851" i="7"/>
  <c r="M910" i="7"/>
  <c r="L911" i="7"/>
  <c r="P852" i="7" l="1"/>
  <c r="N852" i="7"/>
  <c r="O853" i="7" s="1"/>
  <c r="M911" i="7"/>
  <c r="L912" i="7"/>
  <c r="P853" i="7" l="1"/>
  <c r="N853" i="7"/>
  <c r="O854" i="7" s="1"/>
  <c r="M912" i="7"/>
  <c r="L913" i="7"/>
  <c r="P854" i="7" l="1"/>
  <c r="N854" i="7"/>
  <c r="O855" i="7" s="1"/>
  <c r="M913" i="7"/>
  <c r="L914" i="7"/>
  <c r="P855" i="7" l="1"/>
  <c r="N855" i="7"/>
  <c r="O856" i="7" s="1"/>
  <c r="M914" i="7"/>
  <c r="L915" i="7"/>
  <c r="P856" i="7" l="1"/>
  <c r="N856" i="7"/>
  <c r="O857" i="7" s="1"/>
  <c r="M915" i="7"/>
  <c r="L916" i="7"/>
  <c r="N857" i="7" l="1"/>
  <c r="O858" i="7" s="1"/>
  <c r="P857" i="7"/>
  <c r="M916" i="7"/>
  <c r="L917" i="7"/>
  <c r="P858" i="7" l="1"/>
  <c r="N858" i="7"/>
  <c r="O859" i="7" s="1"/>
  <c r="M917" i="7"/>
  <c r="L918" i="7"/>
  <c r="P859" i="7" l="1"/>
  <c r="N859" i="7"/>
  <c r="O860" i="7" s="1"/>
  <c r="M918" i="7"/>
  <c r="L919" i="7"/>
  <c r="P860" i="7" l="1"/>
  <c r="N860" i="7"/>
  <c r="O861" i="7" s="1"/>
  <c r="M919" i="7"/>
  <c r="L920" i="7"/>
  <c r="N861" i="7" l="1"/>
  <c r="O862" i="7" s="1"/>
  <c r="P861" i="7"/>
  <c r="M920" i="7"/>
  <c r="L921" i="7"/>
  <c r="P862" i="7" l="1"/>
  <c r="N862" i="7"/>
  <c r="O863" i="7" s="1"/>
  <c r="M921" i="7"/>
  <c r="L922" i="7"/>
  <c r="N863" i="7" l="1"/>
  <c r="O864" i="7" s="1"/>
  <c r="P863" i="7"/>
  <c r="M922" i="7"/>
  <c r="L923" i="7"/>
  <c r="N864" i="7" l="1"/>
  <c r="O865" i="7" s="1"/>
  <c r="P864" i="7"/>
  <c r="M923" i="7"/>
  <c r="L924" i="7"/>
  <c r="P865" i="7" l="1"/>
  <c r="N865" i="7"/>
  <c r="O866" i="7" s="1"/>
  <c r="M924" i="7"/>
  <c r="L925" i="7"/>
  <c r="N866" i="7" l="1"/>
  <c r="O867" i="7" s="1"/>
  <c r="P866" i="7"/>
  <c r="M925" i="7"/>
  <c r="L926" i="7"/>
  <c r="N867" i="7" l="1"/>
  <c r="O868" i="7" s="1"/>
  <c r="P867" i="7"/>
  <c r="M926" i="7"/>
  <c r="L927" i="7"/>
  <c r="P868" i="7" l="1"/>
  <c r="N868" i="7"/>
  <c r="O869" i="7" s="1"/>
  <c r="M927" i="7"/>
  <c r="L928" i="7"/>
  <c r="P869" i="7" l="1"/>
  <c r="N869" i="7"/>
  <c r="O870" i="7" s="1"/>
  <c r="M928" i="7"/>
  <c r="L929" i="7"/>
  <c r="N870" i="7" l="1"/>
  <c r="O871" i="7" s="1"/>
  <c r="P870" i="7"/>
  <c r="M929" i="7"/>
  <c r="L930" i="7"/>
  <c r="P871" i="7" l="1"/>
  <c r="N871" i="7"/>
  <c r="O872" i="7" s="1"/>
  <c r="M930" i="7"/>
  <c r="L931" i="7"/>
  <c r="N872" i="7" l="1"/>
  <c r="O873" i="7" s="1"/>
  <c r="P872" i="7"/>
  <c r="M931" i="7"/>
  <c r="L932" i="7"/>
  <c r="P873" i="7" l="1"/>
  <c r="N873" i="7"/>
  <c r="O874" i="7" s="1"/>
  <c r="M932" i="7"/>
  <c r="L933" i="7"/>
  <c r="N874" i="7" l="1"/>
  <c r="O875" i="7" s="1"/>
  <c r="P874" i="7"/>
  <c r="M933" i="7"/>
  <c r="L934" i="7"/>
  <c r="P875" i="7" l="1"/>
  <c r="N875" i="7"/>
  <c r="O876" i="7" s="1"/>
  <c r="M934" i="7"/>
  <c r="L935" i="7"/>
  <c r="P876" i="7" l="1"/>
  <c r="N876" i="7"/>
  <c r="O877" i="7" s="1"/>
  <c r="M935" i="7"/>
  <c r="L936" i="7"/>
  <c r="N877" i="7" l="1"/>
  <c r="O878" i="7" s="1"/>
  <c r="P877" i="7"/>
  <c r="M936" i="7"/>
  <c r="L937" i="7"/>
  <c r="N878" i="7" l="1"/>
  <c r="O879" i="7" s="1"/>
  <c r="P878" i="7"/>
  <c r="M937" i="7"/>
  <c r="L938" i="7"/>
  <c r="P879" i="7" l="1"/>
  <c r="N879" i="7"/>
  <c r="O880" i="7" s="1"/>
  <c r="M938" i="7"/>
  <c r="L939" i="7"/>
  <c r="P880" i="7" l="1"/>
  <c r="N880" i="7"/>
  <c r="O881" i="7" s="1"/>
  <c r="M939" i="7"/>
  <c r="L940" i="7"/>
  <c r="N881" i="7" l="1"/>
  <c r="O882" i="7" s="1"/>
  <c r="P881" i="7"/>
  <c r="M940" i="7"/>
  <c r="L941" i="7"/>
  <c r="P882" i="7" l="1"/>
  <c r="N882" i="7"/>
  <c r="O883" i="7" s="1"/>
  <c r="M941" i="7"/>
  <c r="L942" i="7"/>
  <c r="N883" i="7" l="1"/>
  <c r="O884" i="7" s="1"/>
  <c r="P883" i="7"/>
  <c r="M942" i="7"/>
  <c r="L943" i="7"/>
  <c r="N884" i="7" l="1"/>
  <c r="O885" i="7" s="1"/>
  <c r="P884" i="7"/>
  <c r="M943" i="7"/>
  <c r="L944" i="7"/>
  <c r="P885" i="7" l="1"/>
  <c r="N885" i="7"/>
  <c r="O886" i="7" s="1"/>
  <c r="M944" i="7"/>
  <c r="L945" i="7"/>
  <c r="N886" i="7" l="1"/>
  <c r="O887" i="7" s="1"/>
  <c r="P886" i="7"/>
  <c r="M945" i="7"/>
  <c r="L946" i="7"/>
  <c r="P887" i="7" l="1"/>
  <c r="N887" i="7"/>
  <c r="O888" i="7" s="1"/>
  <c r="M946" i="7"/>
  <c r="L947" i="7"/>
  <c r="P888" i="7" l="1"/>
  <c r="N888" i="7"/>
  <c r="O889" i="7" s="1"/>
  <c r="M947" i="7"/>
  <c r="L948" i="7"/>
  <c r="N889" i="7" l="1"/>
  <c r="O890" i="7" s="1"/>
  <c r="P889" i="7"/>
  <c r="M948" i="7"/>
  <c r="L949" i="7"/>
  <c r="N890" i="7" l="1"/>
  <c r="O891" i="7" s="1"/>
  <c r="P890" i="7"/>
  <c r="M949" i="7"/>
  <c r="L950" i="7"/>
  <c r="N891" i="7" l="1"/>
  <c r="O892" i="7" s="1"/>
  <c r="P891" i="7"/>
  <c r="M950" i="7"/>
  <c r="L951" i="7"/>
  <c r="P892" i="7" l="1"/>
  <c r="N892" i="7"/>
  <c r="O893" i="7" s="1"/>
  <c r="M951" i="7"/>
  <c r="L952" i="7"/>
  <c r="N893" i="7" l="1"/>
  <c r="O894" i="7" s="1"/>
  <c r="P893" i="7"/>
  <c r="M952" i="7"/>
  <c r="L953" i="7"/>
  <c r="N894" i="7" l="1"/>
  <c r="O895" i="7" s="1"/>
  <c r="P894" i="7"/>
  <c r="M953" i="7"/>
  <c r="L954" i="7"/>
  <c r="N895" i="7" l="1"/>
  <c r="O896" i="7" s="1"/>
  <c r="P895" i="7"/>
  <c r="M954" i="7"/>
  <c r="L955" i="7"/>
  <c r="P896" i="7" l="1"/>
  <c r="N896" i="7"/>
  <c r="O897" i="7" s="1"/>
  <c r="M955" i="7"/>
  <c r="L956" i="7"/>
  <c r="N897" i="7" l="1"/>
  <c r="O898" i="7" s="1"/>
  <c r="P897" i="7"/>
  <c r="M956" i="7"/>
  <c r="L957" i="7"/>
  <c r="N898" i="7" l="1"/>
  <c r="O899" i="7" s="1"/>
  <c r="P898" i="7"/>
  <c r="M957" i="7"/>
  <c r="L958" i="7"/>
  <c r="P899" i="7" l="1"/>
  <c r="N899" i="7"/>
  <c r="O900" i="7" s="1"/>
  <c r="M958" i="7"/>
  <c r="L959" i="7"/>
  <c r="P900" i="7" l="1"/>
  <c r="N900" i="7"/>
  <c r="O901" i="7" s="1"/>
  <c r="M959" i="7"/>
  <c r="L960" i="7"/>
  <c r="N901" i="7" l="1"/>
  <c r="O902" i="7" s="1"/>
  <c r="P901" i="7"/>
  <c r="M960" i="7"/>
  <c r="L961" i="7"/>
  <c r="P902" i="7" l="1"/>
  <c r="N902" i="7"/>
  <c r="O903" i="7" s="1"/>
  <c r="M961" i="7"/>
  <c r="L962" i="7"/>
  <c r="P903" i="7" l="1"/>
  <c r="N903" i="7"/>
  <c r="O904" i="7" s="1"/>
  <c r="M962" i="7"/>
  <c r="L963" i="7"/>
  <c r="P904" i="7" l="1"/>
  <c r="N904" i="7"/>
  <c r="O905" i="7" s="1"/>
  <c r="M963" i="7"/>
  <c r="L964" i="7"/>
  <c r="P905" i="7" l="1"/>
  <c r="N905" i="7"/>
  <c r="O906" i="7" s="1"/>
  <c r="M964" i="7"/>
  <c r="L965" i="7"/>
  <c r="N906" i="7" l="1"/>
  <c r="O907" i="7" s="1"/>
  <c r="P906" i="7"/>
  <c r="M965" i="7"/>
  <c r="L966" i="7"/>
  <c r="P907" i="7" l="1"/>
  <c r="N907" i="7"/>
  <c r="O908" i="7" s="1"/>
  <c r="M966" i="7"/>
  <c r="L967" i="7"/>
  <c r="P908" i="7" l="1"/>
  <c r="N908" i="7"/>
  <c r="O909" i="7" s="1"/>
  <c r="M967" i="7"/>
  <c r="L968" i="7"/>
  <c r="N909" i="7" l="1"/>
  <c r="O910" i="7" s="1"/>
  <c r="P909" i="7"/>
  <c r="M968" i="7"/>
  <c r="L969" i="7"/>
  <c r="P910" i="7" l="1"/>
  <c r="N910" i="7"/>
  <c r="O911" i="7" s="1"/>
  <c r="M969" i="7"/>
  <c r="L970" i="7"/>
  <c r="N911" i="7" l="1"/>
  <c r="O912" i="7" s="1"/>
  <c r="P911" i="7"/>
  <c r="M970" i="7"/>
  <c r="L971" i="7"/>
  <c r="N912" i="7" l="1"/>
  <c r="O913" i="7" s="1"/>
  <c r="P912" i="7"/>
  <c r="M971" i="7"/>
  <c r="L972" i="7"/>
  <c r="N913" i="7" l="1"/>
  <c r="O914" i="7" s="1"/>
  <c r="P913" i="7"/>
  <c r="M972" i="7"/>
  <c r="L973" i="7"/>
  <c r="N914" i="7" l="1"/>
  <c r="O915" i="7" s="1"/>
  <c r="P914" i="7"/>
  <c r="M973" i="7"/>
  <c r="L974" i="7"/>
  <c r="P915" i="7" l="1"/>
  <c r="N915" i="7"/>
  <c r="O916" i="7" s="1"/>
  <c r="M974" i="7"/>
  <c r="L975" i="7"/>
  <c r="N916" i="7" l="1"/>
  <c r="O917" i="7" s="1"/>
  <c r="P916" i="7"/>
  <c r="M975" i="7"/>
  <c r="L976" i="7"/>
  <c r="N917" i="7" l="1"/>
  <c r="O918" i="7" s="1"/>
  <c r="P917" i="7"/>
  <c r="M976" i="7"/>
  <c r="L977" i="7"/>
  <c r="P918" i="7" l="1"/>
  <c r="N918" i="7"/>
  <c r="O919" i="7" s="1"/>
  <c r="M977" i="7"/>
  <c r="L978" i="7"/>
  <c r="P919" i="7" l="1"/>
  <c r="N919" i="7"/>
  <c r="O920" i="7" s="1"/>
  <c r="M978" i="7"/>
  <c r="L979" i="7"/>
  <c r="N920" i="7" l="1"/>
  <c r="O921" i="7" s="1"/>
  <c r="P920" i="7"/>
  <c r="M979" i="7"/>
  <c r="L980" i="7"/>
  <c r="P921" i="7" l="1"/>
  <c r="N921" i="7"/>
  <c r="O922" i="7" s="1"/>
  <c r="M980" i="7"/>
  <c r="L981" i="7"/>
  <c r="P922" i="7" l="1"/>
  <c r="N922" i="7"/>
  <c r="O923" i="7" s="1"/>
  <c r="M981" i="7"/>
  <c r="L982" i="7"/>
  <c r="N923" i="7" l="1"/>
  <c r="O924" i="7" s="1"/>
  <c r="P923" i="7"/>
  <c r="M982" i="7"/>
  <c r="L983" i="7"/>
  <c r="P924" i="7" l="1"/>
  <c r="N924" i="7"/>
  <c r="O925" i="7" s="1"/>
  <c r="M983" i="7"/>
  <c r="L984" i="7"/>
  <c r="P925" i="7" l="1"/>
  <c r="N925" i="7"/>
  <c r="O926" i="7" s="1"/>
  <c r="M984" i="7"/>
  <c r="L985" i="7"/>
  <c r="N926" i="7" l="1"/>
  <c r="O927" i="7" s="1"/>
  <c r="P926" i="7"/>
  <c r="M985" i="7"/>
  <c r="L986" i="7"/>
  <c r="N927" i="7" l="1"/>
  <c r="O928" i="7" s="1"/>
  <c r="P927" i="7"/>
  <c r="M986" i="7"/>
  <c r="L987" i="7"/>
  <c r="N928" i="7" l="1"/>
  <c r="O929" i="7" s="1"/>
  <c r="P928" i="7"/>
  <c r="M987" i="7"/>
  <c r="L988" i="7"/>
  <c r="P929" i="7" l="1"/>
  <c r="N929" i="7"/>
  <c r="O930" i="7" s="1"/>
  <c r="M988" i="7"/>
  <c r="L989" i="7"/>
  <c r="P930" i="7" l="1"/>
  <c r="N930" i="7"/>
  <c r="O931" i="7" s="1"/>
  <c r="M989" i="7"/>
  <c r="L990" i="7"/>
  <c r="N931" i="7" l="1"/>
  <c r="O932" i="7" s="1"/>
  <c r="P931" i="7"/>
  <c r="M990" i="7"/>
  <c r="L991" i="7"/>
  <c r="P932" i="7" l="1"/>
  <c r="N932" i="7"/>
  <c r="O933" i="7" s="1"/>
  <c r="M991" i="7"/>
  <c r="L992" i="7"/>
  <c r="N933" i="7" l="1"/>
  <c r="O934" i="7" s="1"/>
  <c r="P933" i="7"/>
  <c r="M992" i="7"/>
  <c r="L993" i="7"/>
  <c r="P934" i="7" l="1"/>
  <c r="N934" i="7"/>
  <c r="O935" i="7" s="1"/>
  <c r="M993" i="7"/>
  <c r="L994" i="7"/>
  <c r="P935" i="7" l="1"/>
  <c r="N935" i="7"/>
  <c r="O936" i="7" s="1"/>
  <c r="M994" i="7"/>
  <c r="L995" i="7"/>
  <c r="P936" i="7" l="1"/>
  <c r="N936" i="7"/>
  <c r="O937" i="7" s="1"/>
  <c r="M995" i="7"/>
  <c r="L996" i="7"/>
  <c r="N937" i="7" l="1"/>
  <c r="O938" i="7" s="1"/>
  <c r="P937" i="7"/>
  <c r="M996" i="7"/>
  <c r="L997" i="7"/>
  <c r="P938" i="7" l="1"/>
  <c r="N938" i="7"/>
  <c r="O939" i="7" s="1"/>
  <c r="M997" i="7"/>
  <c r="L998" i="7"/>
  <c r="N939" i="7" l="1"/>
  <c r="O940" i="7" s="1"/>
  <c r="P939" i="7"/>
  <c r="M998" i="7"/>
  <c r="L999" i="7"/>
  <c r="P940" i="7" l="1"/>
  <c r="N940" i="7"/>
  <c r="O941" i="7" s="1"/>
  <c r="M999" i="7"/>
  <c r="L1000" i="7"/>
  <c r="P941" i="7" l="1"/>
  <c r="N941" i="7"/>
  <c r="O942" i="7" s="1"/>
  <c r="M1000" i="7"/>
  <c r="L1001" i="7"/>
  <c r="P942" i="7" l="1"/>
  <c r="N942" i="7"/>
  <c r="O943" i="7" s="1"/>
  <c r="M1001" i="7"/>
  <c r="L1002" i="7"/>
  <c r="P943" i="7" l="1"/>
  <c r="N943" i="7"/>
  <c r="O944" i="7" s="1"/>
  <c r="M1002" i="7"/>
  <c r="L1003" i="7"/>
  <c r="N944" i="7" l="1"/>
  <c r="O945" i="7" s="1"/>
  <c r="P944" i="7"/>
  <c r="M1003" i="7"/>
  <c r="L1004" i="7"/>
  <c r="P945" i="7" l="1"/>
  <c r="N945" i="7"/>
  <c r="O946" i="7" s="1"/>
  <c r="M1004" i="7"/>
  <c r="L1005" i="7"/>
  <c r="P946" i="7" l="1"/>
  <c r="N946" i="7"/>
  <c r="O947" i="7" s="1"/>
  <c r="M1005" i="7"/>
  <c r="L1006" i="7"/>
  <c r="N947" i="7" l="1"/>
  <c r="O948" i="7" s="1"/>
  <c r="P947" i="7"/>
  <c r="M1006" i="7"/>
  <c r="L1007" i="7"/>
  <c r="N948" i="7" l="1"/>
  <c r="O949" i="7" s="1"/>
  <c r="P948" i="7"/>
  <c r="M1007" i="7"/>
  <c r="L1008" i="7"/>
  <c r="N949" i="7" l="1"/>
  <c r="O950" i="7" s="1"/>
  <c r="P949" i="7"/>
  <c r="M1008" i="7"/>
  <c r="L1009" i="7"/>
  <c r="N950" i="7" l="1"/>
  <c r="O951" i="7" s="1"/>
  <c r="P950" i="7"/>
  <c r="M1009" i="7"/>
  <c r="L1010" i="7"/>
  <c r="P951" i="7" l="1"/>
  <c r="N951" i="7"/>
  <c r="O952" i="7" s="1"/>
  <c r="M1010" i="7"/>
  <c r="L1011" i="7"/>
  <c r="N952" i="7" l="1"/>
  <c r="O953" i="7" s="1"/>
  <c r="P952" i="7"/>
  <c r="M1011" i="7"/>
  <c r="L1012" i="7"/>
  <c r="N953" i="7" l="1"/>
  <c r="O954" i="7" s="1"/>
  <c r="P953" i="7"/>
  <c r="M1012" i="7"/>
  <c r="L1013" i="7"/>
  <c r="P954" i="7" l="1"/>
  <c r="N954" i="7"/>
  <c r="O955" i="7" s="1"/>
  <c r="M1013" i="7"/>
  <c r="L1014" i="7"/>
  <c r="N955" i="7" l="1"/>
  <c r="O956" i="7" s="1"/>
  <c r="P955" i="7"/>
  <c r="M1014" i="7"/>
  <c r="L1015" i="7"/>
  <c r="N956" i="7" l="1"/>
  <c r="O957" i="7" s="1"/>
  <c r="P956" i="7"/>
  <c r="M1015" i="7"/>
  <c r="L1016" i="7"/>
  <c r="P957" i="7" l="1"/>
  <c r="N957" i="7"/>
  <c r="O958" i="7" s="1"/>
  <c r="M1016" i="7"/>
  <c r="L1017" i="7"/>
  <c r="N958" i="7" l="1"/>
  <c r="O959" i="7" s="1"/>
  <c r="P958" i="7"/>
  <c r="M1017" i="7"/>
  <c r="L1018" i="7"/>
  <c r="N959" i="7" l="1"/>
  <c r="O960" i="7" s="1"/>
  <c r="P959" i="7"/>
  <c r="M1018" i="7"/>
  <c r="L1019" i="7"/>
  <c r="P960" i="7" l="1"/>
  <c r="N960" i="7"/>
  <c r="O961" i="7" s="1"/>
  <c r="M1019" i="7"/>
  <c r="L1020" i="7"/>
  <c r="N961" i="7" l="1"/>
  <c r="O962" i="7" s="1"/>
  <c r="P961" i="7"/>
  <c r="M1020" i="7"/>
  <c r="L1021" i="7"/>
  <c r="N962" i="7" l="1"/>
  <c r="O963" i="7" s="1"/>
  <c r="P962" i="7"/>
  <c r="M1021" i="7"/>
  <c r="L1022" i="7"/>
  <c r="P963" i="7" l="1"/>
  <c r="N963" i="7"/>
  <c r="O964" i="7" s="1"/>
  <c r="M1022" i="7"/>
  <c r="L1023" i="7"/>
  <c r="P964" i="7" l="1"/>
  <c r="N964" i="7"/>
  <c r="O965" i="7" s="1"/>
  <c r="M1023" i="7"/>
  <c r="L1024" i="7"/>
  <c r="N965" i="7" l="1"/>
  <c r="O966" i="7" s="1"/>
  <c r="P965" i="7"/>
  <c r="M1024" i="7"/>
  <c r="L1025" i="7"/>
  <c r="P966" i="7" l="1"/>
  <c r="N966" i="7"/>
  <c r="O967" i="7" s="1"/>
  <c r="M1025" i="7"/>
  <c r="L1026" i="7"/>
  <c r="N967" i="7" l="1"/>
  <c r="O968" i="7" s="1"/>
  <c r="P967" i="7"/>
  <c r="M1026" i="7"/>
  <c r="L1027" i="7"/>
  <c r="N968" i="7" l="1"/>
  <c r="O969" i="7" s="1"/>
  <c r="P968" i="7"/>
  <c r="M1027" i="7"/>
  <c r="L1028" i="7"/>
  <c r="N969" i="7" l="1"/>
  <c r="O970" i="7" s="1"/>
  <c r="P969" i="7"/>
  <c r="M1028" i="7"/>
  <c r="L1029" i="7"/>
  <c r="N970" i="7" l="1"/>
  <c r="O971" i="7" s="1"/>
  <c r="P970" i="7"/>
  <c r="M1029" i="7"/>
  <c r="L1030" i="7"/>
  <c r="P971" i="7" l="1"/>
  <c r="N971" i="7"/>
  <c r="O972" i="7" s="1"/>
  <c r="M1030" i="7"/>
  <c r="L1031" i="7"/>
  <c r="P972" i="7" l="1"/>
  <c r="N972" i="7"/>
  <c r="O973" i="7" s="1"/>
  <c r="M1031" i="7"/>
  <c r="L1032" i="7"/>
  <c r="N973" i="7" l="1"/>
  <c r="O974" i="7" s="1"/>
  <c r="P973" i="7"/>
  <c r="M1032" i="7"/>
  <c r="L1033" i="7"/>
  <c r="P974" i="7" l="1"/>
  <c r="N974" i="7"/>
  <c r="O975" i="7" s="1"/>
  <c r="M1033" i="7"/>
  <c r="L1034" i="7"/>
  <c r="N975" i="7" l="1"/>
  <c r="O976" i="7" s="1"/>
  <c r="P975" i="7"/>
  <c r="M1034" i="7"/>
  <c r="L1035" i="7"/>
  <c r="P976" i="7" l="1"/>
  <c r="N976" i="7"/>
  <c r="O977" i="7" s="1"/>
  <c r="M1035" i="7"/>
  <c r="L1036" i="7"/>
  <c r="N977" i="7" l="1"/>
  <c r="O978" i="7" s="1"/>
  <c r="P977" i="7"/>
  <c r="M1036" i="7"/>
  <c r="L1037" i="7"/>
  <c r="P978" i="7" l="1"/>
  <c r="N978" i="7"/>
  <c r="O979" i="7" s="1"/>
  <c r="M1037" i="7"/>
  <c r="L1038" i="7"/>
  <c r="N979" i="7" l="1"/>
  <c r="O980" i="7" s="1"/>
  <c r="P979" i="7"/>
  <c r="M1038" i="7"/>
  <c r="L1039" i="7"/>
  <c r="P980" i="7" l="1"/>
  <c r="N980" i="7"/>
  <c r="O981" i="7" s="1"/>
  <c r="M1039" i="7"/>
  <c r="L1040" i="7"/>
  <c r="N981" i="7" l="1"/>
  <c r="O982" i="7" s="1"/>
  <c r="P981" i="7"/>
  <c r="M1040" i="7"/>
  <c r="L1041" i="7"/>
  <c r="P982" i="7" l="1"/>
  <c r="N982" i="7"/>
  <c r="O983" i="7" s="1"/>
  <c r="M1041" i="7"/>
  <c r="L1042" i="7"/>
  <c r="P983" i="7" l="1"/>
  <c r="N983" i="7"/>
  <c r="O984" i="7" s="1"/>
  <c r="M1042" i="7"/>
  <c r="L1043" i="7"/>
  <c r="N984" i="7" l="1"/>
  <c r="O985" i="7" s="1"/>
  <c r="P984" i="7"/>
  <c r="M1043" i="7"/>
  <c r="L1044" i="7"/>
  <c r="P985" i="7" l="1"/>
  <c r="N985" i="7"/>
  <c r="O986" i="7" s="1"/>
  <c r="M1044" i="7"/>
  <c r="L1045" i="7"/>
  <c r="N986" i="7" l="1"/>
  <c r="O987" i="7" s="1"/>
  <c r="P986" i="7"/>
  <c r="M1045" i="7"/>
  <c r="L1046" i="7"/>
  <c r="N987" i="7" l="1"/>
  <c r="O988" i="7" s="1"/>
  <c r="P987" i="7"/>
  <c r="M1046" i="7"/>
  <c r="L1047" i="7"/>
  <c r="P988" i="7" l="1"/>
  <c r="N988" i="7"/>
  <c r="O989" i="7" s="1"/>
  <c r="M1047" i="7"/>
  <c r="L1048" i="7"/>
  <c r="N989" i="7" l="1"/>
  <c r="O990" i="7" s="1"/>
  <c r="P989" i="7"/>
  <c r="M1048" i="7"/>
  <c r="L1049" i="7"/>
  <c r="P990" i="7" l="1"/>
  <c r="N990" i="7"/>
  <c r="O991" i="7" s="1"/>
  <c r="M1049" i="7"/>
  <c r="L1050" i="7"/>
  <c r="P991" i="7" l="1"/>
  <c r="N991" i="7"/>
  <c r="O992" i="7" s="1"/>
  <c r="M1050" i="7"/>
  <c r="L1051" i="7"/>
  <c r="N992" i="7" l="1"/>
  <c r="O993" i="7" s="1"/>
  <c r="P992" i="7"/>
  <c r="M1051" i="7"/>
  <c r="L1052" i="7"/>
  <c r="N993" i="7" l="1"/>
  <c r="O994" i="7" s="1"/>
  <c r="P993" i="7"/>
  <c r="M1052" i="7"/>
  <c r="L1053" i="7"/>
  <c r="P994" i="7" l="1"/>
  <c r="N994" i="7"/>
  <c r="O995" i="7" s="1"/>
  <c r="M1053" i="7"/>
  <c r="L1054" i="7"/>
  <c r="P995" i="7" l="1"/>
  <c r="N995" i="7"/>
  <c r="O996" i="7" s="1"/>
  <c r="M1054" i="7"/>
  <c r="L1055" i="7"/>
  <c r="P996" i="7" l="1"/>
  <c r="N996" i="7"/>
  <c r="O997" i="7" s="1"/>
  <c r="M1055" i="7"/>
  <c r="L1056" i="7"/>
  <c r="P997" i="7" l="1"/>
  <c r="N997" i="7"/>
  <c r="O998" i="7" s="1"/>
  <c r="M1056" i="7"/>
  <c r="L1057" i="7"/>
  <c r="P998" i="7" l="1"/>
  <c r="N998" i="7"/>
  <c r="O999" i="7" s="1"/>
  <c r="M1057" i="7"/>
  <c r="L1058" i="7"/>
  <c r="P999" i="7" l="1"/>
  <c r="N999" i="7"/>
  <c r="O1000" i="7" s="1"/>
  <c r="M1058" i="7"/>
  <c r="L1059" i="7"/>
  <c r="N1000" i="7" l="1"/>
  <c r="O1001" i="7" s="1"/>
  <c r="P1000" i="7"/>
  <c r="M1059" i="7"/>
  <c r="L1060" i="7"/>
  <c r="N1001" i="7" l="1"/>
  <c r="O1002" i="7" s="1"/>
  <c r="P1001" i="7"/>
  <c r="M1060" i="7"/>
  <c r="L1061" i="7"/>
  <c r="P1002" i="7" l="1"/>
  <c r="N1002" i="7"/>
  <c r="O1003" i="7" s="1"/>
  <c r="M1061" i="7"/>
  <c r="L1062" i="7"/>
  <c r="P1003" i="7" l="1"/>
  <c r="N1003" i="7"/>
  <c r="O1004" i="7" s="1"/>
  <c r="M1062" i="7"/>
  <c r="L1063" i="7"/>
  <c r="N1004" i="7" l="1"/>
  <c r="O1005" i="7" s="1"/>
  <c r="P1004" i="7"/>
  <c r="M1063" i="7"/>
  <c r="L1064" i="7"/>
  <c r="N1005" i="7" l="1"/>
  <c r="O1006" i="7" s="1"/>
  <c r="P1005" i="7"/>
  <c r="M1064" i="7"/>
  <c r="L1065" i="7"/>
  <c r="P1006" i="7" l="1"/>
  <c r="N1006" i="7"/>
  <c r="O1007" i="7" s="1"/>
  <c r="M1065" i="7"/>
  <c r="L1066" i="7"/>
  <c r="N1007" i="7" l="1"/>
  <c r="O1008" i="7" s="1"/>
  <c r="P1007" i="7"/>
  <c r="M1066" i="7"/>
  <c r="L1067" i="7"/>
  <c r="P1008" i="7" l="1"/>
  <c r="N1008" i="7"/>
  <c r="O1009" i="7" s="1"/>
  <c r="M1067" i="7"/>
  <c r="L1068" i="7"/>
  <c r="N1009" i="7" l="1"/>
  <c r="O1010" i="7" s="1"/>
  <c r="P1009" i="7"/>
  <c r="M1068" i="7"/>
  <c r="L1069" i="7"/>
  <c r="N1010" i="7" l="1"/>
  <c r="O1011" i="7" s="1"/>
  <c r="P1010" i="7"/>
  <c r="M1069" i="7"/>
  <c r="L1070" i="7"/>
  <c r="P1011" i="7" l="1"/>
  <c r="N1011" i="7"/>
  <c r="O1012" i="7" s="1"/>
  <c r="M1070" i="7"/>
  <c r="L1071" i="7"/>
  <c r="N1012" i="7" l="1"/>
  <c r="O1013" i="7" s="1"/>
  <c r="P1012" i="7"/>
  <c r="M1071" i="7"/>
  <c r="L1072" i="7"/>
  <c r="P1013" i="7" l="1"/>
  <c r="N1013" i="7"/>
  <c r="O1014" i="7" s="1"/>
  <c r="M1072" i="7"/>
  <c r="L1073" i="7"/>
  <c r="P1014" i="7" l="1"/>
  <c r="N1014" i="7"/>
  <c r="O1015" i="7" s="1"/>
  <c r="M1073" i="7"/>
  <c r="L1074" i="7"/>
  <c r="N1015" i="7" l="1"/>
  <c r="O1016" i="7" s="1"/>
  <c r="P1015" i="7"/>
  <c r="M1074" i="7"/>
  <c r="L1075" i="7"/>
  <c r="N1016" i="7" l="1"/>
  <c r="O1017" i="7" s="1"/>
  <c r="P1016" i="7"/>
  <c r="M1075" i="7"/>
  <c r="L1076" i="7"/>
  <c r="N1017" i="7" l="1"/>
  <c r="O1018" i="7" s="1"/>
  <c r="P1017" i="7"/>
  <c r="M1076" i="7"/>
  <c r="L1077" i="7"/>
  <c r="N1018" i="7" l="1"/>
  <c r="O1019" i="7" s="1"/>
  <c r="P1018" i="7"/>
  <c r="M1077" i="7"/>
  <c r="L1078" i="7"/>
  <c r="P1019" i="7" l="1"/>
  <c r="N1019" i="7"/>
  <c r="O1020" i="7" s="1"/>
  <c r="M1078" i="7"/>
  <c r="L1079" i="7"/>
  <c r="N1020" i="7" l="1"/>
  <c r="O1021" i="7" s="1"/>
  <c r="P1020" i="7"/>
  <c r="M1079" i="7"/>
  <c r="L1080" i="7"/>
  <c r="P1021" i="7" l="1"/>
  <c r="N1021" i="7"/>
  <c r="O1022" i="7" s="1"/>
  <c r="M1080" i="7"/>
  <c r="L1081" i="7"/>
  <c r="P1022" i="7" l="1"/>
  <c r="N1022" i="7"/>
  <c r="O1023" i="7" s="1"/>
  <c r="M1081" i="7"/>
  <c r="L1082" i="7"/>
  <c r="N1023" i="7" l="1"/>
  <c r="O1024" i="7" s="1"/>
  <c r="P1023" i="7"/>
  <c r="M1082" i="7"/>
  <c r="L1083" i="7"/>
  <c r="P1024" i="7" l="1"/>
  <c r="N1024" i="7"/>
  <c r="O1025" i="7" s="1"/>
  <c r="M1083" i="7"/>
  <c r="L1084" i="7"/>
  <c r="P1025" i="7" l="1"/>
  <c r="N1025" i="7"/>
  <c r="O1026" i="7" s="1"/>
  <c r="M1084" i="7"/>
  <c r="L1085" i="7"/>
  <c r="N1026" i="7" l="1"/>
  <c r="O1027" i="7" s="1"/>
  <c r="P1026" i="7"/>
  <c r="M1085" i="7"/>
  <c r="L1086" i="7"/>
  <c r="N1027" i="7" l="1"/>
  <c r="O1028" i="7" s="1"/>
  <c r="P1027" i="7"/>
  <c r="M1086" i="7"/>
  <c r="L1087" i="7"/>
  <c r="P1028" i="7" l="1"/>
  <c r="N1028" i="7"/>
  <c r="O1029" i="7" s="1"/>
  <c r="M1087" i="7"/>
  <c r="L1088" i="7"/>
  <c r="P1029" i="7" l="1"/>
  <c r="N1029" i="7"/>
  <c r="O1030" i="7" s="1"/>
  <c r="M1088" i="7"/>
  <c r="L1089" i="7"/>
  <c r="P1030" i="7" l="1"/>
  <c r="N1030" i="7"/>
  <c r="O1031" i="7" s="1"/>
  <c r="M1089" i="7"/>
  <c r="L1090" i="7"/>
  <c r="P1031" i="7" l="1"/>
  <c r="N1031" i="7"/>
  <c r="O1032" i="7" s="1"/>
  <c r="M1090" i="7"/>
  <c r="L1091" i="7"/>
  <c r="N1032" i="7" l="1"/>
  <c r="O1033" i="7" s="1"/>
  <c r="P1032" i="7"/>
  <c r="M1091" i="7"/>
  <c r="L1092" i="7"/>
  <c r="P1033" i="7" l="1"/>
  <c r="N1033" i="7"/>
  <c r="O1034" i="7" s="1"/>
  <c r="M1092" i="7"/>
  <c r="L1093" i="7"/>
  <c r="P1034" i="7" l="1"/>
  <c r="N1034" i="7"/>
  <c r="O1035" i="7" s="1"/>
  <c r="M1093" i="7"/>
  <c r="L1094" i="7"/>
  <c r="N1035" i="7" l="1"/>
  <c r="O1036" i="7" s="1"/>
  <c r="P1035" i="7"/>
  <c r="M1094" i="7"/>
  <c r="L1095" i="7"/>
  <c r="N1036" i="7" l="1"/>
  <c r="O1037" i="7" s="1"/>
  <c r="P1036" i="7"/>
  <c r="M1095" i="7"/>
  <c r="L1096" i="7"/>
  <c r="P1037" i="7" l="1"/>
  <c r="N1037" i="7"/>
  <c r="O1038" i="7" s="1"/>
  <c r="M1096" i="7"/>
  <c r="L1097" i="7"/>
  <c r="P1038" i="7" l="1"/>
  <c r="N1038" i="7"/>
  <c r="O1039" i="7" s="1"/>
  <c r="M1097" i="7"/>
  <c r="L1098" i="7"/>
  <c r="P1039" i="7" l="1"/>
  <c r="N1039" i="7"/>
  <c r="O1040" i="7" s="1"/>
  <c r="M1098" i="7"/>
  <c r="L1099" i="7"/>
  <c r="P1040" i="7" l="1"/>
  <c r="N1040" i="7"/>
  <c r="O1041" i="7" s="1"/>
  <c r="M1099" i="7"/>
  <c r="L1100" i="7"/>
  <c r="P1041" i="7" l="1"/>
  <c r="N1041" i="7"/>
  <c r="O1042" i="7" s="1"/>
  <c r="M1100" i="7"/>
  <c r="L1101" i="7"/>
  <c r="N1042" i="7" l="1"/>
  <c r="O1043" i="7" s="1"/>
  <c r="P1042" i="7"/>
  <c r="M1101" i="7"/>
  <c r="L1102" i="7"/>
  <c r="N1043" i="7" l="1"/>
  <c r="O1044" i="7" s="1"/>
  <c r="P1043" i="7"/>
  <c r="M1102" i="7"/>
  <c r="L1103" i="7"/>
  <c r="P1044" i="7" l="1"/>
  <c r="N1044" i="7"/>
  <c r="O1045" i="7" s="1"/>
  <c r="M1103" i="7"/>
  <c r="L1104" i="7"/>
  <c r="P1045" i="7" l="1"/>
  <c r="N1045" i="7"/>
  <c r="O1046" i="7" s="1"/>
  <c r="M1104" i="7"/>
  <c r="L1105" i="7"/>
  <c r="P1046" i="7" l="1"/>
  <c r="N1046" i="7"/>
  <c r="O1047" i="7" s="1"/>
  <c r="M1105" i="7"/>
  <c r="L1106" i="7"/>
  <c r="P1047" i="7" l="1"/>
  <c r="N1047" i="7"/>
  <c r="O1048" i="7" s="1"/>
  <c r="M1106" i="7"/>
  <c r="L1107" i="7"/>
  <c r="N1048" i="7" l="1"/>
  <c r="O1049" i="7" s="1"/>
  <c r="P1048" i="7"/>
  <c r="M1107" i="7"/>
  <c r="L1108" i="7"/>
  <c r="N1049" i="7" l="1"/>
  <c r="O1050" i="7" s="1"/>
  <c r="P1049" i="7"/>
  <c r="M1108" i="7"/>
  <c r="L1109" i="7"/>
  <c r="N1050" i="7" l="1"/>
  <c r="O1051" i="7" s="1"/>
  <c r="P1050" i="7"/>
  <c r="M1109" i="7"/>
  <c r="L1110" i="7"/>
  <c r="N1051" i="7" l="1"/>
  <c r="O1052" i="7" s="1"/>
  <c r="P1051" i="7"/>
  <c r="M1110" i="7"/>
  <c r="L1111" i="7"/>
  <c r="P1052" i="7" l="1"/>
  <c r="N1052" i="7"/>
  <c r="O1053" i="7" s="1"/>
  <c r="M1111" i="7"/>
  <c r="L1112" i="7"/>
  <c r="P1053" i="7" l="1"/>
  <c r="N1053" i="7"/>
  <c r="O1054" i="7" s="1"/>
  <c r="M1112" i="7"/>
  <c r="L1113" i="7"/>
  <c r="N1054" i="7" l="1"/>
  <c r="O1055" i="7" s="1"/>
  <c r="P1054" i="7"/>
  <c r="M1113" i="7"/>
  <c r="L1114" i="7"/>
  <c r="P1055" i="7" l="1"/>
  <c r="N1055" i="7"/>
  <c r="O1056" i="7" s="1"/>
  <c r="M1114" i="7"/>
  <c r="L1115" i="7"/>
  <c r="N1056" i="7" l="1"/>
  <c r="O1057" i="7" s="1"/>
  <c r="P1056" i="7"/>
  <c r="M1115" i="7"/>
  <c r="L1116" i="7"/>
  <c r="P1057" i="7" l="1"/>
  <c r="N1057" i="7"/>
  <c r="O1058" i="7" s="1"/>
  <c r="M1116" i="7"/>
  <c r="L1117" i="7"/>
  <c r="P1058" i="7" l="1"/>
  <c r="N1058" i="7"/>
  <c r="O1059" i="7" s="1"/>
  <c r="M1117" i="7"/>
  <c r="L1118" i="7"/>
  <c r="P1059" i="7" l="1"/>
  <c r="N1059" i="7"/>
  <c r="O1060" i="7" s="1"/>
  <c r="M1118" i="7"/>
  <c r="L1119" i="7"/>
  <c r="N1060" i="7" l="1"/>
  <c r="O1061" i="7" s="1"/>
  <c r="P1060" i="7"/>
  <c r="M1119" i="7"/>
  <c r="L1120" i="7"/>
  <c r="P1061" i="7" l="1"/>
  <c r="N1061" i="7"/>
  <c r="O1062" i="7" s="1"/>
  <c r="M1120" i="7"/>
  <c r="L1121" i="7"/>
  <c r="N1062" i="7" l="1"/>
  <c r="O1063" i="7" s="1"/>
  <c r="P1062" i="7"/>
  <c r="M1121" i="7"/>
  <c r="L1122" i="7"/>
  <c r="N1063" i="7" l="1"/>
  <c r="O1064" i="7" s="1"/>
  <c r="P1063" i="7"/>
  <c r="M1122" i="7"/>
  <c r="L1123" i="7"/>
  <c r="P1064" i="7" l="1"/>
  <c r="N1064" i="7"/>
  <c r="O1065" i="7" s="1"/>
  <c r="M1123" i="7"/>
  <c r="L1124" i="7"/>
  <c r="N1065" i="7" l="1"/>
  <c r="O1066" i="7" s="1"/>
  <c r="P1065" i="7"/>
  <c r="M1124" i="7"/>
  <c r="L1125" i="7"/>
  <c r="N1066" i="7" l="1"/>
  <c r="O1067" i="7" s="1"/>
  <c r="P1066" i="7"/>
  <c r="M1125" i="7"/>
  <c r="L1126" i="7"/>
  <c r="P1067" i="7" l="1"/>
  <c r="N1067" i="7"/>
  <c r="O1068" i="7" s="1"/>
  <c r="M1126" i="7"/>
  <c r="L1127" i="7"/>
  <c r="N1068" i="7" l="1"/>
  <c r="O1069" i="7" s="1"/>
  <c r="P1068" i="7"/>
  <c r="M1127" i="7"/>
  <c r="L1128" i="7"/>
  <c r="P1069" i="7" l="1"/>
  <c r="N1069" i="7"/>
  <c r="O1070" i="7" s="1"/>
  <c r="M1128" i="7"/>
  <c r="L1129" i="7"/>
  <c r="P1070" i="7" l="1"/>
  <c r="N1070" i="7"/>
  <c r="O1071" i="7" s="1"/>
  <c r="M1129" i="7"/>
  <c r="L1130" i="7"/>
  <c r="N1071" i="7" l="1"/>
  <c r="O1072" i="7" s="1"/>
  <c r="P1071" i="7"/>
  <c r="M1130" i="7"/>
  <c r="L1131" i="7"/>
  <c r="N1072" i="7" l="1"/>
  <c r="O1073" i="7" s="1"/>
  <c r="P1072" i="7"/>
  <c r="M1131" i="7"/>
  <c r="L1132" i="7"/>
  <c r="N1073" i="7" l="1"/>
  <c r="O1074" i="7" s="1"/>
  <c r="P1073" i="7"/>
  <c r="M1132" i="7"/>
  <c r="L1133" i="7"/>
  <c r="P1074" i="7" l="1"/>
  <c r="N1074" i="7"/>
  <c r="O1075" i="7" s="1"/>
  <c r="M1133" i="7"/>
  <c r="L1134" i="7"/>
  <c r="N1075" i="7" l="1"/>
  <c r="O1076" i="7" s="1"/>
  <c r="P1075" i="7"/>
  <c r="M1134" i="7"/>
  <c r="L1135" i="7"/>
  <c r="P1076" i="7" l="1"/>
  <c r="N1076" i="7"/>
  <c r="O1077" i="7" s="1"/>
  <c r="M1135" i="7"/>
  <c r="L1136" i="7"/>
  <c r="N1077" i="7" l="1"/>
  <c r="O1078" i="7" s="1"/>
  <c r="P1077" i="7"/>
  <c r="M1136" i="7"/>
  <c r="L1137" i="7"/>
  <c r="P1078" i="7" l="1"/>
  <c r="N1078" i="7"/>
  <c r="O1079" i="7" s="1"/>
  <c r="M1137" i="7"/>
  <c r="L1138" i="7"/>
  <c r="P1079" i="7" l="1"/>
  <c r="N1079" i="7"/>
  <c r="O1080" i="7" s="1"/>
  <c r="M1138" i="7"/>
  <c r="L1139" i="7"/>
  <c r="P1080" i="7" l="1"/>
  <c r="N1080" i="7"/>
  <c r="O1081" i="7" s="1"/>
  <c r="M1139" i="7"/>
  <c r="L1140" i="7"/>
  <c r="N1081" i="7" l="1"/>
  <c r="O1082" i="7" s="1"/>
  <c r="P1081" i="7"/>
  <c r="M1140" i="7"/>
  <c r="L1141" i="7"/>
  <c r="P1082" i="7" l="1"/>
  <c r="N1082" i="7"/>
  <c r="O1083" i="7" s="1"/>
  <c r="M1141" i="7"/>
  <c r="L1142" i="7"/>
  <c r="P1083" i="7" l="1"/>
  <c r="N1083" i="7"/>
  <c r="O1084" i="7" s="1"/>
  <c r="M1142" i="7"/>
  <c r="L1143" i="7"/>
  <c r="P1084" i="7" l="1"/>
  <c r="N1084" i="7"/>
  <c r="O1085" i="7" s="1"/>
  <c r="M1143" i="7"/>
  <c r="L1144" i="7"/>
  <c r="P1085" i="7" l="1"/>
  <c r="N1085" i="7"/>
  <c r="O1086" i="7" s="1"/>
  <c r="M1144" i="7"/>
  <c r="L1145" i="7"/>
  <c r="P1086" i="7" l="1"/>
  <c r="N1086" i="7"/>
  <c r="O1087" i="7" s="1"/>
  <c r="M1145" i="7"/>
  <c r="L1146" i="7"/>
  <c r="N1087" i="7" l="1"/>
  <c r="O1088" i="7" s="1"/>
  <c r="P1087" i="7"/>
  <c r="M1146" i="7"/>
  <c r="L1147" i="7"/>
  <c r="P1088" i="7" l="1"/>
  <c r="N1088" i="7"/>
  <c r="O1089" i="7" s="1"/>
  <c r="M1147" i="7"/>
  <c r="L1148" i="7"/>
  <c r="N1089" i="7" l="1"/>
  <c r="O1090" i="7" s="1"/>
  <c r="P1089" i="7"/>
  <c r="M1148" i="7"/>
  <c r="L1149" i="7"/>
  <c r="N1090" i="7" l="1"/>
  <c r="O1091" i="7" s="1"/>
  <c r="P1090" i="7"/>
  <c r="M1149" i="7"/>
  <c r="L1150" i="7"/>
  <c r="P1091" i="7" l="1"/>
  <c r="N1091" i="7"/>
  <c r="O1092" i="7" s="1"/>
  <c r="M1150" i="7"/>
  <c r="L1151" i="7"/>
  <c r="P1092" i="7" l="1"/>
  <c r="N1092" i="7"/>
  <c r="O1093" i="7" s="1"/>
  <c r="M1151" i="7"/>
  <c r="L1152" i="7"/>
  <c r="P1093" i="7" l="1"/>
  <c r="N1093" i="7"/>
  <c r="O1094" i="7" s="1"/>
  <c r="M1152" i="7"/>
  <c r="L1153" i="7"/>
  <c r="N1094" i="7" l="1"/>
  <c r="O1095" i="7" s="1"/>
  <c r="P1094" i="7"/>
  <c r="M1153" i="7"/>
  <c r="L1154" i="7"/>
  <c r="N1095" i="7" l="1"/>
  <c r="O1096" i="7" s="1"/>
  <c r="P1095" i="7"/>
  <c r="M1154" i="7"/>
  <c r="L1155" i="7"/>
  <c r="P1096" i="7" l="1"/>
  <c r="N1096" i="7"/>
  <c r="O1097" i="7" s="1"/>
  <c r="M1155" i="7"/>
  <c r="L1156" i="7"/>
  <c r="P1097" i="7" l="1"/>
  <c r="N1097" i="7"/>
  <c r="O1098" i="7" s="1"/>
  <c r="M1156" i="7"/>
  <c r="L1157" i="7"/>
  <c r="N1098" i="7" l="1"/>
  <c r="O1099" i="7" s="1"/>
  <c r="P1098" i="7"/>
  <c r="M1157" i="7"/>
  <c r="L1158" i="7"/>
  <c r="N1099" i="7" l="1"/>
  <c r="O1100" i="7" s="1"/>
  <c r="P1099" i="7"/>
  <c r="M1158" i="7"/>
  <c r="L1159" i="7"/>
  <c r="N1100" i="7" l="1"/>
  <c r="O1101" i="7" s="1"/>
  <c r="P1100" i="7"/>
  <c r="M1159" i="7"/>
  <c r="L1160" i="7"/>
  <c r="P1101" i="7" l="1"/>
  <c r="N1101" i="7"/>
  <c r="O1102" i="7" s="1"/>
  <c r="M1160" i="7"/>
  <c r="L1161" i="7"/>
  <c r="N1102" i="7" l="1"/>
  <c r="O1103" i="7" s="1"/>
  <c r="P1102" i="7"/>
  <c r="M1161" i="7"/>
  <c r="L1162" i="7"/>
  <c r="P1103" i="7" l="1"/>
  <c r="N1103" i="7"/>
  <c r="O1104" i="7" s="1"/>
  <c r="M1162" i="7"/>
  <c r="L1163" i="7"/>
  <c r="P1104" i="7" l="1"/>
  <c r="N1104" i="7"/>
  <c r="O1105" i="7" s="1"/>
  <c r="M1163" i="7"/>
  <c r="L1164" i="7"/>
  <c r="P1105" i="7" l="1"/>
  <c r="N1105" i="7"/>
  <c r="O1106" i="7" s="1"/>
  <c r="M1164" i="7"/>
  <c r="L1165" i="7"/>
  <c r="N1106" i="7" l="1"/>
  <c r="O1107" i="7" s="1"/>
  <c r="P1106" i="7"/>
  <c r="M1165" i="7"/>
  <c r="L1166" i="7"/>
  <c r="N1107" i="7" l="1"/>
  <c r="O1108" i="7" s="1"/>
  <c r="P1107" i="7"/>
  <c r="M1166" i="7"/>
  <c r="L1167" i="7"/>
  <c r="P1108" i="7" l="1"/>
  <c r="N1108" i="7"/>
  <c r="O1109" i="7" s="1"/>
  <c r="M1167" i="7"/>
  <c r="L1168" i="7"/>
  <c r="P1109" i="7" l="1"/>
  <c r="N1109" i="7"/>
  <c r="O1110" i="7" s="1"/>
  <c r="M1168" i="7"/>
  <c r="L1169" i="7"/>
  <c r="N1110" i="7" l="1"/>
  <c r="O1111" i="7" s="1"/>
  <c r="P1110" i="7"/>
  <c r="M1169" i="7"/>
  <c r="L1170" i="7"/>
  <c r="P1111" i="7" l="1"/>
  <c r="N1111" i="7"/>
  <c r="O1112" i="7" s="1"/>
  <c r="M1170" i="7"/>
  <c r="L1171" i="7"/>
  <c r="N1112" i="7" l="1"/>
  <c r="O1113" i="7" s="1"/>
  <c r="P1112" i="7"/>
  <c r="M1171" i="7"/>
  <c r="L1172" i="7"/>
  <c r="P1113" i="7" l="1"/>
  <c r="N1113" i="7"/>
  <c r="O1114" i="7" s="1"/>
  <c r="M1172" i="7"/>
  <c r="L1173" i="7"/>
  <c r="N1114" i="7" l="1"/>
  <c r="O1115" i="7" s="1"/>
  <c r="P1114" i="7"/>
  <c r="M1173" i="7"/>
  <c r="L1174" i="7"/>
  <c r="N1115" i="7" l="1"/>
  <c r="O1116" i="7" s="1"/>
  <c r="P1115" i="7"/>
  <c r="M1174" i="7"/>
  <c r="L1175" i="7"/>
  <c r="N1116" i="7" l="1"/>
  <c r="O1117" i="7" s="1"/>
  <c r="P1116" i="7"/>
  <c r="M1175" i="7"/>
  <c r="L1176" i="7"/>
  <c r="P1117" i="7" l="1"/>
  <c r="N1117" i="7"/>
  <c r="O1118" i="7" s="1"/>
  <c r="M1176" i="7"/>
  <c r="L1177" i="7"/>
  <c r="N1118" i="7" l="1"/>
  <c r="O1119" i="7" s="1"/>
  <c r="P1118" i="7"/>
  <c r="M1177" i="7"/>
  <c r="L1178" i="7"/>
  <c r="P1119" i="7" l="1"/>
  <c r="N1119" i="7"/>
  <c r="O1120" i="7" s="1"/>
  <c r="M1178" i="7"/>
  <c r="L1179" i="7"/>
  <c r="N1120" i="7" l="1"/>
  <c r="O1121" i="7" s="1"/>
  <c r="P1120" i="7"/>
  <c r="M1179" i="7"/>
  <c r="L1180" i="7"/>
  <c r="P1121" i="7" l="1"/>
  <c r="N1121" i="7"/>
  <c r="O1122" i="7" s="1"/>
  <c r="M1180" i="7"/>
  <c r="L1181" i="7"/>
  <c r="N1122" i="7" l="1"/>
  <c r="O1123" i="7" s="1"/>
  <c r="P1122" i="7"/>
  <c r="M1181" i="7"/>
  <c r="L1182" i="7"/>
  <c r="P1123" i="7" l="1"/>
  <c r="N1123" i="7"/>
  <c r="O1124" i="7" s="1"/>
  <c r="M1182" i="7"/>
  <c r="L1183" i="7"/>
  <c r="P1124" i="7" l="1"/>
  <c r="N1124" i="7"/>
  <c r="O1125" i="7" s="1"/>
  <c r="M1183" i="7"/>
  <c r="L1184" i="7"/>
  <c r="P1125" i="7" l="1"/>
  <c r="N1125" i="7"/>
  <c r="O1126" i="7" s="1"/>
  <c r="M1184" i="7"/>
  <c r="L1185" i="7"/>
  <c r="P1126" i="7" l="1"/>
  <c r="N1126" i="7"/>
  <c r="O1127" i="7" s="1"/>
  <c r="M1185" i="7"/>
  <c r="L1186" i="7"/>
  <c r="N1127" i="7" l="1"/>
  <c r="O1128" i="7" s="1"/>
  <c r="P1127" i="7"/>
  <c r="M1186" i="7"/>
  <c r="L1187" i="7"/>
  <c r="P1128" i="7" l="1"/>
  <c r="N1128" i="7"/>
  <c r="O1129" i="7" s="1"/>
  <c r="M1187" i="7"/>
  <c r="L1188" i="7"/>
  <c r="P1129" i="7" l="1"/>
  <c r="N1129" i="7"/>
  <c r="O1130" i="7" s="1"/>
  <c r="M1188" i="7"/>
  <c r="L1189" i="7"/>
  <c r="P1130" i="7" l="1"/>
  <c r="N1130" i="7"/>
  <c r="O1131" i="7" s="1"/>
  <c r="M1189" i="7"/>
  <c r="L1190" i="7"/>
  <c r="P1131" i="7" l="1"/>
  <c r="N1131" i="7"/>
  <c r="O1132" i="7" s="1"/>
  <c r="M1190" i="7"/>
  <c r="L1191" i="7"/>
  <c r="P1132" i="7" l="1"/>
  <c r="N1132" i="7"/>
  <c r="O1133" i="7" s="1"/>
  <c r="M1191" i="7"/>
  <c r="L1192" i="7"/>
  <c r="N1133" i="7" l="1"/>
  <c r="O1134" i="7" s="1"/>
  <c r="P1133" i="7"/>
  <c r="M1192" i="7"/>
  <c r="L1193" i="7"/>
  <c r="N1134" i="7" l="1"/>
  <c r="O1135" i="7" s="1"/>
  <c r="P1134" i="7"/>
  <c r="M1193" i="7"/>
  <c r="L1194" i="7"/>
  <c r="N1135" i="7" l="1"/>
  <c r="O1136" i="7" s="1"/>
  <c r="P1135" i="7"/>
  <c r="M1194" i="7"/>
  <c r="L1195" i="7"/>
  <c r="N1136" i="7" l="1"/>
  <c r="O1137" i="7" s="1"/>
  <c r="P1136" i="7"/>
  <c r="M1195" i="7"/>
  <c r="L1196" i="7"/>
  <c r="N1137" i="7" l="1"/>
  <c r="O1138" i="7" s="1"/>
  <c r="P1137" i="7"/>
  <c r="M1196" i="7"/>
  <c r="L1197" i="7"/>
  <c r="N1138" i="7" l="1"/>
  <c r="O1139" i="7" s="1"/>
  <c r="P1138" i="7"/>
  <c r="M1197" i="7"/>
  <c r="L1198" i="7"/>
  <c r="P1139" i="7" l="1"/>
  <c r="N1139" i="7"/>
  <c r="O1140" i="7" s="1"/>
  <c r="M1198" i="7"/>
  <c r="L1199" i="7"/>
  <c r="N1140" i="7" l="1"/>
  <c r="O1141" i="7" s="1"/>
  <c r="P1140" i="7"/>
  <c r="M1199" i="7"/>
  <c r="L1200" i="7"/>
  <c r="P1141" i="7" l="1"/>
  <c r="N1141" i="7"/>
  <c r="O1142" i="7" s="1"/>
  <c r="M1200" i="7"/>
  <c r="L1201" i="7"/>
  <c r="N1142" i="7" l="1"/>
  <c r="O1143" i="7" s="1"/>
  <c r="P1142" i="7"/>
  <c r="M1201" i="7"/>
  <c r="L1202" i="7"/>
  <c r="N1143" i="7" l="1"/>
  <c r="O1144" i="7" s="1"/>
  <c r="P1143" i="7"/>
  <c r="M1202" i="7"/>
  <c r="L1203" i="7"/>
  <c r="N1144" i="7" l="1"/>
  <c r="O1145" i="7" s="1"/>
  <c r="P1144" i="7"/>
  <c r="M1203" i="7"/>
  <c r="L1204" i="7"/>
  <c r="P1145" i="7" l="1"/>
  <c r="N1145" i="7"/>
  <c r="O1146" i="7" s="1"/>
  <c r="M1204" i="7"/>
  <c r="L1205" i="7"/>
  <c r="P1146" i="7" l="1"/>
  <c r="N1146" i="7"/>
  <c r="O1147" i="7" s="1"/>
  <c r="M1205" i="7"/>
  <c r="L1206" i="7"/>
  <c r="P1147" i="7" l="1"/>
  <c r="N1147" i="7"/>
  <c r="O1148" i="7" s="1"/>
  <c r="M1206" i="7"/>
  <c r="L1207" i="7"/>
  <c r="N1148" i="7" l="1"/>
  <c r="O1149" i="7" s="1"/>
  <c r="P1148" i="7"/>
  <c r="M1207" i="7"/>
  <c r="L1208" i="7"/>
  <c r="P1149" i="7" l="1"/>
  <c r="N1149" i="7"/>
  <c r="O1150" i="7" s="1"/>
  <c r="M1208" i="7"/>
  <c r="L1209" i="7"/>
  <c r="P1150" i="7" l="1"/>
  <c r="N1150" i="7"/>
  <c r="O1151" i="7" s="1"/>
  <c r="M1209" i="7"/>
  <c r="L1210" i="7"/>
  <c r="N1151" i="7" l="1"/>
  <c r="O1152" i="7" s="1"/>
  <c r="P1151" i="7"/>
  <c r="M1210" i="7"/>
  <c r="L1211" i="7"/>
  <c r="N1152" i="7" l="1"/>
  <c r="O1153" i="7" s="1"/>
  <c r="P1152" i="7"/>
  <c r="M1211" i="7"/>
  <c r="L1212" i="7"/>
  <c r="P1153" i="7" l="1"/>
  <c r="N1153" i="7"/>
  <c r="O1154" i="7" s="1"/>
  <c r="M1212" i="7"/>
  <c r="L1213" i="7"/>
  <c r="P1154" i="7" l="1"/>
  <c r="N1154" i="7"/>
  <c r="O1155" i="7" s="1"/>
  <c r="M1213" i="7"/>
  <c r="L1214" i="7"/>
  <c r="P1155" i="7" l="1"/>
  <c r="N1155" i="7"/>
  <c r="O1156" i="7" s="1"/>
  <c r="M1214" i="7"/>
  <c r="L1215" i="7"/>
  <c r="P1156" i="7" l="1"/>
  <c r="N1156" i="7"/>
  <c r="O1157" i="7" s="1"/>
  <c r="M1215" i="7"/>
  <c r="L1216" i="7"/>
  <c r="N1157" i="7" l="1"/>
  <c r="O1158" i="7" s="1"/>
  <c r="P1157" i="7"/>
  <c r="M1216" i="7"/>
  <c r="L1217" i="7"/>
  <c r="N1158" i="7" l="1"/>
  <c r="O1159" i="7" s="1"/>
  <c r="P1158" i="7"/>
  <c r="M1217" i="7"/>
  <c r="L1218" i="7"/>
  <c r="P1159" i="7" l="1"/>
  <c r="N1159" i="7"/>
  <c r="O1160" i="7" s="1"/>
  <c r="M1218" i="7"/>
  <c r="L1219" i="7"/>
  <c r="P1160" i="7" l="1"/>
  <c r="N1160" i="7"/>
  <c r="O1161" i="7" s="1"/>
  <c r="M1219" i="7"/>
  <c r="L1220" i="7"/>
  <c r="N1161" i="7" l="1"/>
  <c r="O1162" i="7" s="1"/>
  <c r="P1161" i="7"/>
  <c r="M1220" i="7"/>
  <c r="L1221" i="7"/>
  <c r="N1162" i="7" l="1"/>
  <c r="O1163" i="7" s="1"/>
  <c r="P1162" i="7"/>
  <c r="M1221" i="7"/>
  <c r="L1222" i="7"/>
  <c r="N1163" i="7" l="1"/>
  <c r="O1164" i="7" s="1"/>
  <c r="P1163" i="7"/>
  <c r="M1222" i="7"/>
  <c r="L1223" i="7"/>
  <c r="P1164" i="7" l="1"/>
  <c r="N1164" i="7"/>
  <c r="O1165" i="7" s="1"/>
  <c r="M1223" i="7"/>
  <c r="L1224" i="7"/>
  <c r="N1165" i="7" l="1"/>
  <c r="O1166" i="7" s="1"/>
  <c r="P1165" i="7"/>
  <c r="M1224" i="7"/>
  <c r="L1225" i="7"/>
  <c r="P1166" i="7" l="1"/>
  <c r="N1166" i="7"/>
  <c r="O1167" i="7" s="1"/>
  <c r="M1225" i="7"/>
  <c r="L1226" i="7"/>
  <c r="N1167" i="7" l="1"/>
  <c r="O1168" i="7" s="1"/>
  <c r="P1167" i="7"/>
  <c r="M1226" i="7"/>
  <c r="L1227" i="7"/>
  <c r="P1168" i="7" l="1"/>
  <c r="N1168" i="7"/>
  <c r="O1169" i="7" s="1"/>
  <c r="M1227" i="7"/>
  <c r="L1228" i="7"/>
  <c r="N1169" i="7" l="1"/>
  <c r="O1170" i="7" s="1"/>
  <c r="P1169" i="7"/>
  <c r="M1228" i="7"/>
  <c r="L1229" i="7"/>
  <c r="N1170" i="7" l="1"/>
  <c r="O1171" i="7" s="1"/>
  <c r="P1170" i="7"/>
  <c r="M1229" i="7"/>
  <c r="L1230" i="7"/>
  <c r="P1171" i="7" l="1"/>
  <c r="N1171" i="7"/>
  <c r="O1172" i="7" s="1"/>
  <c r="M1230" i="7"/>
  <c r="L1231" i="7"/>
  <c r="P1172" i="7" l="1"/>
  <c r="N1172" i="7"/>
  <c r="O1173" i="7" s="1"/>
  <c r="M1231" i="7"/>
  <c r="L1232" i="7"/>
  <c r="P1173" i="7" l="1"/>
  <c r="N1173" i="7"/>
  <c r="O1174" i="7" s="1"/>
  <c r="M1232" i="7"/>
  <c r="L1233" i="7"/>
  <c r="P1174" i="7" l="1"/>
  <c r="N1174" i="7"/>
  <c r="O1175" i="7" s="1"/>
  <c r="M1233" i="7"/>
  <c r="L1234" i="7"/>
  <c r="N1175" i="7" l="1"/>
  <c r="O1176" i="7" s="1"/>
  <c r="P1175" i="7"/>
  <c r="M1234" i="7"/>
  <c r="L1235" i="7"/>
  <c r="P1176" i="7" l="1"/>
  <c r="N1176" i="7"/>
  <c r="O1177" i="7" s="1"/>
  <c r="M1235" i="7"/>
  <c r="L1236" i="7"/>
  <c r="N1177" i="7" l="1"/>
  <c r="O1178" i="7" s="1"/>
  <c r="P1177" i="7"/>
  <c r="M1236" i="7"/>
  <c r="L1237" i="7"/>
  <c r="N1178" i="7" l="1"/>
  <c r="O1179" i="7" s="1"/>
  <c r="P1178" i="7"/>
  <c r="M1237" i="7"/>
  <c r="L1238" i="7"/>
  <c r="P1179" i="7" l="1"/>
  <c r="N1179" i="7"/>
  <c r="O1180" i="7" s="1"/>
  <c r="M1238" i="7"/>
  <c r="L1239" i="7"/>
  <c r="P1180" i="7" l="1"/>
  <c r="N1180" i="7"/>
  <c r="O1181" i="7" s="1"/>
  <c r="M1239" i="7"/>
  <c r="L1240" i="7"/>
  <c r="N1181" i="7" l="1"/>
  <c r="O1182" i="7" s="1"/>
  <c r="P1181" i="7"/>
  <c r="M1240" i="7"/>
  <c r="L1241" i="7"/>
  <c r="N1182" i="7" l="1"/>
  <c r="O1183" i="7" s="1"/>
  <c r="P1182" i="7"/>
  <c r="M1241" i="7"/>
  <c r="L1242" i="7"/>
  <c r="N1183" i="7" l="1"/>
  <c r="O1184" i="7" s="1"/>
  <c r="P1183" i="7"/>
  <c r="M1242" i="7"/>
  <c r="L1243" i="7"/>
  <c r="P1184" i="7" l="1"/>
  <c r="N1184" i="7"/>
  <c r="O1185" i="7" s="1"/>
  <c r="M1243" i="7"/>
  <c r="L1244" i="7"/>
  <c r="N1185" i="7" l="1"/>
  <c r="O1186" i="7" s="1"/>
  <c r="P1185" i="7"/>
  <c r="M1244" i="7"/>
  <c r="L1245" i="7"/>
  <c r="P1186" i="7" l="1"/>
  <c r="N1186" i="7"/>
  <c r="O1187" i="7" s="1"/>
  <c r="M1245" i="7"/>
  <c r="L1246" i="7"/>
  <c r="N1187" i="7" l="1"/>
  <c r="O1188" i="7" s="1"/>
  <c r="P1187" i="7"/>
  <c r="M1246" i="7"/>
  <c r="L1247" i="7"/>
  <c r="P1188" i="7" l="1"/>
  <c r="N1188" i="7"/>
  <c r="O1189" i="7" s="1"/>
  <c r="M1247" i="7"/>
  <c r="L1248" i="7"/>
  <c r="P1189" i="7" l="1"/>
  <c r="N1189" i="7"/>
  <c r="O1190" i="7" s="1"/>
  <c r="M1248" i="7"/>
  <c r="L1249" i="7"/>
  <c r="P1190" i="7" l="1"/>
  <c r="N1190" i="7"/>
  <c r="O1191" i="7" s="1"/>
  <c r="M1249" i="7"/>
  <c r="L1250" i="7"/>
  <c r="N1191" i="7" l="1"/>
  <c r="O1192" i="7" s="1"/>
  <c r="P1191" i="7"/>
  <c r="M1250" i="7"/>
  <c r="L1251" i="7"/>
  <c r="N1192" i="7" l="1"/>
  <c r="O1193" i="7" s="1"/>
  <c r="P1192" i="7"/>
  <c r="M1251" i="7"/>
  <c r="L1252" i="7"/>
  <c r="N1193" i="7" l="1"/>
  <c r="O1194" i="7" s="1"/>
  <c r="P1193" i="7"/>
  <c r="M1252" i="7"/>
  <c r="L1253" i="7"/>
  <c r="P1194" i="7" l="1"/>
  <c r="N1194" i="7"/>
  <c r="O1195" i="7" s="1"/>
  <c r="M1253" i="7"/>
  <c r="L1254" i="7"/>
  <c r="P1195" i="7" l="1"/>
  <c r="N1195" i="7"/>
  <c r="O1196" i="7" s="1"/>
  <c r="M1254" i="7"/>
  <c r="L1255" i="7"/>
  <c r="N1196" i="7" l="1"/>
  <c r="O1197" i="7" s="1"/>
  <c r="P1196" i="7"/>
  <c r="M1255" i="7"/>
  <c r="L1256" i="7"/>
  <c r="N1197" i="7" l="1"/>
  <c r="O1198" i="7" s="1"/>
  <c r="P1197" i="7"/>
  <c r="M1256" i="7"/>
  <c r="L1257" i="7"/>
  <c r="P1198" i="7" l="1"/>
  <c r="N1198" i="7"/>
  <c r="O1199" i="7" s="1"/>
  <c r="M1257" i="7"/>
  <c r="L1258" i="7"/>
  <c r="P1199" i="7" l="1"/>
  <c r="N1199" i="7"/>
  <c r="O1200" i="7" s="1"/>
  <c r="M1258" i="7"/>
  <c r="L1259" i="7"/>
  <c r="P1200" i="7" l="1"/>
  <c r="N1200" i="7"/>
  <c r="O1201" i="7" s="1"/>
  <c r="M1259" i="7"/>
  <c r="L1260" i="7"/>
  <c r="P1201" i="7" l="1"/>
  <c r="N1201" i="7"/>
  <c r="O1202" i="7" s="1"/>
  <c r="M1260" i="7"/>
  <c r="L1261" i="7"/>
  <c r="N1202" i="7" l="1"/>
  <c r="O1203" i="7" s="1"/>
  <c r="P1202" i="7"/>
  <c r="M1261" i="7"/>
  <c r="L1262" i="7"/>
  <c r="N1203" i="7" l="1"/>
  <c r="O1204" i="7" s="1"/>
  <c r="P1203" i="7"/>
  <c r="M1262" i="7"/>
  <c r="L1263" i="7"/>
  <c r="P1204" i="7" l="1"/>
  <c r="N1204" i="7"/>
  <c r="O1205" i="7" s="1"/>
  <c r="M1263" i="7"/>
  <c r="L1264" i="7"/>
  <c r="P1205" i="7" l="1"/>
  <c r="N1205" i="7"/>
  <c r="O1206" i="7" s="1"/>
  <c r="M1264" i="7"/>
  <c r="L1265" i="7"/>
  <c r="P1206" i="7" l="1"/>
  <c r="N1206" i="7"/>
  <c r="O1207" i="7" s="1"/>
  <c r="M1265" i="7"/>
  <c r="L1266" i="7"/>
  <c r="N1207" i="7" l="1"/>
  <c r="O1208" i="7" s="1"/>
  <c r="P1207" i="7"/>
  <c r="M1266" i="7"/>
  <c r="L1267" i="7"/>
  <c r="N1208" i="7" l="1"/>
  <c r="O1209" i="7" s="1"/>
  <c r="P1208" i="7"/>
  <c r="M1267" i="7"/>
  <c r="L1268" i="7"/>
  <c r="P1209" i="7" l="1"/>
  <c r="N1209" i="7"/>
  <c r="O1210" i="7" s="1"/>
  <c r="M1268" i="7"/>
  <c r="L1269" i="7"/>
  <c r="P1210" i="7" l="1"/>
  <c r="N1210" i="7"/>
  <c r="O1211" i="7" s="1"/>
  <c r="M1269" i="7"/>
  <c r="L1270" i="7"/>
  <c r="N1211" i="7" l="1"/>
  <c r="O1212" i="7" s="1"/>
  <c r="P1211" i="7"/>
  <c r="M1270" i="7"/>
  <c r="L1271" i="7"/>
  <c r="N1212" i="7" l="1"/>
  <c r="O1213" i="7" s="1"/>
  <c r="P1212" i="7"/>
  <c r="M1271" i="7"/>
  <c r="L1272" i="7"/>
  <c r="N1213" i="7" l="1"/>
  <c r="O1214" i="7" s="1"/>
  <c r="P1213" i="7"/>
  <c r="M1272" i="7"/>
  <c r="L1273" i="7"/>
  <c r="N1214" i="7" l="1"/>
  <c r="O1215" i="7" s="1"/>
  <c r="P1214" i="7"/>
  <c r="M1273" i="7"/>
  <c r="L1274" i="7"/>
  <c r="P1215" i="7" l="1"/>
  <c r="N1215" i="7"/>
  <c r="O1216" i="7" s="1"/>
  <c r="M1274" i="7"/>
  <c r="L1275" i="7"/>
  <c r="P1216" i="7" l="1"/>
  <c r="N1216" i="7"/>
  <c r="O1217" i="7" s="1"/>
  <c r="M1275" i="7"/>
  <c r="L1276" i="7"/>
  <c r="P1217" i="7" l="1"/>
  <c r="N1217" i="7"/>
  <c r="O1218" i="7" s="1"/>
  <c r="M1276" i="7"/>
  <c r="L1277" i="7"/>
  <c r="P1218" i="7" l="1"/>
  <c r="N1218" i="7"/>
  <c r="O1219" i="7" s="1"/>
  <c r="M1277" i="7"/>
  <c r="L1278" i="7"/>
  <c r="P1219" i="7" l="1"/>
  <c r="N1219" i="7"/>
  <c r="O1220" i="7" s="1"/>
  <c r="M1278" i="7"/>
  <c r="L1279" i="7"/>
  <c r="N1220" i="7" l="1"/>
  <c r="O1221" i="7" s="1"/>
  <c r="P1220" i="7"/>
  <c r="M1279" i="7"/>
  <c r="L1280" i="7"/>
  <c r="N1221" i="7" l="1"/>
  <c r="O1222" i="7" s="1"/>
  <c r="P1221" i="7"/>
  <c r="M1280" i="7"/>
  <c r="L1281" i="7"/>
  <c r="N1222" i="7" l="1"/>
  <c r="O1223" i="7" s="1"/>
  <c r="P1222" i="7"/>
  <c r="M1281" i="7"/>
  <c r="L1282" i="7"/>
  <c r="N1223" i="7" l="1"/>
  <c r="O1224" i="7" s="1"/>
  <c r="P1223" i="7"/>
  <c r="M1282" i="7"/>
  <c r="L1283" i="7"/>
  <c r="P1224" i="7" l="1"/>
  <c r="N1224" i="7"/>
  <c r="O1225" i="7" s="1"/>
  <c r="M1283" i="7"/>
  <c r="L1284" i="7"/>
  <c r="N1225" i="7" l="1"/>
  <c r="O1226" i="7" s="1"/>
  <c r="P1225" i="7"/>
  <c r="M1284" i="7"/>
  <c r="L1285" i="7"/>
  <c r="N1226" i="7" l="1"/>
  <c r="O1227" i="7" s="1"/>
  <c r="P1226" i="7"/>
  <c r="M1285" i="7"/>
  <c r="L1286" i="7"/>
  <c r="P1227" i="7" l="1"/>
  <c r="N1227" i="7"/>
  <c r="O1228" i="7" s="1"/>
  <c r="M1286" i="7"/>
  <c r="L1287" i="7"/>
  <c r="P1228" i="7" l="1"/>
  <c r="N1228" i="7"/>
  <c r="O1229" i="7" s="1"/>
  <c r="M1287" i="7"/>
  <c r="L1288" i="7"/>
  <c r="N1229" i="7" l="1"/>
  <c r="O1230" i="7" s="1"/>
  <c r="P1229" i="7"/>
  <c r="M1288" i="7"/>
  <c r="L1289" i="7"/>
  <c r="N1230" i="7" l="1"/>
  <c r="O1231" i="7" s="1"/>
  <c r="P1230" i="7"/>
  <c r="M1289" i="7"/>
  <c r="L1290" i="7"/>
  <c r="N1231" i="7" l="1"/>
  <c r="O1232" i="7" s="1"/>
  <c r="P1231" i="7"/>
  <c r="M1290" i="7"/>
  <c r="L1291" i="7"/>
  <c r="P1232" i="7" l="1"/>
  <c r="N1232" i="7"/>
  <c r="O1233" i="7" s="1"/>
  <c r="M1291" i="7"/>
  <c r="L1292" i="7"/>
  <c r="N1233" i="7" l="1"/>
  <c r="O1234" i="7" s="1"/>
  <c r="P1233" i="7"/>
  <c r="M1292" i="7"/>
  <c r="L1293" i="7"/>
  <c r="N1234" i="7" l="1"/>
  <c r="O1235" i="7" s="1"/>
  <c r="P1234" i="7"/>
  <c r="M1293" i="7"/>
  <c r="L1294" i="7"/>
  <c r="N1235" i="7" l="1"/>
  <c r="O1236" i="7" s="1"/>
  <c r="P1235" i="7"/>
  <c r="M1294" i="7"/>
  <c r="L1295" i="7"/>
  <c r="P1236" i="7" l="1"/>
  <c r="N1236" i="7"/>
  <c r="O1237" i="7" s="1"/>
  <c r="M1295" i="7"/>
  <c r="L1296" i="7"/>
  <c r="P1237" i="7" l="1"/>
  <c r="N1237" i="7"/>
  <c r="O1238" i="7" s="1"/>
  <c r="M1296" i="7"/>
  <c r="L1297" i="7"/>
  <c r="P1238" i="7" l="1"/>
  <c r="N1238" i="7"/>
  <c r="O1239" i="7" s="1"/>
  <c r="M1297" i="7"/>
  <c r="L1298" i="7"/>
  <c r="N1239" i="7" l="1"/>
  <c r="O1240" i="7" s="1"/>
  <c r="P1239" i="7"/>
  <c r="M1298" i="7"/>
  <c r="L1299" i="7"/>
  <c r="P1240" i="7" l="1"/>
  <c r="N1240" i="7"/>
  <c r="O1241" i="7" s="1"/>
  <c r="M1299" i="7"/>
  <c r="L1300" i="7"/>
  <c r="P1241" i="7" l="1"/>
  <c r="N1241" i="7"/>
  <c r="O1242" i="7" s="1"/>
  <c r="M1300" i="7"/>
  <c r="L1301" i="7"/>
  <c r="N1242" i="7" l="1"/>
  <c r="O1243" i="7" s="1"/>
  <c r="P1242" i="7"/>
  <c r="M1301" i="7"/>
  <c r="L1302" i="7"/>
  <c r="P1243" i="7" l="1"/>
  <c r="N1243" i="7"/>
  <c r="O1244" i="7" s="1"/>
  <c r="M1302" i="7"/>
  <c r="L1303" i="7"/>
  <c r="P1244" i="7" l="1"/>
  <c r="N1244" i="7"/>
  <c r="O1245" i="7" s="1"/>
  <c r="M1303" i="7"/>
  <c r="L1304" i="7"/>
  <c r="N1245" i="7" l="1"/>
  <c r="O1246" i="7" s="1"/>
  <c r="P1245" i="7"/>
  <c r="M1304" i="7"/>
  <c r="L1305" i="7"/>
  <c r="N1246" i="7" l="1"/>
  <c r="O1247" i="7" s="1"/>
  <c r="P1246" i="7"/>
  <c r="M1305" i="7"/>
  <c r="L1306" i="7"/>
  <c r="N1247" i="7" l="1"/>
  <c r="O1248" i="7" s="1"/>
  <c r="P1247" i="7"/>
  <c r="M1306" i="7"/>
  <c r="L1307" i="7"/>
  <c r="P1248" i="7" l="1"/>
  <c r="N1248" i="7"/>
  <c r="O1249" i="7" s="1"/>
  <c r="M1307" i="7"/>
  <c r="L1308" i="7"/>
  <c r="N1249" i="7" l="1"/>
  <c r="O1250" i="7" s="1"/>
  <c r="P1249" i="7"/>
  <c r="M1308" i="7"/>
  <c r="L1309" i="7"/>
  <c r="N1250" i="7" l="1"/>
  <c r="O1251" i="7" s="1"/>
  <c r="P1250" i="7"/>
  <c r="M1309" i="7"/>
  <c r="L1310" i="7"/>
  <c r="N1251" i="7" l="1"/>
  <c r="O1252" i="7" s="1"/>
  <c r="P1251" i="7"/>
  <c r="M1310" i="7"/>
  <c r="L1311" i="7"/>
  <c r="P1252" i="7" l="1"/>
  <c r="N1252" i="7"/>
  <c r="O1253" i="7" s="1"/>
  <c r="M1311" i="7"/>
  <c r="L1312" i="7"/>
  <c r="P1253" i="7" l="1"/>
  <c r="N1253" i="7"/>
  <c r="O1254" i="7" s="1"/>
  <c r="M1312" i="7"/>
  <c r="L1313" i="7"/>
  <c r="N1254" i="7" l="1"/>
  <c r="O1255" i="7" s="1"/>
  <c r="P1254" i="7"/>
  <c r="M1313" i="7"/>
  <c r="L1314" i="7"/>
  <c r="N1255" i="7" l="1"/>
  <c r="O1256" i="7" s="1"/>
  <c r="P1255" i="7"/>
  <c r="M1314" i="7"/>
  <c r="L1315" i="7"/>
  <c r="P1256" i="7" l="1"/>
  <c r="N1256" i="7"/>
  <c r="O1257" i="7" s="1"/>
  <c r="M1315" i="7"/>
  <c r="L1316" i="7"/>
  <c r="N1257" i="7" l="1"/>
  <c r="O1258" i="7" s="1"/>
  <c r="P1257" i="7"/>
  <c r="M1316" i="7"/>
  <c r="L1317" i="7"/>
  <c r="P1258" i="7" l="1"/>
  <c r="N1258" i="7"/>
  <c r="O1259" i="7" s="1"/>
  <c r="M1317" i="7"/>
  <c r="L1318" i="7"/>
  <c r="P1259" i="7" l="1"/>
  <c r="N1259" i="7"/>
  <c r="O1260" i="7" s="1"/>
  <c r="M1318" i="7"/>
  <c r="L1319" i="7"/>
  <c r="N1260" i="7" l="1"/>
  <c r="O1261" i="7" s="1"/>
  <c r="P1260" i="7"/>
  <c r="M1319" i="7"/>
  <c r="L1320" i="7"/>
  <c r="P1261" i="7" l="1"/>
  <c r="N1261" i="7"/>
  <c r="O1262" i="7" s="1"/>
  <c r="M1320" i="7"/>
  <c r="L1321" i="7"/>
  <c r="N1262" i="7" l="1"/>
  <c r="O1263" i="7" s="1"/>
  <c r="P1262" i="7"/>
  <c r="M1321" i="7"/>
  <c r="L1322" i="7"/>
  <c r="N1263" i="7" l="1"/>
  <c r="O1264" i="7" s="1"/>
  <c r="P1263" i="7"/>
  <c r="M1322" i="7"/>
  <c r="L1323" i="7"/>
  <c r="N1264" i="7" l="1"/>
  <c r="O1265" i="7" s="1"/>
  <c r="P1264" i="7"/>
  <c r="M1323" i="7"/>
  <c r="L1324" i="7"/>
  <c r="N1265" i="7" l="1"/>
  <c r="O1266" i="7" s="1"/>
  <c r="P1265" i="7"/>
  <c r="M1324" i="7"/>
  <c r="L1325" i="7"/>
  <c r="P1266" i="7" l="1"/>
  <c r="N1266" i="7"/>
  <c r="O1267" i="7" s="1"/>
  <c r="M1325" i="7"/>
  <c r="L1326" i="7"/>
  <c r="N1267" i="7" l="1"/>
  <c r="O1268" i="7" s="1"/>
  <c r="P1267" i="7"/>
  <c r="M1326" i="7"/>
  <c r="L1327" i="7"/>
  <c r="N1268" i="7" l="1"/>
  <c r="O1269" i="7" s="1"/>
  <c r="P1268" i="7"/>
  <c r="M1327" i="7"/>
  <c r="L1328" i="7"/>
  <c r="N1269" i="7" l="1"/>
  <c r="O1270" i="7" s="1"/>
  <c r="P1269" i="7"/>
  <c r="M1328" i="7"/>
  <c r="L1329" i="7"/>
  <c r="P1270" i="7" l="1"/>
  <c r="N1270" i="7"/>
  <c r="O1271" i="7" s="1"/>
  <c r="M1329" i="7"/>
  <c r="L1330" i="7"/>
  <c r="P1271" i="7" l="1"/>
  <c r="N1271" i="7"/>
  <c r="O1272" i="7" s="1"/>
  <c r="M1330" i="7"/>
  <c r="L1331" i="7"/>
  <c r="P1272" i="7" l="1"/>
  <c r="N1272" i="7"/>
  <c r="O1273" i="7" s="1"/>
  <c r="M1331" i="7"/>
  <c r="L1332" i="7"/>
  <c r="N1273" i="7" l="1"/>
  <c r="O1274" i="7" s="1"/>
  <c r="P1273" i="7"/>
  <c r="M1332" i="7"/>
  <c r="L1333" i="7"/>
  <c r="P1274" i="7" l="1"/>
  <c r="N1274" i="7"/>
  <c r="O1275" i="7" s="1"/>
  <c r="M1333" i="7"/>
  <c r="L1334" i="7"/>
  <c r="P1275" i="7" l="1"/>
  <c r="N1275" i="7"/>
  <c r="O1276" i="7" s="1"/>
  <c r="M1334" i="7"/>
  <c r="L1335" i="7"/>
  <c r="N1276" i="7" l="1"/>
  <c r="O1277" i="7" s="1"/>
  <c r="P1276" i="7"/>
  <c r="M1335" i="7"/>
  <c r="L1336" i="7"/>
  <c r="P1277" i="7" l="1"/>
  <c r="N1277" i="7"/>
  <c r="O1278" i="7" s="1"/>
  <c r="M1336" i="7"/>
  <c r="L1337" i="7"/>
  <c r="N1278" i="7" l="1"/>
  <c r="O1279" i="7" s="1"/>
  <c r="P1278" i="7"/>
  <c r="M1337" i="7"/>
  <c r="L1338" i="7"/>
  <c r="N1279" i="7" l="1"/>
  <c r="O1280" i="7" s="1"/>
  <c r="P1279" i="7"/>
  <c r="M1338" i="7"/>
  <c r="L1339" i="7"/>
  <c r="N1280" i="7" l="1"/>
  <c r="O1281" i="7" s="1"/>
  <c r="P1280" i="7"/>
  <c r="M1339" i="7"/>
  <c r="L1340" i="7"/>
  <c r="N1281" i="7" l="1"/>
  <c r="O1282" i="7" s="1"/>
  <c r="P1281" i="7"/>
  <c r="M1340" i="7"/>
  <c r="L1341" i="7"/>
  <c r="N1282" i="7" l="1"/>
  <c r="O1283" i="7" s="1"/>
  <c r="P1282" i="7"/>
  <c r="M1341" i="7"/>
  <c r="L1342" i="7"/>
  <c r="N1283" i="7" l="1"/>
  <c r="O1284" i="7" s="1"/>
  <c r="P1283" i="7"/>
  <c r="M1342" i="7"/>
  <c r="L1343" i="7"/>
  <c r="P1284" i="7" l="1"/>
  <c r="N1284" i="7"/>
  <c r="O1285" i="7" s="1"/>
  <c r="M1343" i="7"/>
  <c r="L1344" i="7"/>
  <c r="N1285" i="7" l="1"/>
  <c r="O1286" i="7" s="1"/>
  <c r="P1285" i="7"/>
  <c r="M1344" i="7"/>
  <c r="L1345" i="7"/>
  <c r="P1286" i="7" l="1"/>
  <c r="N1286" i="7"/>
  <c r="O1287" i="7" s="1"/>
  <c r="M1345" i="7"/>
  <c r="L1346" i="7"/>
  <c r="P1287" i="7" l="1"/>
  <c r="N1287" i="7"/>
  <c r="O1288" i="7" s="1"/>
  <c r="M1346" i="7"/>
  <c r="L1347" i="7"/>
  <c r="P1288" i="7" l="1"/>
  <c r="N1288" i="7"/>
  <c r="O1289" i="7" s="1"/>
  <c r="M1347" i="7"/>
  <c r="L1348" i="7"/>
  <c r="P1289" i="7" l="1"/>
  <c r="N1289" i="7"/>
  <c r="O1290" i="7" s="1"/>
  <c r="M1348" i="7"/>
  <c r="L1349" i="7"/>
  <c r="P1290" i="7" l="1"/>
  <c r="N1290" i="7"/>
  <c r="O1291" i="7" s="1"/>
  <c r="M1349" i="7"/>
  <c r="L1350" i="7"/>
  <c r="N1291" i="7" l="1"/>
  <c r="O1292" i="7" s="1"/>
  <c r="P1291" i="7"/>
  <c r="M1350" i="7"/>
  <c r="L1351" i="7"/>
  <c r="P1292" i="7" l="1"/>
  <c r="N1292" i="7"/>
  <c r="O1293" i="7" s="1"/>
  <c r="M1351" i="7"/>
  <c r="L1352" i="7"/>
  <c r="N1293" i="7" l="1"/>
  <c r="O1294" i="7" s="1"/>
  <c r="P1293" i="7"/>
  <c r="M1352" i="7"/>
  <c r="L1353" i="7"/>
  <c r="P1294" i="7" l="1"/>
  <c r="N1294" i="7"/>
  <c r="O1295" i="7" s="1"/>
  <c r="M1353" i="7"/>
  <c r="L1354" i="7"/>
  <c r="N1295" i="7" l="1"/>
  <c r="O1296" i="7" s="1"/>
  <c r="P1295" i="7"/>
  <c r="M1354" i="7"/>
  <c r="L1355" i="7"/>
  <c r="N1296" i="7" l="1"/>
  <c r="O1297" i="7" s="1"/>
  <c r="P1296" i="7"/>
  <c r="M1355" i="7"/>
  <c r="L1356" i="7"/>
  <c r="P1297" i="7" l="1"/>
  <c r="N1297" i="7"/>
  <c r="O1298" i="7" s="1"/>
  <c r="M1356" i="7"/>
  <c r="L1357" i="7"/>
  <c r="P1298" i="7" l="1"/>
  <c r="N1298" i="7"/>
  <c r="O1299" i="7" s="1"/>
  <c r="M1357" i="7"/>
  <c r="L1358" i="7"/>
  <c r="P1299" i="7" l="1"/>
  <c r="N1299" i="7"/>
  <c r="O1300" i="7" s="1"/>
  <c r="M1358" i="7"/>
  <c r="L1359" i="7"/>
  <c r="P1300" i="7" l="1"/>
  <c r="N1300" i="7"/>
  <c r="O1301" i="7" s="1"/>
  <c r="M1359" i="7"/>
  <c r="L1360" i="7"/>
  <c r="P1301" i="7" l="1"/>
  <c r="N1301" i="7"/>
  <c r="O1302" i="7" s="1"/>
  <c r="M1360" i="7"/>
  <c r="L1361" i="7"/>
  <c r="N1302" i="7" l="1"/>
  <c r="O1303" i="7" s="1"/>
  <c r="P1302" i="7"/>
  <c r="M1361" i="7"/>
  <c r="L1362" i="7"/>
  <c r="P1303" i="7" l="1"/>
  <c r="N1303" i="7"/>
  <c r="O1304" i="7" s="1"/>
  <c r="M1362" i="7"/>
  <c r="L1363" i="7"/>
  <c r="N1304" i="7" l="1"/>
  <c r="O1305" i="7" s="1"/>
  <c r="P1304" i="7"/>
  <c r="M1363" i="7"/>
  <c r="L1364" i="7"/>
  <c r="P1305" i="7" l="1"/>
  <c r="N1305" i="7"/>
  <c r="O1306" i="7" s="1"/>
  <c r="M1364" i="7"/>
  <c r="L1365" i="7"/>
  <c r="P1306" i="7" l="1"/>
  <c r="N1306" i="7"/>
  <c r="O1307" i="7" s="1"/>
  <c r="M1365" i="7"/>
  <c r="L1366" i="7"/>
  <c r="N1307" i="7" l="1"/>
  <c r="O1308" i="7" s="1"/>
  <c r="P1307" i="7"/>
  <c r="M1366" i="7"/>
  <c r="L1367" i="7"/>
  <c r="N1308" i="7" l="1"/>
  <c r="O1309" i="7" s="1"/>
  <c r="P1308" i="7"/>
  <c r="M1367" i="7"/>
  <c r="L1368" i="7"/>
  <c r="P1309" i="7" l="1"/>
  <c r="N1309" i="7"/>
  <c r="O1310" i="7" s="1"/>
  <c r="M1368" i="7"/>
  <c r="L1369" i="7"/>
  <c r="P1310" i="7" l="1"/>
  <c r="N1310" i="7"/>
  <c r="O1311" i="7" s="1"/>
  <c r="M1369" i="7"/>
  <c r="L1370" i="7"/>
  <c r="P1311" i="7" l="1"/>
  <c r="N1311" i="7"/>
  <c r="O1312" i="7" s="1"/>
  <c r="M1370" i="7"/>
  <c r="L1371" i="7"/>
  <c r="P1312" i="7" l="1"/>
  <c r="N1312" i="7"/>
  <c r="O1313" i="7" s="1"/>
  <c r="M1371" i="7"/>
  <c r="L1372" i="7"/>
  <c r="N1313" i="7" l="1"/>
  <c r="O1314" i="7" s="1"/>
  <c r="P1313" i="7"/>
  <c r="M1372" i="7"/>
  <c r="L1373" i="7"/>
  <c r="N1314" i="7" l="1"/>
  <c r="O1315" i="7" s="1"/>
  <c r="P1314" i="7"/>
  <c r="M1373" i="7"/>
  <c r="L1374" i="7"/>
  <c r="N1315" i="7" l="1"/>
  <c r="O1316" i="7" s="1"/>
  <c r="P1315" i="7"/>
  <c r="M1374" i="7"/>
  <c r="L1375" i="7"/>
  <c r="P1316" i="7" l="1"/>
  <c r="N1316" i="7"/>
  <c r="O1317" i="7" s="1"/>
  <c r="M1375" i="7"/>
  <c r="L1376" i="7"/>
  <c r="N1317" i="7" l="1"/>
  <c r="O1318" i="7" s="1"/>
  <c r="P1317" i="7"/>
  <c r="M1376" i="7"/>
  <c r="L1377" i="7"/>
  <c r="P1318" i="7" l="1"/>
  <c r="N1318" i="7"/>
  <c r="O1319" i="7" s="1"/>
  <c r="M1377" i="7"/>
  <c r="L1378" i="7"/>
  <c r="N1319" i="7" l="1"/>
  <c r="O1320" i="7" s="1"/>
  <c r="P1319" i="7"/>
  <c r="M1378" i="7"/>
  <c r="L1379" i="7"/>
  <c r="N1320" i="7" l="1"/>
  <c r="O1321" i="7" s="1"/>
  <c r="P1320" i="7"/>
  <c r="M1379" i="7"/>
  <c r="L1380" i="7"/>
  <c r="P1321" i="7" l="1"/>
  <c r="N1321" i="7"/>
  <c r="O1322" i="7" s="1"/>
  <c r="M1380" i="7"/>
  <c r="L1381" i="7"/>
  <c r="P1322" i="7" l="1"/>
  <c r="N1322" i="7"/>
  <c r="O1323" i="7" s="1"/>
  <c r="M1381" i="7"/>
  <c r="L1382" i="7"/>
  <c r="P1323" i="7" l="1"/>
  <c r="N1323" i="7"/>
  <c r="O1324" i="7" s="1"/>
  <c r="M1382" i="7"/>
  <c r="L1383" i="7"/>
  <c r="P1324" i="7" l="1"/>
  <c r="N1324" i="7"/>
  <c r="O1325" i="7" s="1"/>
  <c r="M1383" i="7"/>
  <c r="L1384" i="7"/>
  <c r="N1325" i="7" l="1"/>
  <c r="O1326" i="7" s="1"/>
  <c r="P1325" i="7"/>
  <c r="M1384" i="7"/>
  <c r="L1385" i="7"/>
  <c r="N1326" i="7" l="1"/>
  <c r="O1327" i="7" s="1"/>
  <c r="P1326" i="7"/>
  <c r="M1385" i="7"/>
  <c r="L1386" i="7"/>
  <c r="P1327" i="7" l="1"/>
  <c r="N1327" i="7"/>
  <c r="O1328" i="7" s="1"/>
  <c r="M1386" i="7"/>
  <c r="L1387" i="7"/>
  <c r="N1328" i="7" l="1"/>
  <c r="O1329" i="7" s="1"/>
  <c r="P1328" i="7"/>
  <c r="M1387" i="7"/>
  <c r="L1388" i="7"/>
  <c r="P1329" i="7" l="1"/>
  <c r="N1329" i="7"/>
  <c r="O1330" i="7" s="1"/>
  <c r="M1388" i="7"/>
  <c r="L1389" i="7"/>
  <c r="P1330" i="7" l="1"/>
  <c r="N1330" i="7"/>
  <c r="O1331" i="7" s="1"/>
  <c r="M1389" i="7"/>
  <c r="L1390" i="7"/>
  <c r="N1331" i="7" l="1"/>
  <c r="O1332" i="7" s="1"/>
  <c r="P1331" i="7"/>
  <c r="M1390" i="7"/>
  <c r="L1391" i="7"/>
  <c r="P1332" i="7" l="1"/>
  <c r="N1332" i="7"/>
  <c r="O1333" i="7" s="1"/>
  <c r="M1391" i="7"/>
  <c r="L1392" i="7"/>
  <c r="N1333" i="7" l="1"/>
  <c r="O1334" i="7" s="1"/>
  <c r="P1333" i="7"/>
  <c r="M1392" i="7"/>
  <c r="L1393" i="7"/>
  <c r="N1334" i="7" l="1"/>
  <c r="O1335" i="7" s="1"/>
  <c r="P1334" i="7"/>
  <c r="M1393" i="7"/>
  <c r="L1394" i="7"/>
  <c r="N1335" i="7" l="1"/>
  <c r="O1336" i="7" s="1"/>
  <c r="P1335" i="7"/>
  <c r="M1394" i="7"/>
  <c r="L1395" i="7"/>
  <c r="N1336" i="7" l="1"/>
  <c r="O1337" i="7" s="1"/>
  <c r="P1336" i="7"/>
  <c r="M1395" i="7"/>
  <c r="L1396" i="7"/>
  <c r="N1337" i="7" l="1"/>
  <c r="O1338" i="7" s="1"/>
  <c r="P1337" i="7"/>
  <c r="M1396" i="7"/>
  <c r="L1397" i="7"/>
  <c r="N1338" i="7" l="1"/>
  <c r="O1339" i="7" s="1"/>
  <c r="P1338" i="7"/>
  <c r="M1397" i="7"/>
  <c r="L1398" i="7"/>
  <c r="N1339" i="7" l="1"/>
  <c r="O1340" i="7" s="1"/>
  <c r="P1339" i="7"/>
  <c r="M1398" i="7"/>
  <c r="L1399" i="7"/>
  <c r="P1340" i="7" l="1"/>
  <c r="N1340" i="7"/>
  <c r="O1341" i="7" s="1"/>
  <c r="M1399" i="7"/>
  <c r="L1400" i="7"/>
  <c r="N1341" i="7" l="1"/>
  <c r="O1342" i="7" s="1"/>
  <c r="P1341" i="7"/>
  <c r="M1400" i="7"/>
  <c r="L1401" i="7"/>
  <c r="P1342" i="7" l="1"/>
  <c r="N1342" i="7"/>
  <c r="O1343" i="7" s="1"/>
  <c r="M1401" i="7"/>
  <c r="L1402" i="7"/>
  <c r="N1343" i="7" l="1"/>
  <c r="O1344" i="7" s="1"/>
  <c r="P1343" i="7"/>
  <c r="M1402" i="7"/>
  <c r="L1403" i="7"/>
  <c r="N1344" i="7" l="1"/>
  <c r="O1345" i="7" s="1"/>
  <c r="P1344" i="7"/>
  <c r="M1403" i="7"/>
  <c r="L1404" i="7"/>
  <c r="N1345" i="7" l="1"/>
  <c r="O1346" i="7" s="1"/>
  <c r="P1345" i="7"/>
  <c r="M1404" i="7"/>
  <c r="L1405" i="7"/>
  <c r="N1346" i="7" l="1"/>
  <c r="O1347" i="7" s="1"/>
  <c r="P1346" i="7"/>
  <c r="M1405" i="7"/>
  <c r="L1406" i="7"/>
  <c r="N1347" i="7" l="1"/>
  <c r="O1348" i="7" s="1"/>
  <c r="P1347" i="7"/>
  <c r="M1406" i="7"/>
  <c r="L1407" i="7"/>
  <c r="P1348" i="7" l="1"/>
  <c r="N1348" i="7"/>
  <c r="O1349" i="7" s="1"/>
  <c r="M1407" i="7"/>
  <c r="L1408" i="7"/>
  <c r="P1349" i="7" l="1"/>
  <c r="N1349" i="7"/>
  <c r="O1350" i="7" s="1"/>
  <c r="M1408" i="7"/>
  <c r="L1409" i="7"/>
  <c r="N1350" i="7" l="1"/>
  <c r="O1351" i="7" s="1"/>
  <c r="P1350" i="7"/>
  <c r="M1409" i="7"/>
  <c r="L1410" i="7"/>
  <c r="P1351" i="7" l="1"/>
  <c r="N1351" i="7"/>
  <c r="O1352" i="7" s="1"/>
  <c r="M1410" i="7"/>
  <c r="L1411" i="7"/>
  <c r="P1352" i="7" l="1"/>
  <c r="N1352" i="7"/>
  <c r="O1353" i="7" s="1"/>
  <c r="M1411" i="7"/>
  <c r="L1412" i="7"/>
  <c r="P1353" i="7" l="1"/>
  <c r="N1353" i="7"/>
  <c r="O1354" i="7" s="1"/>
  <c r="M1412" i="7"/>
  <c r="L1413" i="7"/>
  <c r="N1354" i="7" l="1"/>
  <c r="O1355" i="7" s="1"/>
  <c r="P1354" i="7"/>
  <c r="M1413" i="7"/>
  <c r="L1414" i="7"/>
  <c r="P1355" i="7" l="1"/>
  <c r="N1355" i="7"/>
  <c r="O1356" i="7" s="1"/>
  <c r="M1414" i="7"/>
  <c r="L1415" i="7"/>
  <c r="P1356" i="7" l="1"/>
  <c r="N1356" i="7"/>
  <c r="O1357" i="7" s="1"/>
  <c r="M1415" i="7"/>
  <c r="L1416" i="7"/>
  <c r="P1357" i="7" l="1"/>
  <c r="N1357" i="7"/>
  <c r="O1358" i="7" s="1"/>
  <c r="M1416" i="7"/>
  <c r="L1417" i="7"/>
  <c r="P1358" i="7" l="1"/>
  <c r="N1358" i="7"/>
  <c r="O1359" i="7" s="1"/>
  <c r="M1417" i="7"/>
  <c r="L1418" i="7"/>
  <c r="P1359" i="7" l="1"/>
  <c r="N1359" i="7"/>
  <c r="O1360" i="7" s="1"/>
  <c r="M1418" i="7"/>
  <c r="L1419" i="7"/>
  <c r="N1360" i="7" l="1"/>
  <c r="O1361" i="7" s="1"/>
  <c r="P1360" i="7"/>
  <c r="M1419" i="7"/>
  <c r="L1420" i="7"/>
  <c r="P1361" i="7" l="1"/>
  <c r="N1361" i="7"/>
  <c r="O1362" i="7" s="1"/>
  <c r="M1420" i="7"/>
  <c r="L1421" i="7"/>
  <c r="P1362" i="7" l="1"/>
  <c r="N1362" i="7"/>
  <c r="O1363" i="7" s="1"/>
  <c r="M1421" i="7"/>
  <c r="L1422" i="7"/>
  <c r="N1363" i="7" l="1"/>
  <c r="O1364" i="7" s="1"/>
  <c r="P1363" i="7"/>
  <c r="M1422" i="7"/>
  <c r="L1423" i="7"/>
  <c r="N1364" i="7" l="1"/>
  <c r="O1365" i="7" s="1"/>
  <c r="P1364" i="7"/>
  <c r="M1423" i="7"/>
  <c r="L1424" i="7"/>
  <c r="P1365" i="7" l="1"/>
  <c r="N1365" i="7"/>
  <c r="O1366" i="7" s="1"/>
  <c r="M1424" i="7"/>
  <c r="L1425" i="7"/>
  <c r="N1366" i="7" l="1"/>
  <c r="O1367" i="7" s="1"/>
  <c r="P1366" i="7"/>
  <c r="M1425" i="7"/>
  <c r="L1426" i="7"/>
  <c r="P1367" i="7" l="1"/>
  <c r="N1367" i="7"/>
  <c r="O1368" i="7" s="1"/>
  <c r="M1426" i="7"/>
  <c r="L1427" i="7"/>
  <c r="N1368" i="7" l="1"/>
  <c r="O1369" i="7" s="1"/>
  <c r="P1368" i="7"/>
  <c r="M1427" i="7"/>
  <c r="L1428" i="7"/>
  <c r="N1369" i="7" l="1"/>
  <c r="O1370" i="7" s="1"/>
  <c r="P1369" i="7"/>
  <c r="M1428" i="7"/>
  <c r="L1429" i="7"/>
  <c r="N1370" i="7" l="1"/>
  <c r="O1371" i="7" s="1"/>
  <c r="P1370" i="7"/>
  <c r="M1429" i="7"/>
  <c r="L1430" i="7"/>
  <c r="P1371" i="7" l="1"/>
  <c r="N1371" i="7"/>
  <c r="O1372" i="7" s="1"/>
  <c r="M1430" i="7"/>
  <c r="L1431" i="7"/>
  <c r="N1372" i="7" l="1"/>
  <c r="O1373" i="7" s="1"/>
  <c r="P1372" i="7"/>
  <c r="M1431" i="7"/>
  <c r="L1432" i="7"/>
  <c r="P1373" i="7" l="1"/>
  <c r="N1373" i="7"/>
  <c r="O1374" i="7" s="1"/>
  <c r="M1432" i="7"/>
  <c r="L1433" i="7"/>
  <c r="N1374" i="7" l="1"/>
  <c r="O1375" i="7" s="1"/>
  <c r="P1374" i="7"/>
  <c r="M1433" i="7"/>
  <c r="L1434" i="7"/>
  <c r="P1375" i="7" l="1"/>
  <c r="N1375" i="7"/>
  <c r="O1376" i="7" s="1"/>
  <c r="M1434" i="7"/>
  <c r="L1435" i="7"/>
  <c r="N1376" i="7" l="1"/>
  <c r="O1377" i="7" s="1"/>
  <c r="P1376" i="7"/>
  <c r="M1435" i="7"/>
  <c r="L1436" i="7"/>
  <c r="N1377" i="7" l="1"/>
  <c r="O1378" i="7" s="1"/>
  <c r="P1377" i="7"/>
  <c r="M1436" i="7"/>
  <c r="L1437" i="7"/>
  <c r="N1378" i="7" l="1"/>
  <c r="O1379" i="7" s="1"/>
  <c r="P1378" i="7"/>
  <c r="M1437" i="7"/>
  <c r="L1438" i="7"/>
  <c r="P1379" i="7" l="1"/>
  <c r="N1379" i="7"/>
  <c r="O1380" i="7" s="1"/>
  <c r="M1438" i="7"/>
  <c r="L1439" i="7"/>
  <c r="N1380" i="7" l="1"/>
  <c r="O1381" i="7" s="1"/>
  <c r="P1380" i="7"/>
  <c r="M1439" i="7"/>
  <c r="L1440" i="7"/>
  <c r="P1381" i="7" l="1"/>
  <c r="N1381" i="7"/>
  <c r="O1382" i="7" s="1"/>
  <c r="M1440" i="7"/>
  <c r="L1441" i="7"/>
  <c r="N1382" i="7" l="1"/>
  <c r="O1383" i="7" s="1"/>
  <c r="P1382" i="7"/>
  <c r="M1441" i="7"/>
  <c r="L1442" i="7"/>
  <c r="N1383" i="7" l="1"/>
  <c r="O1384" i="7" s="1"/>
  <c r="P1383" i="7"/>
  <c r="M1442" i="7"/>
  <c r="L1443" i="7"/>
  <c r="P1384" i="7" l="1"/>
  <c r="N1384" i="7"/>
  <c r="O1385" i="7" s="1"/>
  <c r="M1443" i="7"/>
  <c r="L1444" i="7"/>
  <c r="N1385" i="7" l="1"/>
  <c r="O1386" i="7" s="1"/>
  <c r="P1385" i="7"/>
  <c r="M1444" i="7"/>
  <c r="L1445" i="7"/>
  <c r="N1386" i="7" l="1"/>
  <c r="O1387" i="7" s="1"/>
  <c r="P1386" i="7"/>
  <c r="M1445" i="7"/>
  <c r="L1446" i="7"/>
  <c r="P1387" i="7" l="1"/>
  <c r="N1387" i="7"/>
  <c r="O1388" i="7" s="1"/>
  <c r="M1446" i="7"/>
  <c r="L1447" i="7"/>
  <c r="P1388" i="7" l="1"/>
  <c r="N1388" i="7"/>
  <c r="O1389" i="7" s="1"/>
  <c r="M1447" i="7"/>
  <c r="L1448" i="7"/>
  <c r="P1389" i="7" l="1"/>
  <c r="N1389" i="7"/>
  <c r="O1390" i="7" s="1"/>
  <c r="M1448" i="7"/>
  <c r="L1449" i="7"/>
  <c r="P1390" i="7" l="1"/>
  <c r="N1390" i="7"/>
  <c r="O1391" i="7" s="1"/>
  <c r="M1449" i="7"/>
  <c r="L1450" i="7"/>
  <c r="P1391" i="7" l="1"/>
  <c r="N1391" i="7"/>
  <c r="O1392" i="7" s="1"/>
  <c r="M1450" i="7"/>
  <c r="L1451" i="7"/>
  <c r="P1392" i="7" l="1"/>
  <c r="N1392" i="7"/>
  <c r="O1393" i="7" s="1"/>
  <c r="M1451" i="7"/>
  <c r="L1452" i="7"/>
  <c r="P1393" i="7" l="1"/>
  <c r="N1393" i="7"/>
  <c r="O1394" i="7" s="1"/>
  <c r="M1452" i="7"/>
  <c r="L1453" i="7"/>
  <c r="P1394" i="7" l="1"/>
  <c r="N1394" i="7"/>
  <c r="O1395" i="7" s="1"/>
  <c r="M1453" i="7"/>
  <c r="L1454" i="7"/>
  <c r="P1395" i="7" l="1"/>
  <c r="N1395" i="7"/>
  <c r="O1396" i="7" s="1"/>
  <c r="M1454" i="7"/>
  <c r="L1455" i="7"/>
  <c r="P1396" i="7" l="1"/>
  <c r="N1396" i="7"/>
  <c r="O1397" i="7" s="1"/>
  <c r="M1455" i="7"/>
  <c r="L1456" i="7"/>
  <c r="N1397" i="7" l="1"/>
  <c r="O1398" i="7" s="1"/>
  <c r="P1397" i="7"/>
  <c r="M1456" i="7"/>
  <c r="L1457" i="7"/>
  <c r="N1398" i="7" l="1"/>
  <c r="O1399" i="7" s="1"/>
  <c r="P1398" i="7"/>
  <c r="M1457" i="7"/>
  <c r="L1458" i="7"/>
  <c r="N1399" i="7" l="1"/>
  <c r="O1400" i="7" s="1"/>
  <c r="P1399" i="7"/>
  <c r="M1458" i="7"/>
  <c r="L1459" i="7"/>
  <c r="P1400" i="7" l="1"/>
  <c r="N1400" i="7"/>
  <c r="O1401" i="7" s="1"/>
  <c r="M1459" i="7"/>
  <c r="L1460" i="7"/>
  <c r="P1401" i="7" l="1"/>
  <c r="N1401" i="7"/>
  <c r="O1402" i="7" s="1"/>
  <c r="M1460" i="7"/>
  <c r="L1461" i="7"/>
  <c r="P1402" i="7" l="1"/>
  <c r="N1402" i="7"/>
  <c r="O1403" i="7" s="1"/>
  <c r="M1461" i="7"/>
  <c r="L1462" i="7"/>
  <c r="N1403" i="7" l="1"/>
  <c r="O1404" i="7" s="1"/>
  <c r="P1403" i="7"/>
  <c r="M1462" i="7"/>
  <c r="L1463" i="7"/>
  <c r="P1404" i="7" l="1"/>
  <c r="N1404" i="7"/>
  <c r="O1405" i="7" s="1"/>
  <c r="M1463" i="7"/>
  <c r="L1464" i="7"/>
  <c r="N1405" i="7" l="1"/>
  <c r="O1406" i="7" s="1"/>
  <c r="P1405" i="7"/>
  <c r="M1464" i="7"/>
  <c r="L1465" i="7"/>
  <c r="P1406" i="7" l="1"/>
  <c r="N1406" i="7"/>
  <c r="O1407" i="7" s="1"/>
  <c r="M1465" i="7"/>
  <c r="L1466" i="7"/>
  <c r="P1407" i="7" l="1"/>
  <c r="N1407" i="7"/>
  <c r="O1408" i="7" s="1"/>
  <c r="M1466" i="7"/>
  <c r="L1467" i="7"/>
  <c r="N1408" i="7" l="1"/>
  <c r="O1409" i="7" s="1"/>
  <c r="P1408" i="7"/>
  <c r="M1467" i="7"/>
  <c r="L1468" i="7"/>
  <c r="N1409" i="7" l="1"/>
  <c r="O1410" i="7" s="1"/>
  <c r="P1409" i="7"/>
  <c r="M1468" i="7"/>
  <c r="L1469" i="7"/>
  <c r="N1410" i="7" l="1"/>
  <c r="O1411" i="7" s="1"/>
  <c r="P1410" i="7"/>
  <c r="M1469" i="7"/>
  <c r="L1470" i="7"/>
  <c r="N1411" i="7" l="1"/>
  <c r="O1412" i="7" s="1"/>
  <c r="P1411" i="7"/>
  <c r="M1470" i="7"/>
  <c r="L1471" i="7"/>
  <c r="N1412" i="7" l="1"/>
  <c r="O1413" i="7" s="1"/>
  <c r="P1412" i="7"/>
  <c r="M1471" i="7"/>
  <c r="L1472" i="7"/>
  <c r="N1413" i="7" l="1"/>
  <c r="O1414" i="7" s="1"/>
  <c r="P1413" i="7"/>
  <c r="M1472" i="7"/>
  <c r="L1473" i="7"/>
  <c r="P1414" i="7" l="1"/>
  <c r="N1414" i="7"/>
  <c r="O1415" i="7" s="1"/>
  <c r="M1473" i="7"/>
  <c r="L1474" i="7"/>
  <c r="P1415" i="7" l="1"/>
  <c r="N1415" i="7"/>
  <c r="O1416" i="7" s="1"/>
  <c r="M1474" i="7"/>
  <c r="L1475" i="7"/>
  <c r="P1416" i="7" l="1"/>
  <c r="N1416" i="7"/>
  <c r="O1417" i="7" s="1"/>
  <c r="M1475" i="7"/>
  <c r="L1476" i="7"/>
  <c r="P1417" i="7" l="1"/>
  <c r="N1417" i="7"/>
  <c r="O1418" i="7" s="1"/>
  <c r="M1476" i="7"/>
  <c r="L1477" i="7"/>
  <c r="P1418" i="7" l="1"/>
  <c r="N1418" i="7"/>
  <c r="O1419" i="7" s="1"/>
  <c r="M1477" i="7"/>
  <c r="L1478" i="7"/>
  <c r="N1419" i="7" l="1"/>
  <c r="O1420" i="7" s="1"/>
  <c r="P1419" i="7"/>
  <c r="M1478" i="7"/>
  <c r="L1479" i="7"/>
  <c r="N1420" i="7" l="1"/>
  <c r="O1421" i="7" s="1"/>
  <c r="P1420" i="7"/>
  <c r="M1479" i="7"/>
  <c r="L1480" i="7"/>
  <c r="P1421" i="7" l="1"/>
  <c r="N1421" i="7"/>
  <c r="O1422" i="7" s="1"/>
  <c r="M1480" i="7"/>
  <c r="L1481" i="7"/>
  <c r="N1422" i="7" l="1"/>
  <c r="O1423" i="7" s="1"/>
  <c r="P1422" i="7"/>
  <c r="M1481" i="7"/>
  <c r="L1482" i="7"/>
  <c r="N1423" i="7" l="1"/>
  <c r="O1424" i="7" s="1"/>
  <c r="P1423" i="7"/>
  <c r="M1482" i="7"/>
  <c r="L1483" i="7"/>
  <c r="N1424" i="7" l="1"/>
  <c r="O1425" i="7" s="1"/>
  <c r="P1424" i="7"/>
  <c r="M1483" i="7"/>
  <c r="L1484" i="7"/>
  <c r="P1425" i="7" l="1"/>
  <c r="N1425" i="7"/>
  <c r="O1426" i="7" s="1"/>
  <c r="M1484" i="7"/>
  <c r="L1485" i="7"/>
  <c r="P1426" i="7" l="1"/>
  <c r="N1426" i="7"/>
  <c r="O1427" i="7" s="1"/>
  <c r="M1485" i="7"/>
  <c r="L1486" i="7"/>
  <c r="P1427" i="7" l="1"/>
  <c r="N1427" i="7"/>
  <c r="O1428" i="7" s="1"/>
  <c r="M1486" i="7"/>
  <c r="L1487" i="7"/>
  <c r="P1428" i="7" l="1"/>
  <c r="N1428" i="7"/>
  <c r="O1429" i="7" s="1"/>
  <c r="M1487" i="7"/>
  <c r="L1488" i="7"/>
  <c r="N1429" i="7" l="1"/>
  <c r="O1430" i="7" s="1"/>
  <c r="P1429" i="7"/>
  <c r="M1488" i="7"/>
  <c r="L1489" i="7"/>
  <c r="N1430" i="7" l="1"/>
  <c r="O1431" i="7" s="1"/>
  <c r="P1430" i="7"/>
  <c r="M1489" i="7"/>
  <c r="L1490" i="7"/>
  <c r="P1431" i="7" l="1"/>
  <c r="N1431" i="7"/>
  <c r="O1432" i="7" s="1"/>
  <c r="M1490" i="7"/>
  <c r="L1491" i="7"/>
  <c r="P1432" i="7" l="1"/>
  <c r="N1432" i="7"/>
  <c r="O1433" i="7" s="1"/>
  <c r="M1491" i="7"/>
  <c r="L1492" i="7"/>
  <c r="N1433" i="7" l="1"/>
  <c r="O1434" i="7" s="1"/>
  <c r="P1433" i="7"/>
  <c r="M1492" i="7"/>
  <c r="L1493" i="7"/>
  <c r="P1434" i="7" l="1"/>
  <c r="N1434" i="7"/>
  <c r="O1435" i="7" s="1"/>
  <c r="M1493" i="7"/>
  <c r="L1494" i="7"/>
  <c r="N1435" i="7" l="1"/>
  <c r="O1436" i="7" s="1"/>
  <c r="P1435" i="7"/>
  <c r="M1494" i="7"/>
  <c r="L1495" i="7"/>
  <c r="P1436" i="7" l="1"/>
  <c r="N1436" i="7"/>
  <c r="O1437" i="7" s="1"/>
  <c r="M1495" i="7"/>
  <c r="L1496" i="7"/>
  <c r="P1437" i="7" l="1"/>
  <c r="N1437" i="7"/>
  <c r="O1438" i="7" s="1"/>
  <c r="M1496" i="7"/>
  <c r="L1497" i="7"/>
  <c r="P1438" i="7" l="1"/>
  <c r="N1438" i="7"/>
  <c r="O1439" i="7" s="1"/>
  <c r="M1497" i="7"/>
  <c r="L1498" i="7"/>
  <c r="N1439" i="7" l="1"/>
  <c r="O1440" i="7" s="1"/>
  <c r="P1439" i="7"/>
  <c r="M1498" i="7"/>
  <c r="L1499" i="7"/>
  <c r="N1440" i="7" l="1"/>
  <c r="O1441" i="7" s="1"/>
  <c r="P1440" i="7"/>
  <c r="M1499" i="7"/>
  <c r="L1500" i="7"/>
  <c r="N1441" i="7" l="1"/>
  <c r="O1442" i="7" s="1"/>
  <c r="P1441" i="7"/>
  <c r="M1500" i="7"/>
  <c r="L1501" i="7"/>
  <c r="N1442" i="7" l="1"/>
  <c r="O1443" i="7" s="1"/>
  <c r="P1442" i="7"/>
  <c r="M1501" i="7"/>
  <c r="L1502" i="7"/>
  <c r="N1443" i="7" l="1"/>
  <c r="O1444" i="7" s="1"/>
  <c r="P1443" i="7"/>
  <c r="M1502" i="7"/>
  <c r="L1503" i="7"/>
  <c r="N1444" i="7" l="1"/>
  <c r="O1445" i="7" s="1"/>
  <c r="P1444" i="7"/>
  <c r="M1503" i="7"/>
  <c r="L1504" i="7"/>
  <c r="P1445" i="7" l="1"/>
  <c r="N1445" i="7"/>
  <c r="O1446" i="7" s="1"/>
  <c r="M1504" i="7"/>
  <c r="L1505" i="7"/>
  <c r="N1446" i="7" l="1"/>
  <c r="O1447" i="7" s="1"/>
  <c r="P1446" i="7"/>
  <c r="M1505" i="7"/>
  <c r="L1506" i="7"/>
  <c r="P1447" i="7" l="1"/>
  <c r="N1447" i="7"/>
  <c r="O1448" i="7" s="1"/>
  <c r="M1506" i="7"/>
  <c r="L1507" i="7"/>
  <c r="P1448" i="7" l="1"/>
  <c r="N1448" i="7"/>
  <c r="O1449" i="7" s="1"/>
  <c r="M1507" i="7"/>
  <c r="L1508" i="7"/>
  <c r="N1449" i="7" l="1"/>
  <c r="O1450" i="7" s="1"/>
  <c r="P1449" i="7"/>
  <c r="M1508" i="7"/>
  <c r="L1509" i="7"/>
  <c r="P1450" i="7" l="1"/>
  <c r="N1450" i="7"/>
  <c r="O1451" i="7" s="1"/>
  <c r="M1509" i="7"/>
  <c r="L1510" i="7"/>
  <c r="N1451" i="7" l="1"/>
  <c r="O1452" i="7" s="1"/>
  <c r="P1451" i="7"/>
  <c r="M1510" i="7"/>
  <c r="L1511" i="7"/>
  <c r="N1452" i="7" l="1"/>
  <c r="O1453" i="7" s="1"/>
  <c r="P1452" i="7"/>
  <c r="M1511" i="7"/>
  <c r="L1512" i="7"/>
  <c r="P1453" i="7" l="1"/>
  <c r="N1453" i="7"/>
  <c r="O1454" i="7" s="1"/>
  <c r="M1512" i="7"/>
  <c r="L1513" i="7"/>
  <c r="P1454" i="7" l="1"/>
  <c r="N1454" i="7"/>
  <c r="O1455" i="7" s="1"/>
  <c r="M1513" i="7"/>
  <c r="L1514" i="7"/>
  <c r="N1455" i="7" l="1"/>
  <c r="O1456" i="7" s="1"/>
  <c r="P1455" i="7"/>
  <c r="M1514" i="7"/>
  <c r="L1515" i="7"/>
  <c r="N1456" i="7" l="1"/>
  <c r="O1457" i="7" s="1"/>
  <c r="P1456" i="7"/>
  <c r="M1515" i="7"/>
  <c r="L1516" i="7"/>
  <c r="P1457" i="7" l="1"/>
  <c r="N1457" i="7"/>
  <c r="O1458" i="7" s="1"/>
  <c r="M1516" i="7"/>
  <c r="L1517" i="7"/>
  <c r="N1458" i="7" l="1"/>
  <c r="O1459" i="7" s="1"/>
  <c r="P1458" i="7"/>
  <c r="M1517" i="7"/>
  <c r="L1518" i="7"/>
  <c r="P1459" i="7" l="1"/>
  <c r="N1459" i="7"/>
  <c r="O1460" i="7" s="1"/>
  <c r="M1518" i="7"/>
  <c r="L1519" i="7"/>
  <c r="P1460" i="7" l="1"/>
  <c r="N1460" i="7"/>
  <c r="O1461" i="7" s="1"/>
  <c r="M1519" i="7"/>
  <c r="L1520" i="7"/>
  <c r="N1461" i="7" l="1"/>
  <c r="O1462" i="7" s="1"/>
  <c r="P1461" i="7"/>
  <c r="M1520" i="7"/>
  <c r="L1521" i="7"/>
  <c r="N1462" i="7" l="1"/>
  <c r="O1463" i="7" s="1"/>
  <c r="P1462" i="7"/>
  <c r="M1521" i="7"/>
  <c r="L1522" i="7"/>
  <c r="P1463" i="7" l="1"/>
  <c r="N1463" i="7"/>
  <c r="O1464" i="7" s="1"/>
  <c r="M1522" i="7"/>
  <c r="L1523" i="7"/>
  <c r="P1464" i="7" l="1"/>
  <c r="N1464" i="7"/>
  <c r="O1465" i="7" s="1"/>
  <c r="M1523" i="7"/>
  <c r="L1524" i="7"/>
  <c r="P1465" i="7" l="1"/>
  <c r="N1465" i="7"/>
  <c r="O1466" i="7" s="1"/>
  <c r="M1524" i="7"/>
  <c r="L1525" i="7"/>
  <c r="N1466" i="7" l="1"/>
  <c r="O1467" i="7" s="1"/>
  <c r="P1466" i="7"/>
  <c r="M1525" i="7"/>
  <c r="L1526" i="7"/>
  <c r="P1467" i="7" l="1"/>
  <c r="N1467" i="7"/>
  <c r="O1468" i="7" s="1"/>
  <c r="M1526" i="7"/>
  <c r="L1527" i="7"/>
  <c r="N1468" i="7" l="1"/>
  <c r="O1469" i="7" s="1"/>
  <c r="P1468" i="7"/>
  <c r="M1527" i="7"/>
  <c r="L1528" i="7"/>
  <c r="N1469" i="7" l="1"/>
  <c r="O1470" i="7" s="1"/>
  <c r="P1469" i="7"/>
  <c r="M1528" i="7"/>
  <c r="L1529" i="7"/>
  <c r="P1470" i="7" l="1"/>
  <c r="N1470" i="7"/>
  <c r="O1471" i="7" s="1"/>
  <c r="M1529" i="7"/>
  <c r="L1530" i="7"/>
  <c r="N1471" i="7" l="1"/>
  <c r="O1472" i="7" s="1"/>
  <c r="P1471" i="7"/>
  <c r="M1530" i="7"/>
  <c r="L1531" i="7"/>
  <c r="P1472" i="7" l="1"/>
  <c r="N1472" i="7"/>
  <c r="O1473" i="7" s="1"/>
  <c r="M1531" i="7"/>
  <c r="L1532" i="7"/>
  <c r="P1473" i="7" l="1"/>
  <c r="N1473" i="7"/>
  <c r="O1474" i="7" s="1"/>
  <c r="M1532" i="7"/>
  <c r="L1533" i="7"/>
  <c r="P1474" i="7" l="1"/>
  <c r="N1474" i="7"/>
  <c r="O1475" i="7" s="1"/>
  <c r="M1533" i="7"/>
  <c r="L1534" i="7"/>
  <c r="P1475" i="7" l="1"/>
  <c r="N1475" i="7"/>
  <c r="O1476" i="7" s="1"/>
  <c r="M1534" i="7"/>
  <c r="L1535" i="7"/>
  <c r="N1476" i="7" l="1"/>
  <c r="O1477" i="7" s="1"/>
  <c r="P1476" i="7"/>
  <c r="M1535" i="7"/>
  <c r="L1536" i="7"/>
  <c r="N1477" i="7" l="1"/>
  <c r="O1478" i="7" s="1"/>
  <c r="P1477" i="7"/>
  <c r="M1536" i="7"/>
  <c r="L1537" i="7"/>
  <c r="N1478" i="7" l="1"/>
  <c r="O1479" i="7" s="1"/>
  <c r="P1478" i="7"/>
  <c r="M1537" i="7"/>
  <c r="L1538" i="7"/>
  <c r="P1479" i="7" l="1"/>
  <c r="N1479" i="7"/>
  <c r="O1480" i="7" s="1"/>
  <c r="M1538" i="7"/>
  <c r="L1539" i="7"/>
  <c r="P1480" i="7" l="1"/>
  <c r="N1480" i="7"/>
  <c r="O1481" i="7" s="1"/>
  <c r="M1539" i="7"/>
  <c r="L1540" i="7"/>
  <c r="P1481" i="7" l="1"/>
  <c r="N1481" i="7"/>
  <c r="O1482" i="7" s="1"/>
  <c r="M1540" i="7"/>
  <c r="L1541" i="7"/>
  <c r="N1482" i="7" l="1"/>
  <c r="O1483" i="7" s="1"/>
  <c r="P1482" i="7"/>
  <c r="M1541" i="7"/>
  <c r="L1542" i="7"/>
  <c r="N1483" i="7" l="1"/>
  <c r="O1484" i="7" s="1"/>
  <c r="P1483" i="7"/>
  <c r="M1542" i="7"/>
  <c r="L1543" i="7"/>
  <c r="P1484" i="7" l="1"/>
  <c r="N1484" i="7"/>
  <c r="O1485" i="7" s="1"/>
  <c r="M1543" i="7"/>
  <c r="L1544" i="7"/>
  <c r="P1485" i="7" l="1"/>
  <c r="N1485" i="7"/>
  <c r="O1486" i="7" s="1"/>
  <c r="M1544" i="7"/>
  <c r="L1545" i="7"/>
  <c r="P1486" i="7" l="1"/>
  <c r="N1486" i="7"/>
  <c r="O1487" i="7" s="1"/>
  <c r="M1545" i="7"/>
  <c r="L1546" i="7"/>
  <c r="P1487" i="7" l="1"/>
  <c r="N1487" i="7"/>
  <c r="O1488" i="7" s="1"/>
  <c r="M1546" i="7"/>
  <c r="L1547" i="7"/>
  <c r="N1488" i="7" l="1"/>
  <c r="O1489" i="7" s="1"/>
  <c r="P1488" i="7"/>
  <c r="M1547" i="7"/>
  <c r="L1548" i="7"/>
  <c r="N1489" i="7" l="1"/>
  <c r="O1490" i="7" s="1"/>
  <c r="P1489" i="7"/>
  <c r="M1548" i="7"/>
  <c r="L1549" i="7"/>
  <c r="N1490" i="7" l="1"/>
  <c r="O1491" i="7" s="1"/>
  <c r="P1490" i="7"/>
  <c r="M1549" i="7"/>
  <c r="L1550" i="7"/>
  <c r="N1491" i="7" l="1"/>
  <c r="O1492" i="7" s="1"/>
  <c r="P1491" i="7"/>
  <c r="M1550" i="7"/>
  <c r="L1551" i="7"/>
  <c r="P1492" i="7" l="1"/>
  <c r="N1492" i="7"/>
  <c r="O1493" i="7" s="1"/>
  <c r="M1551" i="7"/>
  <c r="L1552" i="7"/>
  <c r="N1493" i="7" l="1"/>
  <c r="O1494" i="7" s="1"/>
  <c r="P1493" i="7"/>
  <c r="M1552" i="7"/>
  <c r="L1553" i="7"/>
  <c r="N1494" i="7" l="1"/>
  <c r="O1495" i="7" s="1"/>
  <c r="P1494" i="7"/>
  <c r="M1553" i="7"/>
  <c r="L1554" i="7"/>
  <c r="N1495" i="7" l="1"/>
  <c r="O1496" i="7" s="1"/>
  <c r="P1495" i="7"/>
  <c r="M1554" i="7"/>
  <c r="L1555" i="7"/>
  <c r="P1496" i="7" l="1"/>
  <c r="N1496" i="7"/>
  <c r="O1497" i="7" s="1"/>
  <c r="M1555" i="7"/>
  <c r="L1556" i="7"/>
  <c r="P1497" i="7" l="1"/>
  <c r="N1497" i="7"/>
  <c r="O1498" i="7" s="1"/>
  <c r="M1556" i="7"/>
  <c r="L1557" i="7"/>
  <c r="P1498" i="7" l="1"/>
  <c r="N1498" i="7"/>
  <c r="O1499" i="7" s="1"/>
  <c r="M1557" i="7"/>
  <c r="L1558" i="7"/>
  <c r="P1499" i="7" l="1"/>
  <c r="N1499" i="7"/>
  <c r="O1500" i="7" s="1"/>
  <c r="M1558" i="7"/>
  <c r="L1559" i="7"/>
  <c r="P1500" i="7" l="1"/>
  <c r="N1500" i="7"/>
  <c r="O1501" i="7" s="1"/>
  <c r="M1559" i="7"/>
  <c r="L1560" i="7"/>
  <c r="N1501" i="7" l="1"/>
  <c r="O1502" i="7" s="1"/>
  <c r="P1501" i="7"/>
  <c r="M1560" i="7"/>
  <c r="L1561" i="7"/>
  <c r="N1502" i="7" l="1"/>
  <c r="O1503" i="7" s="1"/>
  <c r="P1502" i="7"/>
  <c r="M1561" i="7"/>
  <c r="L1562" i="7"/>
  <c r="P1503" i="7" l="1"/>
  <c r="N1503" i="7"/>
  <c r="O1504" i="7" s="1"/>
  <c r="M1562" i="7"/>
  <c r="L1563" i="7"/>
  <c r="P1504" i="7" l="1"/>
  <c r="N1504" i="7"/>
  <c r="O1505" i="7" s="1"/>
  <c r="M1563" i="7"/>
  <c r="L1564" i="7"/>
  <c r="N1505" i="7" l="1"/>
  <c r="O1506" i="7" s="1"/>
  <c r="P1505" i="7"/>
  <c r="M1564" i="7"/>
  <c r="L1565" i="7"/>
  <c r="N1506" i="7" l="1"/>
  <c r="O1507" i="7" s="1"/>
  <c r="P1506" i="7"/>
  <c r="M1565" i="7"/>
  <c r="L1566" i="7"/>
  <c r="N1507" i="7" l="1"/>
  <c r="O1508" i="7" s="1"/>
  <c r="P1507" i="7"/>
  <c r="M1566" i="7"/>
  <c r="L1567" i="7"/>
  <c r="P1508" i="7" l="1"/>
  <c r="N1508" i="7"/>
  <c r="O1509" i="7" s="1"/>
  <c r="M1567" i="7"/>
  <c r="L1568" i="7"/>
  <c r="N1509" i="7" l="1"/>
  <c r="O1510" i="7" s="1"/>
  <c r="P1509" i="7"/>
  <c r="M1568" i="7"/>
  <c r="L1569" i="7"/>
  <c r="N1510" i="7" l="1"/>
  <c r="O1511" i="7" s="1"/>
  <c r="P1510" i="7"/>
  <c r="M1569" i="7"/>
  <c r="L1570" i="7"/>
  <c r="P1511" i="7" l="1"/>
  <c r="N1511" i="7"/>
  <c r="O1512" i="7" s="1"/>
  <c r="M1570" i="7"/>
  <c r="L1571" i="7"/>
  <c r="N1512" i="7" l="1"/>
  <c r="O1513" i="7" s="1"/>
  <c r="P1512" i="7"/>
  <c r="M1571" i="7"/>
  <c r="L1572" i="7"/>
  <c r="N1513" i="7" l="1"/>
  <c r="O1514" i="7" s="1"/>
  <c r="P1513" i="7"/>
  <c r="M1572" i="7"/>
  <c r="L1573" i="7"/>
  <c r="P1514" i="7" l="1"/>
  <c r="N1514" i="7"/>
  <c r="O1515" i="7" s="1"/>
  <c r="M1573" i="7"/>
  <c r="L1574" i="7"/>
  <c r="N1515" i="7" l="1"/>
  <c r="O1516" i="7" s="1"/>
  <c r="P1515" i="7"/>
  <c r="M1574" i="7"/>
  <c r="L1575" i="7"/>
  <c r="N1516" i="7" l="1"/>
  <c r="O1517" i="7" s="1"/>
  <c r="P1516" i="7"/>
  <c r="M1575" i="7"/>
  <c r="L1576" i="7"/>
  <c r="P1517" i="7" l="1"/>
  <c r="N1517" i="7"/>
  <c r="O1518" i="7" s="1"/>
  <c r="M1576" i="7"/>
  <c r="L1577" i="7"/>
  <c r="N1518" i="7" l="1"/>
  <c r="O1519" i="7" s="1"/>
  <c r="P1518" i="7"/>
  <c r="M1577" i="7"/>
  <c r="L1578" i="7"/>
  <c r="N1519" i="7" l="1"/>
  <c r="O1520" i="7" s="1"/>
  <c r="P1519" i="7"/>
  <c r="M1578" i="7"/>
  <c r="L1579" i="7"/>
  <c r="N1520" i="7" l="1"/>
  <c r="O1521" i="7" s="1"/>
  <c r="P1520" i="7"/>
  <c r="M1579" i="7"/>
  <c r="L1580" i="7"/>
  <c r="P1521" i="7" l="1"/>
  <c r="N1521" i="7"/>
  <c r="O1522" i="7" s="1"/>
  <c r="M1580" i="7"/>
  <c r="L1581" i="7"/>
  <c r="P1522" i="7" l="1"/>
  <c r="N1522" i="7"/>
  <c r="O1523" i="7" s="1"/>
  <c r="M1581" i="7"/>
  <c r="L1582" i="7"/>
  <c r="P1523" i="7" l="1"/>
  <c r="N1523" i="7"/>
  <c r="O1524" i="7" s="1"/>
  <c r="M1582" i="7"/>
  <c r="L1583" i="7"/>
  <c r="P1524" i="7" l="1"/>
  <c r="N1524" i="7"/>
  <c r="O1525" i="7" s="1"/>
  <c r="M1583" i="7"/>
  <c r="L1584" i="7"/>
  <c r="P1525" i="7" l="1"/>
  <c r="N1525" i="7"/>
  <c r="O1526" i="7" s="1"/>
  <c r="M1584" i="7"/>
  <c r="L1585" i="7"/>
  <c r="P1526" i="7" l="1"/>
  <c r="N1526" i="7"/>
  <c r="O1527" i="7" s="1"/>
  <c r="M1585" i="7"/>
  <c r="L1586" i="7"/>
  <c r="P1527" i="7" l="1"/>
  <c r="N1527" i="7"/>
  <c r="O1528" i="7" s="1"/>
  <c r="M1586" i="7"/>
  <c r="L1587" i="7"/>
  <c r="P1528" i="7" l="1"/>
  <c r="N1528" i="7"/>
  <c r="O1529" i="7" s="1"/>
  <c r="M1587" i="7"/>
  <c r="L1588" i="7"/>
  <c r="P1529" i="7" l="1"/>
  <c r="N1529" i="7"/>
  <c r="O1530" i="7" s="1"/>
  <c r="M1588" i="7"/>
  <c r="L1589" i="7"/>
  <c r="N1530" i="7" l="1"/>
  <c r="O1531" i="7" s="1"/>
  <c r="P1530" i="7"/>
  <c r="M1589" i="7"/>
  <c r="L1590" i="7"/>
  <c r="N1531" i="7" l="1"/>
  <c r="O1532" i="7" s="1"/>
  <c r="P1531" i="7"/>
  <c r="M1590" i="7"/>
  <c r="L1591" i="7"/>
  <c r="N1532" i="7" l="1"/>
  <c r="O1533" i="7" s="1"/>
  <c r="P1532" i="7"/>
  <c r="M1591" i="7"/>
  <c r="L1592" i="7"/>
  <c r="P1533" i="7" l="1"/>
  <c r="N1533" i="7"/>
  <c r="O1534" i="7" s="1"/>
  <c r="M1592" i="7"/>
  <c r="L1593" i="7"/>
  <c r="N1534" i="7" l="1"/>
  <c r="O1535" i="7" s="1"/>
  <c r="P1534" i="7"/>
  <c r="M1593" i="7"/>
  <c r="L1594" i="7"/>
  <c r="N1535" i="7" l="1"/>
  <c r="O1536" i="7" s="1"/>
  <c r="P1535" i="7"/>
  <c r="M1594" i="7"/>
  <c r="L1595" i="7"/>
  <c r="P1536" i="7" l="1"/>
  <c r="N1536" i="7"/>
  <c r="O1537" i="7" s="1"/>
  <c r="M1595" i="7"/>
  <c r="L1596" i="7"/>
  <c r="N1537" i="7" l="1"/>
  <c r="O1538" i="7" s="1"/>
  <c r="P1537" i="7"/>
  <c r="M1596" i="7"/>
  <c r="L1597" i="7"/>
  <c r="P1538" i="7" l="1"/>
  <c r="N1538" i="7"/>
  <c r="O1539" i="7" s="1"/>
  <c r="M1597" i="7"/>
  <c r="L1598" i="7"/>
  <c r="P1539" i="7" l="1"/>
  <c r="N1539" i="7"/>
  <c r="O1540" i="7" s="1"/>
  <c r="M1598" i="7"/>
  <c r="L1599" i="7"/>
  <c r="P1540" i="7" l="1"/>
  <c r="N1540" i="7"/>
  <c r="O1541" i="7" s="1"/>
  <c r="M1599" i="7"/>
  <c r="L1600" i="7"/>
  <c r="P1541" i="7" l="1"/>
  <c r="N1541" i="7"/>
  <c r="O1542" i="7" s="1"/>
  <c r="M1600" i="7"/>
  <c r="L1601" i="7"/>
  <c r="N1542" i="7" l="1"/>
  <c r="O1543" i="7" s="1"/>
  <c r="P1542" i="7"/>
  <c r="M1601" i="7"/>
  <c r="L1602" i="7"/>
  <c r="N1543" i="7" l="1"/>
  <c r="O1544" i="7" s="1"/>
  <c r="P1543" i="7"/>
  <c r="M1602" i="7"/>
  <c r="L1603" i="7"/>
  <c r="N1544" i="7" l="1"/>
  <c r="O1545" i="7" s="1"/>
  <c r="P1544" i="7"/>
  <c r="M1603" i="7"/>
  <c r="L1604" i="7"/>
  <c r="N1545" i="7" l="1"/>
  <c r="O1546" i="7" s="1"/>
  <c r="P1545" i="7"/>
  <c r="M1604" i="7"/>
  <c r="L1605" i="7"/>
  <c r="P1546" i="7" l="1"/>
  <c r="N1546" i="7"/>
  <c r="O1547" i="7" s="1"/>
  <c r="M1605" i="7"/>
  <c r="L1606" i="7"/>
  <c r="P1547" i="7" l="1"/>
  <c r="N1547" i="7"/>
  <c r="O1548" i="7" s="1"/>
  <c r="M1606" i="7"/>
  <c r="L1607" i="7"/>
  <c r="P1548" i="7" l="1"/>
  <c r="N1548" i="7"/>
  <c r="O1549" i="7" s="1"/>
  <c r="M1607" i="7"/>
  <c r="L1608" i="7"/>
  <c r="N1549" i="7" l="1"/>
  <c r="O1550" i="7" s="1"/>
  <c r="P1549" i="7"/>
  <c r="M1608" i="7"/>
  <c r="L1609" i="7"/>
  <c r="N1550" i="7" l="1"/>
  <c r="O1551" i="7" s="1"/>
  <c r="P1550" i="7"/>
  <c r="M1609" i="7"/>
  <c r="L1610" i="7"/>
  <c r="P1551" i="7" l="1"/>
  <c r="N1551" i="7"/>
  <c r="O1552" i="7" s="1"/>
  <c r="M1610" i="7"/>
  <c r="L1611" i="7"/>
  <c r="P1552" i="7" l="1"/>
  <c r="N1552" i="7"/>
  <c r="O1553" i="7" s="1"/>
  <c r="M1611" i="7"/>
  <c r="L1612" i="7"/>
  <c r="P1553" i="7" l="1"/>
  <c r="N1553" i="7"/>
  <c r="O1554" i="7" s="1"/>
  <c r="M1612" i="7"/>
  <c r="L1613" i="7"/>
  <c r="P1554" i="7" l="1"/>
  <c r="N1554" i="7"/>
  <c r="O1555" i="7" s="1"/>
  <c r="M1613" i="7"/>
  <c r="L1614" i="7"/>
  <c r="N1555" i="7" l="1"/>
  <c r="O1556" i="7" s="1"/>
  <c r="P1555" i="7"/>
  <c r="M1614" i="7"/>
  <c r="L1615" i="7"/>
  <c r="N1556" i="7" l="1"/>
  <c r="O1557" i="7" s="1"/>
  <c r="P1556" i="7"/>
  <c r="M1615" i="7"/>
  <c r="L1616" i="7"/>
  <c r="P1557" i="7" l="1"/>
  <c r="N1557" i="7"/>
  <c r="O1558" i="7" s="1"/>
  <c r="M1616" i="7"/>
  <c r="L1617" i="7"/>
  <c r="P1558" i="7" l="1"/>
  <c r="N1558" i="7"/>
  <c r="O1559" i="7" s="1"/>
  <c r="M1617" i="7"/>
  <c r="L1618" i="7"/>
  <c r="N1559" i="7" l="1"/>
  <c r="O1560" i="7" s="1"/>
  <c r="P1559" i="7"/>
  <c r="M1618" i="7"/>
  <c r="L1619" i="7"/>
  <c r="N1560" i="7" l="1"/>
  <c r="O1561" i="7" s="1"/>
  <c r="P1560" i="7"/>
  <c r="M1619" i="7"/>
  <c r="L1620" i="7"/>
  <c r="P1561" i="7" l="1"/>
  <c r="N1561" i="7"/>
  <c r="O1562" i="7" s="1"/>
  <c r="M1620" i="7"/>
  <c r="L1621" i="7"/>
  <c r="N1562" i="7" l="1"/>
  <c r="O1563" i="7" s="1"/>
  <c r="P1562" i="7"/>
  <c r="M1621" i="7"/>
  <c r="L1622" i="7"/>
  <c r="P1563" i="7" l="1"/>
  <c r="N1563" i="7"/>
  <c r="O1564" i="7" s="1"/>
  <c r="M1622" i="7"/>
  <c r="L1623" i="7"/>
  <c r="N1564" i="7" l="1"/>
  <c r="O1565" i="7" s="1"/>
  <c r="P1564" i="7"/>
  <c r="M1623" i="7"/>
  <c r="L1624" i="7"/>
  <c r="P1565" i="7" l="1"/>
  <c r="N1565" i="7"/>
  <c r="O1566" i="7" s="1"/>
  <c r="M1624" i="7"/>
  <c r="L1625" i="7"/>
  <c r="N1566" i="7" l="1"/>
  <c r="O1567" i="7" s="1"/>
  <c r="P1566" i="7"/>
  <c r="M1625" i="7"/>
  <c r="L1626" i="7"/>
  <c r="N1567" i="7" l="1"/>
  <c r="O1568" i="7" s="1"/>
  <c r="P1567" i="7"/>
  <c r="M1626" i="7"/>
  <c r="L1627" i="7"/>
  <c r="N1568" i="7" l="1"/>
  <c r="O1569" i="7" s="1"/>
  <c r="P1568" i="7"/>
  <c r="M1627" i="7"/>
  <c r="L1628" i="7"/>
  <c r="N1569" i="7" l="1"/>
  <c r="O1570" i="7" s="1"/>
  <c r="P1569" i="7"/>
  <c r="M1628" i="7"/>
  <c r="L1629" i="7"/>
  <c r="N1570" i="7" l="1"/>
  <c r="O1571" i="7" s="1"/>
  <c r="P1570" i="7"/>
  <c r="M1629" i="7"/>
  <c r="L1630" i="7"/>
  <c r="P1571" i="7" l="1"/>
  <c r="N1571" i="7"/>
  <c r="O1572" i="7" s="1"/>
  <c r="M1630" i="7"/>
  <c r="L1631" i="7"/>
  <c r="P1572" i="7" l="1"/>
  <c r="N1572" i="7"/>
  <c r="O1573" i="7" s="1"/>
  <c r="M1631" i="7"/>
  <c r="L1632" i="7"/>
  <c r="P1573" i="7" l="1"/>
  <c r="N1573" i="7"/>
  <c r="O1574" i="7" s="1"/>
  <c r="M1632" i="7"/>
  <c r="L1633" i="7"/>
  <c r="N1574" i="7" l="1"/>
  <c r="O1575" i="7" s="1"/>
  <c r="P1574" i="7"/>
  <c r="M1633" i="7"/>
  <c r="L1634" i="7"/>
  <c r="N1575" i="7" l="1"/>
  <c r="O1576" i="7" s="1"/>
  <c r="P1575" i="7"/>
  <c r="M1634" i="7"/>
  <c r="L1635" i="7"/>
  <c r="P1576" i="7" l="1"/>
  <c r="N1576" i="7"/>
  <c r="O1577" i="7" s="1"/>
  <c r="M1635" i="7"/>
  <c r="L1636" i="7"/>
  <c r="N1577" i="7" l="1"/>
  <c r="O1578" i="7" s="1"/>
  <c r="P1577" i="7"/>
  <c r="M1636" i="7"/>
  <c r="L1637" i="7"/>
  <c r="P1578" i="7" l="1"/>
  <c r="N1578" i="7"/>
  <c r="O1579" i="7" s="1"/>
  <c r="M1637" i="7"/>
  <c r="L1638" i="7"/>
  <c r="N1579" i="7" l="1"/>
  <c r="O1580" i="7" s="1"/>
  <c r="P1579" i="7"/>
  <c r="M1638" i="7"/>
  <c r="L1639" i="7"/>
  <c r="N1580" i="7" l="1"/>
  <c r="O1581" i="7" s="1"/>
  <c r="P1580" i="7"/>
  <c r="M1639" i="7"/>
  <c r="L1640" i="7"/>
  <c r="P1581" i="7" l="1"/>
  <c r="N1581" i="7"/>
  <c r="O1582" i="7" s="1"/>
  <c r="M1640" i="7"/>
  <c r="L1641" i="7"/>
  <c r="N1582" i="7" l="1"/>
  <c r="O1583" i="7" s="1"/>
  <c r="P1582" i="7"/>
  <c r="M1641" i="7"/>
  <c r="L1642" i="7"/>
  <c r="P1583" i="7" l="1"/>
  <c r="N1583" i="7"/>
  <c r="O1584" i="7" s="1"/>
  <c r="M1642" i="7"/>
  <c r="L1643" i="7"/>
  <c r="P1584" i="7" l="1"/>
  <c r="N1584" i="7"/>
  <c r="O1585" i="7" s="1"/>
  <c r="M1643" i="7"/>
  <c r="L1644" i="7"/>
  <c r="P1585" i="7" l="1"/>
  <c r="N1585" i="7"/>
  <c r="O1586" i="7" s="1"/>
  <c r="M1644" i="7"/>
  <c r="L1645" i="7"/>
  <c r="N1586" i="7" l="1"/>
  <c r="O1587" i="7" s="1"/>
  <c r="P1586" i="7"/>
  <c r="M1645" i="7"/>
  <c r="L1646" i="7"/>
  <c r="N1587" i="7" l="1"/>
  <c r="O1588" i="7" s="1"/>
  <c r="P1587" i="7"/>
  <c r="M1646" i="7"/>
  <c r="L1647" i="7"/>
  <c r="N1588" i="7" l="1"/>
  <c r="O1589" i="7" s="1"/>
  <c r="P1588" i="7"/>
  <c r="M1647" i="7"/>
  <c r="L1648" i="7"/>
  <c r="N1589" i="7" l="1"/>
  <c r="O1590" i="7" s="1"/>
  <c r="P1589" i="7"/>
  <c r="M1648" i="7"/>
  <c r="L1649" i="7"/>
  <c r="N1590" i="7" l="1"/>
  <c r="O1591" i="7" s="1"/>
  <c r="P1590" i="7"/>
  <c r="M1649" i="7"/>
  <c r="L1650" i="7"/>
  <c r="N1591" i="7" l="1"/>
  <c r="O1592" i="7" s="1"/>
  <c r="P1591" i="7"/>
  <c r="M1650" i="7"/>
  <c r="L1651" i="7"/>
  <c r="P1592" i="7" l="1"/>
  <c r="N1592" i="7"/>
  <c r="O1593" i="7" s="1"/>
  <c r="M1651" i="7"/>
  <c r="L1652" i="7"/>
  <c r="P1593" i="7" l="1"/>
  <c r="N1593" i="7"/>
  <c r="O1594" i="7" s="1"/>
  <c r="M1652" i="7"/>
  <c r="L1653" i="7"/>
  <c r="N1594" i="7" l="1"/>
  <c r="O1595" i="7" s="1"/>
  <c r="P1594" i="7"/>
  <c r="M1653" i="7"/>
  <c r="L1654" i="7"/>
  <c r="P1595" i="7" l="1"/>
  <c r="N1595" i="7"/>
  <c r="O1596" i="7" s="1"/>
  <c r="M1654" i="7"/>
  <c r="L1655" i="7"/>
  <c r="N1596" i="7" l="1"/>
  <c r="O1597" i="7" s="1"/>
  <c r="P1596" i="7"/>
  <c r="M1655" i="7"/>
  <c r="L1656" i="7"/>
  <c r="N1597" i="7" l="1"/>
  <c r="O1598" i="7" s="1"/>
  <c r="P1597" i="7"/>
  <c r="M1656" i="7"/>
  <c r="L1657" i="7"/>
  <c r="P1598" i="7" l="1"/>
  <c r="N1598" i="7"/>
  <c r="O1599" i="7" s="1"/>
  <c r="M1657" i="7"/>
  <c r="L1658" i="7"/>
  <c r="N1599" i="7" l="1"/>
  <c r="O1600" i="7" s="1"/>
  <c r="P1599" i="7"/>
  <c r="M1658" i="7"/>
  <c r="L1659" i="7"/>
  <c r="N1600" i="7" l="1"/>
  <c r="O1601" i="7" s="1"/>
  <c r="P1600" i="7"/>
  <c r="M1659" i="7"/>
  <c r="L1660" i="7"/>
  <c r="N1601" i="7" l="1"/>
  <c r="O1602" i="7" s="1"/>
  <c r="P1601" i="7"/>
  <c r="M1660" i="7"/>
  <c r="L1661" i="7"/>
  <c r="N1602" i="7" l="1"/>
  <c r="O1603" i="7" s="1"/>
  <c r="P1602" i="7"/>
  <c r="M1661" i="7"/>
  <c r="L1662" i="7"/>
  <c r="N1603" i="7" l="1"/>
  <c r="O1604" i="7" s="1"/>
  <c r="P1603" i="7"/>
  <c r="M1662" i="7"/>
  <c r="L1663" i="7"/>
  <c r="N1604" i="7" l="1"/>
  <c r="O1605" i="7" s="1"/>
  <c r="P1604" i="7"/>
  <c r="M1663" i="7"/>
  <c r="L1664" i="7"/>
  <c r="N1605" i="7" l="1"/>
  <c r="O1606" i="7" s="1"/>
  <c r="P1605" i="7"/>
  <c r="M1664" i="7"/>
  <c r="L1665" i="7"/>
  <c r="P1606" i="7" l="1"/>
  <c r="N1606" i="7"/>
  <c r="O1607" i="7" s="1"/>
  <c r="M1665" i="7"/>
  <c r="L1666" i="7"/>
  <c r="P1607" i="7" l="1"/>
  <c r="N1607" i="7"/>
  <c r="O1608" i="7" s="1"/>
  <c r="M1666" i="7"/>
  <c r="L1667" i="7"/>
  <c r="P1608" i="7" l="1"/>
  <c r="N1608" i="7"/>
  <c r="O1609" i="7" s="1"/>
  <c r="M1667" i="7"/>
  <c r="L1668" i="7"/>
  <c r="N1609" i="7" l="1"/>
  <c r="O1610" i="7" s="1"/>
  <c r="P1609" i="7"/>
  <c r="M1668" i="7"/>
  <c r="L1669" i="7"/>
  <c r="P1610" i="7" l="1"/>
  <c r="N1610" i="7"/>
  <c r="O1611" i="7" s="1"/>
  <c r="M1669" i="7"/>
  <c r="L1670" i="7"/>
  <c r="N1611" i="7" l="1"/>
  <c r="O1612" i="7" s="1"/>
  <c r="P1611" i="7"/>
  <c r="M1670" i="7"/>
  <c r="L1671" i="7"/>
  <c r="P1612" i="7" l="1"/>
  <c r="N1612" i="7"/>
  <c r="O1613" i="7" s="1"/>
  <c r="M1671" i="7"/>
  <c r="L1672" i="7"/>
  <c r="P1613" i="7" l="1"/>
  <c r="N1613" i="7"/>
  <c r="O1614" i="7" s="1"/>
  <c r="M1672" i="7"/>
  <c r="L1673" i="7"/>
  <c r="P1614" i="7" l="1"/>
  <c r="N1614" i="7"/>
  <c r="O1615" i="7" s="1"/>
  <c r="M1673" i="7"/>
  <c r="L1674" i="7"/>
  <c r="N1615" i="7" l="1"/>
  <c r="O1616" i="7" s="1"/>
  <c r="P1615" i="7"/>
  <c r="M1674" i="7"/>
  <c r="L1675" i="7"/>
  <c r="N1616" i="7" l="1"/>
  <c r="O1617" i="7" s="1"/>
  <c r="P1616" i="7"/>
  <c r="M1675" i="7"/>
  <c r="L1676" i="7"/>
  <c r="P1617" i="7" l="1"/>
  <c r="N1617" i="7"/>
  <c r="O1618" i="7" s="1"/>
  <c r="M1676" i="7"/>
  <c r="L1677" i="7"/>
  <c r="N1618" i="7" l="1"/>
  <c r="O1619" i="7" s="1"/>
  <c r="P1618" i="7"/>
  <c r="M1677" i="7"/>
  <c r="L1678" i="7"/>
  <c r="P1619" i="7" l="1"/>
  <c r="N1619" i="7"/>
  <c r="O1620" i="7" s="1"/>
  <c r="M1678" i="7"/>
  <c r="L1679" i="7"/>
  <c r="N1620" i="7" l="1"/>
  <c r="O1621" i="7" s="1"/>
  <c r="P1620" i="7"/>
  <c r="M1679" i="7"/>
  <c r="L1680" i="7"/>
  <c r="P1621" i="7" l="1"/>
  <c r="N1621" i="7"/>
  <c r="O1622" i="7" s="1"/>
  <c r="M1680" i="7"/>
  <c r="L1681" i="7"/>
  <c r="P1622" i="7" l="1"/>
  <c r="N1622" i="7"/>
  <c r="O1623" i="7" s="1"/>
  <c r="M1681" i="7"/>
  <c r="L1682" i="7"/>
  <c r="N1623" i="7" l="1"/>
  <c r="O1624" i="7" s="1"/>
  <c r="P1623" i="7"/>
  <c r="M1682" i="7"/>
  <c r="L1683" i="7"/>
  <c r="N1624" i="7" l="1"/>
  <c r="O1625" i="7" s="1"/>
  <c r="P1624" i="7"/>
  <c r="M1683" i="7"/>
  <c r="L1684" i="7"/>
  <c r="N1625" i="7" l="1"/>
  <c r="O1626" i="7" s="1"/>
  <c r="P1625" i="7"/>
  <c r="M1684" i="7"/>
  <c r="L1685" i="7"/>
  <c r="N1626" i="7" l="1"/>
  <c r="O1627" i="7" s="1"/>
  <c r="P1626" i="7"/>
  <c r="M1685" i="7"/>
  <c r="L1686" i="7"/>
  <c r="N1627" i="7" l="1"/>
  <c r="O1628" i="7" s="1"/>
  <c r="P1627" i="7"/>
  <c r="M1686" i="7"/>
  <c r="L1687" i="7"/>
  <c r="P1628" i="7" l="1"/>
  <c r="N1628" i="7"/>
  <c r="O1629" i="7" s="1"/>
  <c r="M1687" i="7"/>
  <c r="L1688" i="7"/>
  <c r="P1629" i="7" l="1"/>
  <c r="N1629" i="7"/>
  <c r="O1630" i="7" s="1"/>
  <c r="M1688" i="7"/>
  <c r="L1689" i="7"/>
  <c r="N1630" i="7" l="1"/>
  <c r="O1631" i="7" s="1"/>
  <c r="P1630" i="7"/>
  <c r="M1689" i="7"/>
  <c r="L1690" i="7"/>
  <c r="N1631" i="7" l="1"/>
  <c r="O1632" i="7" s="1"/>
  <c r="P1631" i="7"/>
  <c r="M1690" i="7"/>
  <c r="L1691" i="7"/>
  <c r="P1632" i="7" l="1"/>
  <c r="N1632" i="7"/>
  <c r="O1633" i="7" s="1"/>
  <c r="M1691" i="7"/>
  <c r="L1692" i="7"/>
  <c r="P1633" i="7" l="1"/>
  <c r="N1633" i="7"/>
  <c r="O1634" i="7" s="1"/>
  <c r="M1692" i="7"/>
  <c r="L1693" i="7"/>
  <c r="P1634" i="7" l="1"/>
  <c r="N1634" i="7"/>
  <c r="O1635" i="7" s="1"/>
  <c r="M1693" i="7"/>
  <c r="L1694" i="7"/>
  <c r="N1635" i="7" l="1"/>
  <c r="O1636" i="7" s="1"/>
  <c r="P1635" i="7"/>
  <c r="M1694" i="7"/>
  <c r="L1695" i="7"/>
  <c r="N1636" i="7" l="1"/>
  <c r="O1637" i="7" s="1"/>
  <c r="P1636" i="7"/>
  <c r="M1695" i="7"/>
  <c r="L1696" i="7"/>
  <c r="N1637" i="7" l="1"/>
  <c r="O1638" i="7" s="1"/>
  <c r="P1637" i="7"/>
  <c r="M1696" i="7"/>
  <c r="L1697" i="7"/>
  <c r="N1638" i="7" l="1"/>
  <c r="O1639" i="7" s="1"/>
  <c r="P1638" i="7"/>
  <c r="M1697" i="7"/>
  <c r="L1698" i="7"/>
  <c r="N1639" i="7" l="1"/>
  <c r="O1640" i="7" s="1"/>
  <c r="P1639" i="7"/>
  <c r="M1698" i="7"/>
  <c r="L1699" i="7"/>
  <c r="P1640" i="7" l="1"/>
  <c r="N1640" i="7"/>
  <c r="O1641" i="7" s="1"/>
  <c r="M1699" i="7"/>
  <c r="L1700" i="7"/>
  <c r="P1641" i="7" l="1"/>
  <c r="N1641" i="7"/>
  <c r="O1642" i="7" s="1"/>
  <c r="M1700" i="7"/>
  <c r="L1701" i="7"/>
  <c r="N1642" i="7" l="1"/>
  <c r="O1643" i="7" s="1"/>
  <c r="P1642" i="7"/>
  <c r="M1701" i="7"/>
  <c r="L1702" i="7"/>
  <c r="N1643" i="7" l="1"/>
  <c r="O1644" i="7" s="1"/>
  <c r="P1643" i="7"/>
  <c r="M1702" i="7"/>
  <c r="L1703" i="7"/>
  <c r="P1644" i="7" l="1"/>
  <c r="N1644" i="7"/>
  <c r="O1645" i="7" s="1"/>
  <c r="M1703" i="7"/>
  <c r="L1704" i="7"/>
  <c r="N1645" i="7" l="1"/>
  <c r="O1646" i="7" s="1"/>
  <c r="P1645" i="7"/>
  <c r="M1704" i="7"/>
  <c r="L1705" i="7"/>
  <c r="P1646" i="7" l="1"/>
  <c r="N1646" i="7"/>
  <c r="O1647" i="7" s="1"/>
  <c r="M1705" i="7"/>
  <c r="L1706" i="7"/>
  <c r="N1647" i="7" l="1"/>
  <c r="O1648" i="7" s="1"/>
  <c r="P1647" i="7"/>
  <c r="M1706" i="7"/>
  <c r="L1707" i="7"/>
  <c r="N1648" i="7" l="1"/>
  <c r="O1649" i="7" s="1"/>
  <c r="P1648" i="7"/>
  <c r="M1707" i="7"/>
  <c r="L1708" i="7"/>
  <c r="P1649" i="7" l="1"/>
  <c r="N1649" i="7"/>
  <c r="O1650" i="7" s="1"/>
  <c r="M1708" i="7"/>
  <c r="L1709" i="7"/>
  <c r="P1650" i="7" l="1"/>
  <c r="N1650" i="7"/>
  <c r="O1651" i="7" s="1"/>
  <c r="M1709" i="7"/>
  <c r="L1710" i="7"/>
  <c r="P1651" i="7" l="1"/>
  <c r="N1651" i="7"/>
  <c r="O1652" i="7" s="1"/>
  <c r="M1710" i="7"/>
  <c r="L1711" i="7"/>
  <c r="P1652" i="7" l="1"/>
  <c r="N1652" i="7"/>
  <c r="O1653" i="7" s="1"/>
  <c r="M1711" i="7"/>
  <c r="L1712" i="7"/>
  <c r="N1653" i="7" l="1"/>
  <c r="O1654" i="7" s="1"/>
  <c r="P1653" i="7"/>
  <c r="M1712" i="7"/>
  <c r="L1713" i="7"/>
  <c r="P1654" i="7" l="1"/>
  <c r="N1654" i="7"/>
  <c r="O1655" i="7" s="1"/>
  <c r="M1713" i="7"/>
  <c r="L1714" i="7"/>
  <c r="N1655" i="7" l="1"/>
  <c r="O1656" i="7" s="1"/>
  <c r="P1655" i="7"/>
  <c r="M1714" i="7"/>
  <c r="L1715" i="7"/>
  <c r="P1656" i="7" l="1"/>
  <c r="N1656" i="7"/>
  <c r="O1657" i="7" s="1"/>
  <c r="M1715" i="7"/>
  <c r="L1716" i="7"/>
  <c r="N1657" i="7" l="1"/>
  <c r="O1658" i="7" s="1"/>
  <c r="P1657" i="7"/>
  <c r="M1716" i="7"/>
  <c r="L1717" i="7"/>
  <c r="P1658" i="7" l="1"/>
  <c r="N1658" i="7"/>
  <c r="O1659" i="7" s="1"/>
  <c r="M1717" i="7"/>
  <c r="L1718" i="7"/>
  <c r="N1659" i="7" l="1"/>
  <c r="O1660" i="7" s="1"/>
  <c r="P1659" i="7"/>
  <c r="M1718" i="7"/>
  <c r="L1719" i="7"/>
  <c r="N1660" i="7" l="1"/>
  <c r="O1661" i="7" s="1"/>
  <c r="P1660" i="7"/>
  <c r="M1719" i="7"/>
  <c r="L1720" i="7"/>
  <c r="N1661" i="7" l="1"/>
  <c r="O1662" i="7" s="1"/>
  <c r="P1661" i="7"/>
  <c r="M1720" i="7"/>
  <c r="L1721" i="7"/>
  <c r="N1662" i="7" l="1"/>
  <c r="O1663" i="7" s="1"/>
  <c r="P1662" i="7"/>
  <c r="M1721" i="7"/>
  <c r="L1722" i="7"/>
  <c r="P1663" i="7" l="1"/>
  <c r="N1663" i="7"/>
  <c r="O1664" i="7" s="1"/>
  <c r="M1722" i="7"/>
  <c r="L1723" i="7"/>
  <c r="N1664" i="7" l="1"/>
  <c r="O1665" i="7" s="1"/>
  <c r="P1664" i="7"/>
  <c r="M1723" i="7"/>
  <c r="L1724" i="7"/>
  <c r="P1665" i="7" l="1"/>
  <c r="N1665" i="7"/>
  <c r="O1666" i="7" s="1"/>
  <c r="M1724" i="7"/>
  <c r="L1725" i="7"/>
  <c r="P1666" i="7" l="1"/>
  <c r="N1666" i="7"/>
  <c r="O1667" i="7" s="1"/>
  <c r="M1725" i="7"/>
  <c r="L1726" i="7"/>
  <c r="N1667" i="7" l="1"/>
  <c r="O1668" i="7" s="1"/>
  <c r="P1667" i="7"/>
  <c r="M1726" i="7"/>
  <c r="L1727" i="7"/>
  <c r="N1668" i="7" l="1"/>
  <c r="O1669" i="7" s="1"/>
  <c r="P1668" i="7"/>
  <c r="M1727" i="7"/>
  <c r="L1728" i="7"/>
  <c r="P1669" i="7" l="1"/>
  <c r="N1669" i="7"/>
  <c r="O1670" i="7" s="1"/>
  <c r="M1728" i="7"/>
  <c r="L1729" i="7"/>
  <c r="N1670" i="7" l="1"/>
  <c r="O1671" i="7" s="1"/>
  <c r="P1670" i="7"/>
  <c r="M1729" i="7"/>
  <c r="L1730" i="7"/>
  <c r="P1671" i="7" l="1"/>
  <c r="N1671" i="7"/>
  <c r="O1672" i="7" s="1"/>
  <c r="M1730" i="7"/>
  <c r="L1731" i="7"/>
  <c r="P1672" i="7" l="1"/>
  <c r="N1672" i="7"/>
  <c r="O1673" i="7" s="1"/>
  <c r="M1731" i="7"/>
  <c r="L1732" i="7"/>
  <c r="P1673" i="7" l="1"/>
  <c r="N1673" i="7"/>
  <c r="O1674" i="7" s="1"/>
  <c r="M1732" i="7"/>
  <c r="L1733" i="7"/>
  <c r="N1674" i="7" l="1"/>
  <c r="O1675" i="7" s="1"/>
  <c r="P1674" i="7"/>
  <c r="M1733" i="7"/>
  <c r="L1734" i="7"/>
  <c r="N1675" i="7" l="1"/>
  <c r="O1676" i="7" s="1"/>
  <c r="P1675" i="7"/>
  <c r="M1734" i="7"/>
  <c r="L1735" i="7"/>
  <c r="P1676" i="7" l="1"/>
  <c r="N1676" i="7"/>
  <c r="O1677" i="7" s="1"/>
  <c r="M1735" i="7"/>
  <c r="L1736" i="7"/>
  <c r="P1677" i="7" l="1"/>
  <c r="N1677" i="7"/>
  <c r="O1678" i="7" s="1"/>
  <c r="M1736" i="7"/>
  <c r="L1737" i="7"/>
  <c r="N1678" i="7" l="1"/>
  <c r="O1679" i="7" s="1"/>
  <c r="P1678" i="7"/>
  <c r="M1737" i="7"/>
  <c r="L1738" i="7"/>
  <c r="N1679" i="7" l="1"/>
  <c r="O1680" i="7" s="1"/>
  <c r="P1679" i="7"/>
  <c r="M1738" i="7"/>
  <c r="L1739" i="7"/>
  <c r="P1680" i="7" l="1"/>
  <c r="N1680" i="7"/>
  <c r="O1681" i="7" s="1"/>
  <c r="M1739" i="7"/>
  <c r="L1740" i="7"/>
  <c r="N1681" i="7" l="1"/>
  <c r="O1682" i="7" s="1"/>
  <c r="P1681" i="7"/>
  <c r="M1740" i="7"/>
  <c r="L1741" i="7"/>
  <c r="P1682" i="7" l="1"/>
  <c r="N1682" i="7"/>
  <c r="O1683" i="7" s="1"/>
  <c r="M1741" i="7"/>
  <c r="L1742" i="7"/>
  <c r="N1683" i="7" l="1"/>
  <c r="O1684" i="7" s="1"/>
  <c r="P1683" i="7"/>
  <c r="M1742" i="7"/>
  <c r="L1743" i="7"/>
  <c r="P1684" i="7" l="1"/>
  <c r="N1684" i="7"/>
  <c r="O1685" i="7" s="1"/>
  <c r="M1743" i="7"/>
  <c r="L1744" i="7"/>
  <c r="P1685" i="7" l="1"/>
  <c r="N1685" i="7"/>
  <c r="O1686" i="7" s="1"/>
  <c r="M1744" i="7"/>
  <c r="L1745" i="7"/>
  <c r="N1686" i="7" l="1"/>
  <c r="O1687" i="7" s="1"/>
  <c r="P1686" i="7"/>
  <c r="M1745" i="7"/>
  <c r="L1746" i="7"/>
  <c r="N1687" i="7" l="1"/>
  <c r="O1688" i="7" s="1"/>
  <c r="P1687" i="7"/>
  <c r="M1746" i="7"/>
  <c r="L1747" i="7"/>
  <c r="N1688" i="7" l="1"/>
  <c r="O1689" i="7" s="1"/>
  <c r="P1688" i="7"/>
  <c r="M1747" i="7"/>
  <c r="L1748" i="7"/>
  <c r="P1689" i="7" l="1"/>
  <c r="N1689" i="7"/>
  <c r="O1690" i="7" s="1"/>
  <c r="M1748" i="7"/>
  <c r="L1749" i="7"/>
  <c r="P1690" i="7" l="1"/>
  <c r="N1690" i="7"/>
  <c r="O1691" i="7" s="1"/>
  <c r="M1749" i="7"/>
  <c r="L1750" i="7"/>
  <c r="P1691" i="7" l="1"/>
  <c r="N1691" i="7"/>
  <c r="O1692" i="7" s="1"/>
  <c r="M1750" i="7"/>
  <c r="L1751" i="7"/>
  <c r="N1692" i="7" l="1"/>
  <c r="O1693" i="7" s="1"/>
  <c r="P1692" i="7"/>
  <c r="M1751" i="7"/>
  <c r="L1752" i="7"/>
  <c r="N1693" i="7" l="1"/>
  <c r="O1694" i="7" s="1"/>
  <c r="P1693" i="7"/>
  <c r="M1752" i="7"/>
  <c r="L1753" i="7"/>
  <c r="N1694" i="7" l="1"/>
  <c r="O1695" i="7" s="1"/>
  <c r="P1694" i="7"/>
  <c r="M1753" i="7"/>
  <c r="L1754" i="7"/>
  <c r="N1695" i="7" l="1"/>
  <c r="O1696" i="7" s="1"/>
  <c r="P1695" i="7"/>
  <c r="M1754" i="7"/>
  <c r="L1755" i="7"/>
  <c r="P1696" i="7" l="1"/>
  <c r="N1696" i="7"/>
  <c r="O1697" i="7" s="1"/>
  <c r="M1755" i="7"/>
  <c r="L1756" i="7"/>
  <c r="N1697" i="7" l="1"/>
  <c r="O1698" i="7" s="1"/>
  <c r="P1697" i="7"/>
  <c r="M1756" i="7"/>
  <c r="L1757" i="7"/>
  <c r="P1698" i="7" l="1"/>
  <c r="N1698" i="7"/>
  <c r="O1699" i="7" s="1"/>
  <c r="M1757" i="7"/>
  <c r="L1758" i="7"/>
  <c r="P1699" i="7" l="1"/>
  <c r="N1699" i="7"/>
  <c r="O1700" i="7" s="1"/>
  <c r="M1758" i="7"/>
  <c r="L1759" i="7"/>
  <c r="P1700" i="7" l="1"/>
  <c r="N1700" i="7"/>
  <c r="O1701" i="7" s="1"/>
  <c r="M1759" i="7"/>
  <c r="L1760" i="7"/>
  <c r="P1701" i="7" l="1"/>
  <c r="N1701" i="7"/>
  <c r="O1702" i="7" s="1"/>
  <c r="M1760" i="7"/>
  <c r="L1761" i="7"/>
  <c r="P1702" i="7" l="1"/>
  <c r="N1702" i="7"/>
  <c r="O1703" i="7" s="1"/>
  <c r="M1761" i="7"/>
  <c r="L1762" i="7"/>
  <c r="P1703" i="7" l="1"/>
  <c r="N1703" i="7"/>
  <c r="O1704" i="7" s="1"/>
  <c r="M1762" i="7"/>
  <c r="L1763" i="7"/>
  <c r="P1704" i="7" l="1"/>
  <c r="N1704" i="7"/>
  <c r="O1705" i="7" s="1"/>
  <c r="M1763" i="7"/>
  <c r="L1764" i="7"/>
  <c r="P1705" i="7" l="1"/>
  <c r="N1705" i="7"/>
  <c r="O1706" i="7" s="1"/>
  <c r="M1764" i="7"/>
  <c r="L1765" i="7"/>
  <c r="P1706" i="7" l="1"/>
  <c r="N1706" i="7"/>
  <c r="O1707" i="7" s="1"/>
  <c r="M1765" i="7"/>
  <c r="L1766" i="7"/>
  <c r="P1707" i="7" l="1"/>
  <c r="N1707" i="7"/>
  <c r="O1708" i="7" s="1"/>
  <c r="M1766" i="7"/>
  <c r="L1767" i="7"/>
  <c r="N1708" i="7" l="1"/>
  <c r="O1709" i="7" s="1"/>
  <c r="P1708" i="7"/>
  <c r="M1767" i="7"/>
  <c r="L1768" i="7"/>
  <c r="N1709" i="7" l="1"/>
  <c r="O1710" i="7" s="1"/>
  <c r="P1709" i="7"/>
  <c r="M1768" i="7"/>
  <c r="L1769" i="7"/>
  <c r="P1710" i="7" l="1"/>
  <c r="N1710" i="7"/>
  <c r="O1711" i="7" s="1"/>
  <c r="M1769" i="7"/>
  <c r="L1770" i="7"/>
  <c r="N1711" i="7" l="1"/>
  <c r="O1712" i="7" s="1"/>
  <c r="P1711" i="7"/>
  <c r="M1770" i="7"/>
  <c r="L1771" i="7"/>
  <c r="P1712" i="7" l="1"/>
  <c r="N1712" i="7"/>
  <c r="O1713" i="7" s="1"/>
  <c r="M1771" i="7"/>
  <c r="L1772" i="7"/>
  <c r="P1713" i="7" l="1"/>
  <c r="N1713" i="7"/>
  <c r="O1714" i="7" s="1"/>
  <c r="M1772" i="7"/>
  <c r="L1773" i="7"/>
  <c r="N1714" i="7" l="1"/>
  <c r="O1715" i="7" s="1"/>
  <c r="P1714" i="7"/>
  <c r="M1773" i="7"/>
  <c r="L1774" i="7"/>
  <c r="P1715" i="7" l="1"/>
  <c r="N1715" i="7"/>
  <c r="O1716" i="7" s="1"/>
  <c r="M1774" i="7"/>
  <c r="L1775" i="7"/>
  <c r="N1716" i="7" l="1"/>
  <c r="O1717" i="7" s="1"/>
  <c r="P1716" i="7"/>
  <c r="M1775" i="7"/>
  <c r="L1776" i="7"/>
  <c r="P1717" i="7" l="1"/>
  <c r="N1717" i="7"/>
  <c r="O1718" i="7" s="1"/>
  <c r="M1776" i="7"/>
  <c r="L1777" i="7"/>
  <c r="P1718" i="7" l="1"/>
  <c r="N1718" i="7"/>
  <c r="O1719" i="7" s="1"/>
  <c r="M1777" i="7"/>
  <c r="L1778" i="7"/>
  <c r="P1719" i="7" l="1"/>
  <c r="N1719" i="7"/>
  <c r="O1720" i="7" s="1"/>
  <c r="M1778" i="7"/>
  <c r="L1779" i="7"/>
  <c r="P1720" i="7" l="1"/>
  <c r="N1720" i="7"/>
  <c r="O1721" i="7" s="1"/>
  <c r="M1779" i="7"/>
  <c r="L1780" i="7"/>
  <c r="P1721" i="7" l="1"/>
  <c r="N1721" i="7"/>
  <c r="O1722" i="7" s="1"/>
  <c r="M1780" i="7"/>
  <c r="L1781" i="7"/>
  <c r="P1722" i="7" l="1"/>
  <c r="N1722" i="7"/>
  <c r="O1723" i="7" s="1"/>
  <c r="M1781" i="7"/>
  <c r="L1782" i="7"/>
  <c r="P1723" i="7" l="1"/>
  <c r="N1723" i="7"/>
  <c r="O1724" i="7" s="1"/>
  <c r="M1782" i="7"/>
  <c r="L1783" i="7"/>
  <c r="N1724" i="7" l="1"/>
  <c r="O1725" i="7" s="1"/>
  <c r="P1724" i="7"/>
  <c r="M1783" i="7"/>
  <c r="L1784" i="7"/>
  <c r="P1725" i="7" l="1"/>
  <c r="N1725" i="7"/>
  <c r="O1726" i="7" s="1"/>
  <c r="M1784" i="7"/>
  <c r="L1785" i="7"/>
  <c r="N1726" i="7" l="1"/>
  <c r="O1727" i="7" s="1"/>
  <c r="P1726" i="7"/>
  <c r="M1785" i="7"/>
  <c r="L1786" i="7"/>
  <c r="P1727" i="7" l="1"/>
  <c r="N1727" i="7"/>
  <c r="O1728" i="7" s="1"/>
  <c r="M1786" i="7"/>
  <c r="L1787" i="7"/>
  <c r="N1728" i="7" l="1"/>
  <c r="O1729" i="7" s="1"/>
  <c r="P1728" i="7"/>
  <c r="M1787" i="7"/>
  <c r="L1788" i="7"/>
  <c r="N1729" i="7" l="1"/>
  <c r="O1730" i="7" s="1"/>
  <c r="P1729" i="7"/>
  <c r="M1788" i="7"/>
  <c r="L1789" i="7"/>
  <c r="P1730" i="7" l="1"/>
  <c r="N1730" i="7"/>
  <c r="O1731" i="7" s="1"/>
  <c r="M1789" i="7"/>
  <c r="L1790" i="7"/>
  <c r="P1731" i="7" l="1"/>
  <c r="N1731" i="7"/>
  <c r="O1732" i="7" s="1"/>
  <c r="M1790" i="7"/>
  <c r="L1791" i="7"/>
  <c r="P1732" i="7" l="1"/>
  <c r="N1732" i="7"/>
  <c r="O1733" i="7" s="1"/>
  <c r="M1791" i="7"/>
  <c r="L1792" i="7"/>
  <c r="P1733" i="7" l="1"/>
  <c r="N1733" i="7"/>
  <c r="O1734" i="7" s="1"/>
  <c r="M1792" i="7"/>
  <c r="L1793" i="7"/>
  <c r="N1734" i="7" l="1"/>
  <c r="O1735" i="7" s="1"/>
  <c r="P1734" i="7"/>
  <c r="M1793" i="7"/>
  <c r="L1794" i="7"/>
  <c r="P1735" i="7" l="1"/>
  <c r="N1735" i="7"/>
  <c r="O1736" i="7" s="1"/>
  <c r="M1794" i="7"/>
  <c r="L1795" i="7"/>
  <c r="P1736" i="7" l="1"/>
  <c r="N1736" i="7"/>
  <c r="O1737" i="7" s="1"/>
  <c r="M1795" i="7"/>
  <c r="L1796" i="7"/>
  <c r="P1737" i="7" l="1"/>
  <c r="N1737" i="7"/>
  <c r="O1738" i="7" s="1"/>
  <c r="M1796" i="7"/>
  <c r="L1797" i="7"/>
  <c r="N1738" i="7" l="1"/>
  <c r="O1739" i="7" s="1"/>
  <c r="P1738" i="7"/>
  <c r="M1797" i="7"/>
  <c r="L1798" i="7"/>
  <c r="N1739" i="7" l="1"/>
  <c r="O1740" i="7" s="1"/>
  <c r="P1739" i="7"/>
  <c r="M1798" i="7"/>
  <c r="L1799" i="7"/>
  <c r="P1740" i="7" l="1"/>
  <c r="N1740" i="7"/>
  <c r="O1741" i="7" s="1"/>
  <c r="M1799" i="7"/>
  <c r="L1800" i="7"/>
  <c r="N1741" i="7" l="1"/>
  <c r="O1742" i="7" s="1"/>
  <c r="P1741" i="7"/>
  <c r="M1800" i="7"/>
  <c r="L1801" i="7"/>
  <c r="N1742" i="7" l="1"/>
  <c r="O1743" i="7" s="1"/>
  <c r="P1742" i="7"/>
  <c r="M1801" i="7"/>
  <c r="L1802" i="7"/>
  <c r="P1743" i="7" l="1"/>
  <c r="N1743" i="7"/>
  <c r="O1744" i="7" s="1"/>
  <c r="M1802" i="7"/>
  <c r="L1803" i="7"/>
  <c r="N1744" i="7" l="1"/>
  <c r="O1745" i="7" s="1"/>
  <c r="P1744" i="7"/>
  <c r="M1803" i="7"/>
  <c r="L1804" i="7"/>
  <c r="N1745" i="7" l="1"/>
  <c r="O1746" i="7" s="1"/>
  <c r="P1745" i="7"/>
  <c r="M1804" i="7"/>
  <c r="L1805" i="7"/>
  <c r="N1746" i="7" l="1"/>
  <c r="O1747" i="7" s="1"/>
  <c r="P1746" i="7"/>
  <c r="M1805" i="7"/>
  <c r="L1806" i="7"/>
  <c r="P1747" i="7" l="1"/>
  <c r="N1747" i="7"/>
  <c r="O1748" i="7" s="1"/>
  <c r="M1806" i="7"/>
  <c r="L1807" i="7"/>
  <c r="N1748" i="7" l="1"/>
  <c r="O1749" i="7" s="1"/>
  <c r="P1748" i="7"/>
  <c r="M1807" i="7"/>
  <c r="L1808" i="7"/>
  <c r="N1749" i="7" l="1"/>
  <c r="O1750" i="7" s="1"/>
  <c r="P1749" i="7"/>
  <c r="M1808" i="7"/>
  <c r="L1809" i="7"/>
  <c r="N1750" i="7" l="1"/>
  <c r="O1751" i="7" s="1"/>
  <c r="P1750" i="7"/>
  <c r="M1809" i="7"/>
  <c r="L1810" i="7"/>
  <c r="P1751" i="7" l="1"/>
  <c r="N1751" i="7"/>
  <c r="O1752" i="7" s="1"/>
  <c r="M1810" i="7"/>
  <c r="L1811" i="7"/>
  <c r="P1752" i="7" l="1"/>
  <c r="N1752" i="7"/>
  <c r="O1753" i="7" s="1"/>
  <c r="M1811" i="7"/>
  <c r="L1812" i="7"/>
  <c r="P1753" i="7" l="1"/>
  <c r="N1753" i="7"/>
  <c r="O1754" i="7" s="1"/>
  <c r="M1812" i="7"/>
  <c r="L1813" i="7"/>
  <c r="N1754" i="7" l="1"/>
  <c r="O1755" i="7" s="1"/>
  <c r="P1754" i="7"/>
  <c r="M1813" i="7"/>
  <c r="L1814" i="7"/>
  <c r="P1755" i="7" l="1"/>
  <c r="N1755" i="7"/>
  <c r="O1756" i="7" s="1"/>
  <c r="M1814" i="7"/>
  <c r="L1815" i="7"/>
  <c r="N1756" i="7" l="1"/>
  <c r="O1757" i="7" s="1"/>
  <c r="P1756" i="7"/>
  <c r="M1815" i="7"/>
  <c r="L1816" i="7"/>
  <c r="N1757" i="7" l="1"/>
  <c r="O1758" i="7" s="1"/>
  <c r="P1757" i="7"/>
  <c r="M1816" i="7"/>
  <c r="L1817" i="7"/>
  <c r="N1758" i="7" l="1"/>
  <c r="O1759" i="7" s="1"/>
  <c r="P1758" i="7"/>
  <c r="M1817" i="7"/>
  <c r="L1818" i="7"/>
  <c r="P1759" i="7" l="1"/>
  <c r="N1759" i="7"/>
  <c r="O1760" i="7" s="1"/>
  <c r="M1818" i="7"/>
  <c r="L1819" i="7"/>
  <c r="P1760" i="7" l="1"/>
  <c r="N1760" i="7"/>
  <c r="O1761" i="7" s="1"/>
  <c r="M1819" i="7"/>
  <c r="L1820" i="7"/>
  <c r="P1761" i="7" l="1"/>
  <c r="N1761" i="7"/>
  <c r="O1762" i="7" s="1"/>
  <c r="M1820" i="7"/>
  <c r="L1821" i="7"/>
  <c r="N1762" i="7" l="1"/>
  <c r="O1763" i="7" s="1"/>
  <c r="P1762" i="7"/>
  <c r="M1821" i="7"/>
  <c r="L1822" i="7"/>
  <c r="N1763" i="7" l="1"/>
  <c r="O1764" i="7" s="1"/>
  <c r="P1763" i="7"/>
  <c r="M1822" i="7"/>
  <c r="L1823" i="7"/>
  <c r="N1764" i="7" l="1"/>
  <c r="O1765" i="7" s="1"/>
  <c r="P1764" i="7"/>
  <c r="M1823" i="7"/>
  <c r="L1824" i="7"/>
  <c r="P1765" i="7" l="1"/>
  <c r="N1765" i="7"/>
  <c r="O1766" i="7" s="1"/>
  <c r="M1824" i="7"/>
  <c r="L1825" i="7"/>
  <c r="N1766" i="7" l="1"/>
  <c r="O1767" i="7" s="1"/>
  <c r="P1766" i="7"/>
  <c r="M1825" i="7"/>
  <c r="L1826" i="7"/>
  <c r="P1767" i="7" l="1"/>
  <c r="N1767" i="7"/>
  <c r="O1768" i="7" s="1"/>
  <c r="M1826" i="7"/>
  <c r="L1827" i="7"/>
  <c r="P1768" i="7" l="1"/>
  <c r="N1768" i="7"/>
  <c r="O1769" i="7" s="1"/>
  <c r="M1827" i="7"/>
  <c r="L1828" i="7"/>
  <c r="P1769" i="7" l="1"/>
  <c r="N1769" i="7"/>
  <c r="O1770" i="7" s="1"/>
  <c r="M1828" i="7"/>
  <c r="L1829" i="7"/>
  <c r="N1770" i="7" l="1"/>
  <c r="O1771" i="7" s="1"/>
  <c r="P1770" i="7"/>
  <c r="M1829" i="7"/>
  <c r="L1830" i="7"/>
  <c r="N1771" i="7" l="1"/>
  <c r="O1772" i="7" s="1"/>
  <c r="P1771" i="7"/>
  <c r="M1830" i="7"/>
  <c r="L1831" i="7"/>
  <c r="N1772" i="7" l="1"/>
  <c r="O1773" i="7" s="1"/>
  <c r="P1772" i="7"/>
  <c r="M1831" i="7"/>
  <c r="L1832" i="7"/>
  <c r="N1773" i="7" l="1"/>
  <c r="O1774" i="7" s="1"/>
  <c r="P1773" i="7"/>
  <c r="M1832" i="7"/>
  <c r="L1833" i="7"/>
  <c r="P1774" i="7" l="1"/>
  <c r="N1774" i="7"/>
  <c r="O1775" i="7" s="1"/>
  <c r="M1833" i="7"/>
  <c r="L1834" i="7"/>
  <c r="N1775" i="7" l="1"/>
  <c r="O1776" i="7" s="1"/>
  <c r="P1775" i="7"/>
  <c r="M1834" i="7"/>
  <c r="L1835" i="7"/>
  <c r="N1776" i="7" l="1"/>
  <c r="O1777" i="7" s="1"/>
  <c r="P1776" i="7"/>
  <c r="M1835" i="7"/>
  <c r="L1836" i="7"/>
  <c r="N1777" i="7" l="1"/>
  <c r="O1778" i="7" s="1"/>
  <c r="P1777" i="7"/>
  <c r="M1836" i="7"/>
  <c r="L1837" i="7"/>
  <c r="N1778" i="7" l="1"/>
  <c r="O1779" i="7" s="1"/>
  <c r="P1778" i="7"/>
  <c r="M1837" i="7"/>
  <c r="L1838" i="7"/>
  <c r="N1779" i="7" l="1"/>
  <c r="O1780" i="7" s="1"/>
  <c r="P1779" i="7"/>
  <c r="M1838" i="7"/>
  <c r="L1839" i="7"/>
  <c r="P1780" i="7" l="1"/>
  <c r="N1780" i="7"/>
  <c r="O1781" i="7" s="1"/>
  <c r="M1839" i="7"/>
  <c r="L1840" i="7"/>
  <c r="N1781" i="7" l="1"/>
  <c r="O1782" i="7" s="1"/>
  <c r="P1781" i="7"/>
  <c r="M1840" i="7"/>
  <c r="L1841" i="7"/>
  <c r="N1782" i="7" l="1"/>
  <c r="O1783" i="7" s="1"/>
  <c r="P1782" i="7"/>
  <c r="M1841" i="7"/>
  <c r="L1842" i="7"/>
  <c r="P1783" i="7" l="1"/>
  <c r="N1783" i="7"/>
  <c r="O1784" i="7" s="1"/>
  <c r="M1842" i="7"/>
  <c r="L1843" i="7"/>
  <c r="N1784" i="7" l="1"/>
  <c r="O1785" i="7" s="1"/>
  <c r="P1784" i="7"/>
  <c r="M1843" i="7"/>
  <c r="L1844" i="7"/>
  <c r="N1785" i="7" l="1"/>
  <c r="O1786" i="7" s="1"/>
  <c r="P1785" i="7"/>
  <c r="M1844" i="7"/>
  <c r="L1845" i="7"/>
  <c r="P1786" i="7" l="1"/>
  <c r="N1786" i="7"/>
  <c r="O1787" i="7" s="1"/>
  <c r="M1845" i="7"/>
  <c r="L1846" i="7"/>
  <c r="N1787" i="7" l="1"/>
  <c r="O1788" i="7" s="1"/>
  <c r="P1787" i="7"/>
  <c r="M1846" i="7"/>
  <c r="L1847" i="7"/>
  <c r="P1788" i="7" l="1"/>
  <c r="N1788" i="7"/>
  <c r="O1789" i="7" s="1"/>
  <c r="M1847" i="7"/>
  <c r="L1848" i="7"/>
  <c r="N1789" i="7" l="1"/>
  <c r="O1790" i="7" s="1"/>
  <c r="P1789" i="7"/>
  <c r="M1848" i="7"/>
  <c r="L1849" i="7"/>
  <c r="N1790" i="7" l="1"/>
  <c r="O1791" i="7" s="1"/>
  <c r="P1790" i="7"/>
  <c r="M1849" i="7"/>
  <c r="L1850" i="7"/>
  <c r="N1791" i="7" l="1"/>
  <c r="O1792" i="7" s="1"/>
  <c r="P1791" i="7"/>
  <c r="M1850" i="7"/>
  <c r="L1851" i="7"/>
  <c r="N1792" i="7" l="1"/>
  <c r="O1793" i="7" s="1"/>
  <c r="P1792" i="7"/>
  <c r="M1851" i="7"/>
  <c r="L1852" i="7"/>
  <c r="P1793" i="7" l="1"/>
  <c r="N1793" i="7"/>
  <c r="O1794" i="7" s="1"/>
  <c r="M1852" i="7"/>
  <c r="L1853" i="7"/>
  <c r="P1794" i="7" l="1"/>
  <c r="N1794" i="7"/>
  <c r="O1795" i="7" s="1"/>
  <c r="M1853" i="7"/>
  <c r="L1854" i="7"/>
  <c r="P1795" i="7" l="1"/>
  <c r="N1795" i="7"/>
  <c r="O1796" i="7" s="1"/>
  <c r="M1854" i="7"/>
  <c r="L1855" i="7"/>
  <c r="N1796" i="7" l="1"/>
  <c r="O1797" i="7" s="1"/>
  <c r="P1796" i="7"/>
  <c r="M1855" i="7"/>
  <c r="L1856" i="7"/>
  <c r="P1797" i="7" l="1"/>
  <c r="N1797" i="7"/>
  <c r="O1798" i="7" s="1"/>
  <c r="M1856" i="7"/>
  <c r="L1857" i="7"/>
  <c r="P1798" i="7" l="1"/>
  <c r="N1798" i="7"/>
  <c r="O1799" i="7" s="1"/>
  <c r="M1857" i="7"/>
  <c r="L1858" i="7"/>
  <c r="N1799" i="7" l="1"/>
  <c r="O1800" i="7" s="1"/>
  <c r="P1799" i="7"/>
  <c r="M1858" i="7"/>
  <c r="L1859" i="7"/>
  <c r="P1800" i="7" l="1"/>
  <c r="N1800" i="7"/>
  <c r="O1801" i="7" s="1"/>
  <c r="M1859" i="7"/>
  <c r="L1860" i="7"/>
  <c r="N1801" i="7" l="1"/>
  <c r="O1802" i="7" s="1"/>
  <c r="P1801" i="7"/>
  <c r="M1860" i="7"/>
  <c r="L1861" i="7"/>
  <c r="N1802" i="7" l="1"/>
  <c r="O1803" i="7" s="1"/>
  <c r="P1802" i="7"/>
  <c r="M1861" i="7"/>
  <c r="L1862" i="7"/>
  <c r="N1803" i="7" l="1"/>
  <c r="O1804" i="7" s="1"/>
  <c r="P1803" i="7"/>
  <c r="M1862" i="7"/>
  <c r="L1863" i="7"/>
  <c r="N1804" i="7" l="1"/>
  <c r="O1805" i="7" s="1"/>
  <c r="P1804" i="7"/>
  <c r="M1863" i="7"/>
  <c r="L1864" i="7"/>
  <c r="P1805" i="7" l="1"/>
  <c r="N1805" i="7"/>
  <c r="O1806" i="7" s="1"/>
  <c r="M1864" i="7"/>
  <c r="L1865" i="7"/>
  <c r="P1806" i="7" l="1"/>
  <c r="N1806" i="7"/>
  <c r="O1807" i="7" s="1"/>
  <c r="M1865" i="7"/>
  <c r="L1866" i="7"/>
  <c r="P1807" i="7" l="1"/>
  <c r="N1807" i="7"/>
  <c r="O1808" i="7" s="1"/>
  <c r="M1866" i="7"/>
  <c r="L1867" i="7"/>
  <c r="N1808" i="7" l="1"/>
  <c r="O1809" i="7" s="1"/>
  <c r="P1808" i="7"/>
  <c r="M1867" i="7"/>
  <c r="L1868" i="7"/>
  <c r="P1809" i="7" l="1"/>
  <c r="N1809" i="7"/>
  <c r="O1810" i="7" s="1"/>
  <c r="M1868" i="7"/>
  <c r="L1869" i="7"/>
  <c r="P1810" i="7" l="1"/>
  <c r="N1810" i="7"/>
  <c r="O1811" i="7" s="1"/>
  <c r="M1869" i="7"/>
  <c r="L1870" i="7"/>
  <c r="P1811" i="7" l="1"/>
  <c r="N1811" i="7"/>
  <c r="O1812" i="7" s="1"/>
  <c r="M1870" i="7"/>
  <c r="L1871" i="7"/>
  <c r="N1812" i="7" l="1"/>
  <c r="O1813" i="7" s="1"/>
  <c r="P1812" i="7"/>
  <c r="M1871" i="7"/>
  <c r="L1872" i="7"/>
  <c r="N1813" i="7" l="1"/>
  <c r="O1814" i="7" s="1"/>
  <c r="P1813" i="7"/>
  <c r="M1872" i="7"/>
  <c r="L1873" i="7"/>
  <c r="N1814" i="7" l="1"/>
  <c r="O1815" i="7" s="1"/>
  <c r="P1814" i="7"/>
  <c r="M1873" i="7"/>
  <c r="L1874" i="7"/>
  <c r="N1815" i="7" l="1"/>
  <c r="O1816" i="7" s="1"/>
  <c r="P1815" i="7"/>
  <c r="M1874" i="7"/>
  <c r="L1875" i="7"/>
  <c r="N1816" i="7" l="1"/>
  <c r="O1817" i="7" s="1"/>
  <c r="P1816" i="7"/>
  <c r="M1875" i="7"/>
  <c r="L1876" i="7"/>
  <c r="N1817" i="7" l="1"/>
  <c r="O1818" i="7" s="1"/>
  <c r="P1817" i="7"/>
  <c r="M1876" i="7"/>
  <c r="L1877" i="7"/>
  <c r="N1818" i="7" l="1"/>
  <c r="O1819" i="7" s="1"/>
  <c r="P1818" i="7"/>
  <c r="M1877" i="7"/>
  <c r="L1878" i="7"/>
  <c r="N1819" i="7" l="1"/>
  <c r="O1820" i="7" s="1"/>
  <c r="P1819" i="7"/>
  <c r="M1878" i="7"/>
  <c r="L1879" i="7"/>
  <c r="P1820" i="7" l="1"/>
  <c r="N1820" i="7"/>
  <c r="O1821" i="7" s="1"/>
  <c r="M1879" i="7"/>
  <c r="L1880" i="7"/>
  <c r="P1821" i="7" l="1"/>
  <c r="N1821" i="7"/>
  <c r="O1822" i="7" s="1"/>
  <c r="M1880" i="7"/>
  <c r="L1881" i="7"/>
  <c r="N1822" i="7" l="1"/>
  <c r="O1823" i="7" s="1"/>
  <c r="P1822" i="7"/>
  <c r="M1881" i="7"/>
  <c r="L1882" i="7"/>
  <c r="N1823" i="7" l="1"/>
  <c r="O1824" i="7" s="1"/>
  <c r="P1823" i="7"/>
  <c r="M1882" i="7"/>
  <c r="L1883" i="7"/>
  <c r="P1824" i="7" l="1"/>
  <c r="N1824" i="7"/>
  <c r="O1825" i="7" s="1"/>
  <c r="M1883" i="7"/>
  <c r="L1884" i="7"/>
  <c r="P1825" i="7" l="1"/>
  <c r="N1825" i="7"/>
  <c r="O1826" i="7" s="1"/>
  <c r="M1884" i="7"/>
  <c r="L1885" i="7"/>
  <c r="N1826" i="7" l="1"/>
  <c r="O1827" i="7" s="1"/>
  <c r="P1826" i="7"/>
  <c r="M1885" i="7"/>
  <c r="L1886" i="7"/>
  <c r="P1827" i="7" l="1"/>
  <c r="N1827" i="7"/>
  <c r="O1828" i="7" s="1"/>
  <c r="M1886" i="7"/>
  <c r="L1887" i="7"/>
  <c r="P1828" i="7" l="1"/>
  <c r="N1828" i="7"/>
  <c r="O1829" i="7" s="1"/>
  <c r="M1887" i="7"/>
  <c r="L1888" i="7"/>
  <c r="N1829" i="7" l="1"/>
  <c r="O1830" i="7" s="1"/>
  <c r="P1829" i="7"/>
  <c r="M1888" i="7"/>
  <c r="L1889" i="7"/>
  <c r="N1830" i="7" l="1"/>
  <c r="O1831" i="7" s="1"/>
  <c r="P1830" i="7"/>
  <c r="M1889" i="7"/>
  <c r="L1890" i="7"/>
  <c r="N1831" i="7" l="1"/>
  <c r="O1832" i="7" s="1"/>
  <c r="P1831" i="7"/>
  <c r="M1890" i="7"/>
  <c r="L1891" i="7"/>
  <c r="N1832" i="7" l="1"/>
  <c r="O1833" i="7" s="1"/>
  <c r="P1832" i="7"/>
  <c r="M1891" i="7"/>
  <c r="L1892" i="7"/>
  <c r="N1833" i="7" l="1"/>
  <c r="O1834" i="7" s="1"/>
  <c r="P1833" i="7"/>
  <c r="M1892" i="7"/>
  <c r="L1893" i="7"/>
  <c r="P1834" i="7" l="1"/>
  <c r="N1834" i="7"/>
  <c r="O1835" i="7" s="1"/>
  <c r="M1893" i="7"/>
  <c r="L1894" i="7"/>
  <c r="P1835" i="7" l="1"/>
  <c r="N1835" i="7"/>
  <c r="O1836" i="7" s="1"/>
  <c r="M1894" i="7"/>
  <c r="L1895" i="7"/>
  <c r="P1836" i="7" l="1"/>
  <c r="N1836" i="7"/>
  <c r="O1837" i="7" s="1"/>
  <c r="M1895" i="7"/>
  <c r="L1896" i="7"/>
  <c r="N1837" i="7" l="1"/>
  <c r="O1838" i="7" s="1"/>
  <c r="P1837" i="7"/>
  <c r="M1896" i="7"/>
  <c r="L1897" i="7"/>
  <c r="P1838" i="7" l="1"/>
  <c r="N1838" i="7"/>
  <c r="O1839" i="7" s="1"/>
  <c r="M1897" i="7"/>
  <c r="L1898" i="7"/>
  <c r="P1839" i="7" l="1"/>
  <c r="N1839" i="7"/>
  <c r="O1840" i="7" s="1"/>
  <c r="M1898" i="7"/>
  <c r="L1899" i="7"/>
  <c r="P1840" i="7" l="1"/>
  <c r="N1840" i="7"/>
  <c r="O1841" i="7" s="1"/>
  <c r="M1899" i="7"/>
  <c r="L1900" i="7"/>
  <c r="N1841" i="7" l="1"/>
  <c r="O1842" i="7" s="1"/>
  <c r="P1841" i="7"/>
  <c r="M1900" i="7"/>
  <c r="L1901" i="7"/>
  <c r="N1842" i="7" l="1"/>
  <c r="O1843" i="7" s="1"/>
  <c r="P1842" i="7"/>
  <c r="M1901" i="7"/>
  <c r="L1902" i="7"/>
  <c r="N1843" i="7" l="1"/>
  <c r="O1844" i="7" s="1"/>
  <c r="P1843" i="7"/>
  <c r="M1902" i="7"/>
  <c r="L1903" i="7"/>
  <c r="P1844" i="7" l="1"/>
  <c r="N1844" i="7"/>
  <c r="O1845" i="7" s="1"/>
  <c r="M1903" i="7"/>
  <c r="L1904" i="7"/>
  <c r="N1845" i="7" l="1"/>
  <c r="O1846" i="7" s="1"/>
  <c r="P1845" i="7"/>
  <c r="M1904" i="7"/>
  <c r="L1905" i="7"/>
  <c r="P1846" i="7" l="1"/>
  <c r="N1846" i="7"/>
  <c r="O1847" i="7" s="1"/>
  <c r="M1905" i="7"/>
  <c r="L1906" i="7"/>
  <c r="P1847" i="7" l="1"/>
  <c r="N1847" i="7"/>
  <c r="O1848" i="7" s="1"/>
  <c r="M1906" i="7"/>
  <c r="L1907" i="7"/>
  <c r="N1848" i="7" l="1"/>
  <c r="O1849" i="7" s="1"/>
  <c r="P1848" i="7"/>
  <c r="M1907" i="7"/>
  <c r="L1908" i="7"/>
  <c r="P1849" i="7" l="1"/>
  <c r="N1849" i="7"/>
  <c r="O1850" i="7" s="1"/>
  <c r="M1908" i="7"/>
  <c r="L1909" i="7"/>
  <c r="P1850" i="7" l="1"/>
  <c r="N1850" i="7"/>
  <c r="O1851" i="7" s="1"/>
  <c r="M1909" i="7"/>
  <c r="L1910" i="7"/>
  <c r="P1851" i="7" l="1"/>
  <c r="N1851" i="7"/>
  <c r="O1852" i="7" s="1"/>
  <c r="M1910" i="7"/>
  <c r="L1911" i="7"/>
  <c r="N1852" i="7" l="1"/>
  <c r="O1853" i="7" s="1"/>
  <c r="P1852" i="7"/>
  <c r="M1911" i="7"/>
  <c r="L1912" i="7"/>
  <c r="N1853" i="7" l="1"/>
  <c r="O1854" i="7" s="1"/>
  <c r="P1853" i="7"/>
  <c r="M1912" i="7"/>
  <c r="L1913" i="7"/>
  <c r="P1854" i="7" l="1"/>
  <c r="N1854" i="7"/>
  <c r="O1855" i="7" s="1"/>
  <c r="M1913" i="7"/>
  <c r="L1914" i="7"/>
  <c r="P1855" i="7" l="1"/>
  <c r="N1855" i="7"/>
  <c r="O1856" i="7" s="1"/>
  <c r="M1914" i="7"/>
  <c r="L1915" i="7"/>
  <c r="P1856" i="7" l="1"/>
  <c r="N1856" i="7"/>
  <c r="O1857" i="7" s="1"/>
  <c r="M1915" i="7"/>
  <c r="L1916" i="7"/>
  <c r="P1857" i="7" l="1"/>
  <c r="N1857" i="7"/>
  <c r="O1858" i="7" s="1"/>
  <c r="M1916" i="7"/>
  <c r="L1917" i="7"/>
  <c r="P1858" i="7" l="1"/>
  <c r="N1858" i="7"/>
  <c r="O1859" i="7" s="1"/>
  <c r="M1917" i="7"/>
  <c r="L1918" i="7"/>
  <c r="P1859" i="7" l="1"/>
  <c r="N1859" i="7"/>
  <c r="O1860" i="7" s="1"/>
  <c r="M1918" i="7"/>
  <c r="L1919" i="7"/>
  <c r="N1860" i="7" l="1"/>
  <c r="O1861" i="7" s="1"/>
  <c r="P1860" i="7"/>
  <c r="M1919" i="7"/>
  <c r="L1920" i="7"/>
  <c r="P1861" i="7" l="1"/>
  <c r="N1861" i="7"/>
  <c r="O1862" i="7" s="1"/>
  <c r="M1920" i="7"/>
  <c r="L1921" i="7"/>
  <c r="N1862" i="7" l="1"/>
  <c r="O1863" i="7" s="1"/>
  <c r="P1862" i="7"/>
  <c r="M1921" i="7"/>
  <c r="L1922" i="7"/>
  <c r="N1863" i="7" l="1"/>
  <c r="O1864" i="7" s="1"/>
  <c r="P1863" i="7"/>
  <c r="M1922" i="7"/>
  <c r="L1923" i="7"/>
  <c r="P1864" i="7" l="1"/>
  <c r="N1864" i="7"/>
  <c r="O1865" i="7" s="1"/>
  <c r="M1923" i="7"/>
  <c r="L1924" i="7"/>
  <c r="N1865" i="7" l="1"/>
  <c r="O1866" i="7" s="1"/>
  <c r="P1865" i="7"/>
  <c r="M1924" i="7"/>
  <c r="L1925" i="7"/>
  <c r="P1866" i="7" l="1"/>
  <c r="N1866" i="7"/>
  <c r="O1867" i="7" s="1"/>
  <c r="M1925" i="7"/>
  <c r="L1926" i="7"/>
  <c r="P1867" i="7" l="1"/>
  <c r="N1867" i="7"/>
  <c r="O1868" i="7" s="1"/>
  <c r="M1926" i="7"/>
  <c r="L1927" i="7"/>
  <c r="P1868" i="7" l="1"/>
  <c r="N1868" i="7"/>
  <c r="O1869" i="7" s="1"/>
  <c r="M1927" i="7"/>
  <c r="L1928" i="7"/>
  <c r="N1869" i="7" l="1"/>
  <c r="O1870" i="7" s="1"/>
  <c r="P1869" i="7"/>
  <c r="M1928" i="7"/>
  <c r="L1929" i="7"/>
  <c r="N1870" i="7" l="1"/>
  <c r="O1871" i="7" s="1"/>
  <c r="P1870" i="7"/>
  <c r="M1929" i="7"/>
  <c r="L1930" i="7"/>
  <c r="P1871" i="7" l="1"/>
  <c r="N1871" i="7"/>
  <c r="O1872" i="7" s="1"/>
  <c r="M1930" i="7"/>
  <c r="L1931" i="7"/>
  <c r="N1872" i="7" l="1"/>
  <c r="O1873" i="7" s="1"/>
  <c r="P1872" i="7"/>
  <c r="M1931" i="7"/>
  <c r="L1932" i="7"/>
  <c r="P1873" i="7" l="1"/>
  <c r="N1873" i="7"/>
  <c r="O1874" i="7" s="1"/>
  <c r="M1932" i="7"/>
  <c r="L1933" i="7"/>
  <c r="N1874" i="7" l="1"/>
  <c r="O1875" i="7" s="1"/>
  <c r="P1874" i="7"/>
  <c r="M1933" i="7"/>
  <c r="L1934" i="7"/>
  <c r="P1875" i="7" l="1"/>
  <c r="N1875" i="7"/>
  <c r="O1876" i="7" s="1"/>
  <c r="M1934" i="7"/>
  <c r="L1935" i="7"/>
  <c r="N1876" i="7" l="1"/>
  <c r="O1877" i="7" s="1"/>
  <c r="P1876" i="7"/>
  <c r="M1935" i="7"/>
  <c r="L1936" i="7"/>
  <c r="P1877" i="7" l="1"/>
  <c r="N1877" i="7"/>
  <c r="O1878" i="7" s="1"/>
  <c r="M1936" i="7"/>
  <c r="L1937" i="7"/>
  <c r="P1878" i="7" l="1"/>
  <c r="N1878" i="7"/>
  <c r="O1879" i="7" s="1"/>
  <c r="M1937" i="7"/>
  <c r="L1938" i="7"/>
  <c r="N1879" i="7" l="1"/>
  <c r="O1880" i="7" s="1"/>
  <c r="P1879" i="7"/>
  <c r="M1938" i="7"/>
  <c r="L1939" i="7"/>
  <c r="N1880" i="7" l="1"/>
  <c r="O1881" i="7" s="1"/>
  <c r="P1880" i="7"/>
  <c r="M1939" i="7"/>
  <c r="L1940" i="7"/>
  <c r="N1881" i="7" l="1"/>
  <c r="O1882" i="7" s="1"/>
  <c r="P1881" i="7"/>
  <c r="M1940" i="7"/>
  <c r="L1941" i="7"/>
  <c r="N1882" i="7" l="1"/>
  <c r="O1883" i="7" s="1"/>
  <c r="P1882" i="7"/>
  <c r="M1941" i="7"/>
  <c r="L1942" i="7"/>
  <c r="P1883" i="7" l="1"/>
  <c r="N1883" i="7"/>
  <c r="O1884" i="7" s="1"/>
  <c r="M1942" i="7"/>
  <c r="L1943" i="7"/>
  <c r="N1884" i="7" l="1"/>
  <c r="O1885" i="7" s="1"/>
  <c r="P1884" i="7"/>
  <c r="M1943" i="7"/>
  <c r="L1944" i="7"/>
  <c r="P1885" i="7" l="1"/>
  <c r="N1885" i="7"/>
  <c r="O1886" i="7" s="1"/>
  <c r="M1944" i="7"/>
  <c r="L1945" i="7"/>
  <c r="N1886" i="7" l="1"/>
  <c r="O1887" i="7" s="1"/>
  <c r="P1886" i="7"/>
  <c r="M1945" i="7"/>
  <c r="L1946" i="7"/>
  <c r="N1887" i="7" l="1"/>
  <c r="O1888" i="7" s="1"/>
  <c r="P1887" i="7"/>
  <c r="M1946" i="7"/>
  <c r="L1947" i="7"/>
  <c r="N1888" i="7" l="1"/>
  <c r="O1889" i="7" s="1"/>
  <c r="P1888" i="7"/>
  <c r="M1947" i="7"/>
  <c r="L1948" i="7"/>
  <c r="P1889" i="7" l="1"/>
  <c r="N1889" i="7"/>
  <c r="O1890" i="7" s="1"/>
  <c r="M1948" i="7"/>
  <c r="L1949" i="7"/>
  <c r="N1890" i="7" l="1"/>
  <c r="O1891" i="7" s="1"/>
  <c r="P1890" i="7"/>
  <c r="M1949" i="7"/>
  <c r="L1950" i="7"/>
  <c r="N1891" i="7" l="1"/>
  <c r="O1892" i="7" s="1"/>
  <c r="P1891" i="7"/>
  <c r="M1950" i="7"/>
  <c r="L1951" i="7"/>
  <c r="P1892" i="7" l="1"/>
  <c r="N1892" i="7"/>
  <c r="O1893" i="7" s="1"/>
  <c r="M1951" i="7"/>
  <c r="L1952" i="7"/>
  <c r="P1893" i="7" l="1"/>
  <c r="N1893" i="7"/>
  <c r="O1894" i="7" s="1"/>
  <c r="M1952" i="7"/>
  <c r="L1953" i="7"/>
  <c r="P1894" i="7" l="1"/>
  <c r="N1894" i="7"/>
  <c r="O1895" i="7" s="1"/>
  <c r="M1953" i="7"/>
  <c r="L1954" i="7"/>
  <c r="N1895" i="7" l="1"/>
  <c r="O1896" i="7" s="1"/>
  <c r="P1895" i="7"/>
  <c r="M1954" i="7"/>
  <c r="L1955" i="7"/>
  <c r="N1896" i="7" l="1"/>
  <c r="O1897" i="7" s="1"/>
  <c r="P1896" i="7"/>
  <c r="M1955" i="7"/>
  <c r="L1956" i="7"/>
  <c r="P1897" i="7" l="1"/>
  <c r="N1897" i="7"/>
  <c r="O1898" i="7" s="1"/>
  <c r="M1956" i="7"/>
  <c r="L1957" i="7"/>
  <c r="P1898" i="7" l="1"/>
  <c r="N1898" i="7"/>
  <c r="O1899" i="7" s="1"/>
  <c r="M1957" i="7"/>
  <c r="L1958" i="7"/>
  <c r="N1899" i="7" l="1"/>
  <c r="O1900" i="7" s="1"/>
  <c r="P1899" i="7"/>
  <c r="M1958" i="7"/>
  <c r="L1959" i="7"/>
  <c r="N1900" i="7" l="1"/>
  <c r="O1901" i="7" s="1"/>
  <c r="P1900" i="7"/>
  <c r="M1959" i="7"/>
  <c r="L1960" i="7"/>
  <c r="N1901" i="7" l="1"/>
  <c r="O1902" i="7" s="1"/>
  <c r="P1901" i="7"/>
  <c r="M1960" i="7"/>
  <c r="L1961" i="7"/>
  <c r="P1902" i="7" l="1"/>
  <c r="N1902" i="7"/>
  <c r="O1903" i="7" s="1"/>
  <c r="M1961" i="7"/>
  <c r="L1962" i="7"/>
  <c r="P1903" i="7" l="1"/>
  <c r="N1903" i="7"/>
  <c r="O1904" i="7" s="1"/>
  <c r="M1962" i="7"/>
  <c r="L1963" i="7"/>
  <c r="N1904" i="7" l="1"/>
  <c r="O1905" i="7" s="1"/>
  <c r="P1904" i="7"/>
  <c r="M1963" i="7"/>
  <c r="L1964" i="7"/>
  <c r="N1905" i="7" l="1"/>
  <c r="O1906" i="7" s="1"/>
  <c r="P1905" i="7"/>
  <c r="M1964" i="7"/>
  <c r="L1965" i="7"/>
  <c r="N1906" i="7" l="1"/>
  <c r="O1907" i="7" s="1"/>
  <c r="P1906" i="7"/>
  <c r="M1965" i="7"/>
  <c r="L1966" i="7"/>
  <c r="P1907" i="7" l="1"/>
  <c r="N1907" i="7"/>
  <c r="O1908" i="7" s="1"/>
  <c r="M1966" i="7"/>
  <c r="L1967" i="7"/>
  <c r="N1908" i="7" l="1"/>
  <c r="O1909" i="7" s="1"/>
  <c r="P1908" i="7"/>
  <c r="M1967" i="7"/>
  <c r="L1968" i="7"/>
  <c r="P1909" i="7" l="1"/>
  <c r="N1909" i="7"/>
  <c r="O1910" i="7" s="1"/>
  <c r="M1968" i="7"/>
  <c r="L1969" i="7"/>
  <c r="P1910" i="7" l="1"/>
  <c r="N1910" i="7"/>
  <c r="O1911" i="7" s="1"/>
  <c r="M1969" i="7"/>
  <c r="L1970" i="7"/>
  <c r="P1911" i="7" l="1"/>
  <c r="N1911" i="7"/>
  <c r="O1912" i="7" s="1"/>
  <c r="M1970" i="7"/>
  <c r="L1971" i="7"/>
  <c r="P1912" i="7" l="1"/>
  <c r="N1912" i="7"/>
  <c r="O1913" i="7" s="1"/>
  <c r="M1971" i="7"/>
  <c r="L1972" i="7"/>
  <c r="P1913" i="7" l="1"/>
  <c r="N1913" i="7"/>
  <c r="O1914" i="7" s="1"/>
  <c r="M1972" i="7"/>
  <c r="L1973" i="7"/>
  <c r="N1914" i="7" l="1"/>
  <c r="O1915" i="7" s="1"/>
  <c r="P1914" i="7"/>
  <c r="M1973" i="7"/>
  <c r="L1974" i="7"/>
  <c r="P1915" i="7" l="1"/>
  <c r="N1915" i="7"/>
  <c r="O1916" i="7" s="1"/>
  <c r="M1974" i="7"/>
  <c r="L1975" i="7"/>
  <c r="P1916" i="7" l="1"/>
  <c r="N1916" i="7"/>
  <c r="O1917" i="7" s="1"/>
  <c r="M1975" i="7"/>
  <c r="L1976" i="7"/>
  <c r="P1917" i="7" l="1"/>
  <c r="N1917" i="7"/>
  <c r="O1918" i="7" s="1"/>
  <c r="M1976" i="7"/>
  <c r="L1977" i="7"/>
  <c r="N1918" i="7" l="1"/>
  <c r="O1919" i="7" s="1"/>
  <c r="P1918" i="7"/>
  <c r="M1977" i="7"/>
  <c r="L1978" i="7"/>
  <c r="P1919" i="7" l="1"/>
  <c r="N1919" i="7"/>
  <c r="O1920" i="7" s="1"/>
  <c r="M1978" i="7"/>
  <c r="L1979" i="7"/>
  <c r="P1920" i="7" l="1"/>
  <c r="N1920" i="7"/>
  <c r="O1921" i="7" s="1"/>
  <c r="M1979" i="7"/>
  <c r="L1980" i="7"/>
  <c r="N1921" i="7" l="1"/>
  <c r="O1922" i="7" s="1"/>
  <c r="P1921" i="7"/>
  <c r="M1980" i="7"/>
  <c r="L1981" i="7"/>
  <c r="N1922" i="7" l="1"/>
  <c r="O1923" i="7" s="1"/>
  <c r="P1922" i="7"/>
  <c r="M1981" i="7"/>
  <c r="L1982" i="7"/>
  <c r="P1923" i="7" l="1"/>
  <c r="N1923" i="7"/>
  <c r="O1924" i="7" s="1"/>
  <c r="M1982" i="7"/>
  <c r="L1983" i="7"/>
  <c r="P1924" i="7" l="1"/>
  <c r="N1924" i="7"/>
  <c r="O1925" i="7" s="1"/>
  <c r="M1983" i="7"/>
  <c r="L1984" i="7"/>
  <c r="P1925" i="7" l="1"/>
  <c r="N1925" i="7"/>
  <c r="O1926" i="7" s="1"/>
  <c r="M1984" i="7"/>
  <c r="L1985" i="7"/>
  <c r="P1926" i="7" l="1"/>
  <c r="N1926" i="7"/>
  <c r="O1927" i="7" s="1"/>
  <c r="M1985" i="7"/>
  <c r="L1986" i="7"/>
  <c r="N1927" i="7" l="1"/>
  <c r="O1928" i="7" s="1"/>
  <c r="P1927" i="7"/>
  <c r="M1986" i="7"/>
  <c r="L1987" i="7"/>
  <c r="P1928" i="7" l="1"/>
  <c r="N1928" i="7"/>
  <c r="O1929" i="7" s="1"/>
  <c r="M1987" i="7"/>
  <c r="L1988" i="7"/>
  <c r="P1929" i="7" l="1"/>
  <c r="N1929" i="7"/>
  <c r="O1930" i="7" s="1"/>
  <c r="M1988" i="7"/>
  <c r="L1989" i="7"/>
  <c r="P1930" i="7" l="1"/>
  <c r="N1930" i="7"/>
  <c r="O1931" i="7" s="1"/>
  <c r="M1989" i="7"/>
  <c r="L1990" i="7"/>
  <c r="P1931" i="7" l="1"/>
  <c r="N1931" i="7"/>
  <c r="O1932" i="7" s="1"/>
  <c r="M1990" i="7"/>
  <c r="L1991" i="7"/>
  <c r="N1932" i="7" l="1"/>
  <c r="O1933" i="7" s="1"/>
  <c r="P1932" i="7"/>
  <c r="M1991" i="7"/>
  <c r="L1992" i="7"/>
  <c r="P1933" i="7" l="1"/>
  <c r="N1933" i="7"/>
  <c r="O1934" i="7" s="1"/>
  <c r="M1992" i="7"/>
  <c r="L1993" i="7"/>
  <c r="P1934" i="7" l="1"/>
  <c r="N1934" i="7"/>
  <c r="O1935" i="7" s="1"/>
  <c r="M1993" i="7"/>
  <c r="L1994" i="7"/>
  <c r="N1935" i="7" l="1"/>
  <c r="O1936" i="7" s="1"/>
  <c r="P1935" i="7"/>
  <c r="M1994" i="7"/>
  <c r="L1995" i="7"/>
  <c r="P1936" i="7" l="1"/>
  <c r="N1936" i="7"/>
  <c r="O1937" i="7" s="1"/>
  <c r="M1995" i="7"/>
  <c r="L1996" i="7"/>
  <c r="P1937" i="7" l="1"/>
  <c r="N1937" i="7"/>
  <c r="O1938" i="7" s="1"/>
  <c r="M1996" i="7"/>
  <c r="L1997" i="7"/>
  <c r="P1938" i="7" l="1"/>
  <c r="N1938" i="7"/>
  <c r="O1939" i="7" s="1"/>
  <c r="M1997" i="7"/>
  <c r="L1998" i="7"/>
  <c r="P1939" i="7" l="1"/>
  <c r="N1939" i="7"/>
  <c r="O1940" i="7" s="1"/>
  <c r="M1998" i="7"/>
  <c r="L1999" i="7"/>
  <c r="N1940" i="7" l="1"/>
  <c r="O1941" i="7" s="1"/>
  <c r="P1940" i="7"/>
  <c r="M1999" i="7"/>
  <c r="L2000" i="7"/>
  <c r="P1941" i="7" l="1"/>
  <c r="N1941" i="7"/>
  <c r="O1942" i="7" s="1"/>
  <c r="M2000" i="7"/>
  <c r="L2001" i="7"/>
  <c r="N1942" i="7" l="1"/>
  <c r="O1943" i="7" s="1"/>
  <c r="P1942" i="7"/>
  <c r="M2001" i="7"/>
  <c r="L2002" i="7"/>
  <c r="N1943" i="7" l="1"/>
  <c r="O1944" i="7" s="1"/>
  <c r="P1943" i="7"/>
  <c r="M2002" i="7"/>
  <c r="L2003" i="7"/>
  <c r="N1944" i="7" l="1"/>
  <c r="O1945" i="7" s="1"/>
  <c r="P1944" i="7"/>
  <c r="M2003" i="7"/>
  <c r="L2004" i="7"/>
  <c r="P1945" i="7" l="1"/>
  <c r="N1945" i="7"/>
  <c r="O1946" i="7" s="1"/>
  <c r="M2004" i="7"/>
  <c r="L2005" i="7"/>
  <c r="P1946" i="7" l="1"/>
  <c r="N1946" i="7"/>
  <c r="O1947" i="7" s="1"/>
  <c r="M2005" i="7"/>
  <c r="L2006" i="7"/>
  <c r="N1947" i="7" l="1"/>
  <c r="O1948" i="7" s="1"/>
  <c r="P1947" i="7"/>
  <c r="M2006" i="7"/>
  <c r="L2007" i="7"/>
  <c r="N1948" i="7" l="1"/>
  <c r="O1949" i="7" s="1"/>
  <c r="P1948" i="7"/>
  <c r="M2007" i="7"/>
  <c r="L2008" i="7"/>
  <c r="N1949" i="7" l="1"/>
  <c r="O1950" i="7" s="1"/>
  <c r="P1949" i="7"/>
  <c r="M2008" i="7"/>
  <c r="L2009" i="7"/>
  <c r="N1950" i="7" l="1"/>
  <c r="O1951" i="7" s="1"/>
  <c r="P1950" i="7"/>
  <c r="M2009" i="7"/>
  <c r="L2010" i="7"/>
  <c r="P1951" i="7" l="1"/>
  <c r="N1951" i="7"/>
  <c r="O1952" i="7" s="1"/>
  <c r="M2010" i="7"/>
  <c r="L2011" i="7"/>
  <c r="N1952" i="7" l="1"/>
  <c r="O1953" i="7" s="1"/>
  <c r="P1952" i="7"/>
  <c r="M2011" i="7"/>
  <c r="L2012" i="7"/>
  <c r="N1953" i="7" l="1"/>
  <c r="O1954" i="7" s="1"/>
  <c r="P1953" i="7"/>
  <c r="M2012" i="7"/>
  <c r="L2013" i="7"/>
  <c r="P1954" i="7" l="1"/>
  <c r="N1954" i="7"/>
  <c r="O1955" i="7" s="1"/>
  <c r="M2013" i="7"/>
  <c r="L2014" i="7"/>
  <c r="N1955" i="7" l="1"/>
  <c r="O1956" i="7" s="1"/>
  <c r="P1955" i="7"/>
  <c r="M2014" i="7"/>
  <c r="L2015" i="7"/>
  <c r="P1956" i="7" l="1"/>
  <c r="N1956" i="7"/>
  <c r="O1957" i="7" s="1"/>
  <c r="M2015" i="7"/>
  <c r="L2016" i="7"/>
  <c r="P1957" i="7" l="1"/>
  <c r="N1957" i="7"/>
  <c r="O1958" i="7" s="1"/>
  <c r="M2016" i="7"/>
  <c r="L2017" i="7"/>
  <c r="N1958" i="7" l="1"/>
  <c r="O1959" i="7" s="1"/>
  <c r="P1958" i="7"/>
  <c r="M2017" i="7"/>
  <c r="L2018" i="7"/>
  <c r="N1959" i="7" l="1"/>
  <c r="O1960" i="7" s="1"/>
  <c r="P1959" i="7"/>
  <c r="M2018" i="7"/>
  <c r="L2019" i="7"/>
  <c r="N1960" i="7" l="1"/>
  <c r="O1961" i="7" s="1"/>
  <c r="P1960" i="7"/>
  <c r="M2019" i="7"/>
  <c r="L2020" i="7"/>
  <c r="N1961" i="7" l="1"/>
  <c r="O1962" i="7" s="1"/>
  <c r="P1961" i="7"/>
  <c r="M2020" i="7"/>
  <c r="L2021" i="7"/>
  <c r="N1962" i="7" l="1"/>
  <c r="O1963" i="7" s="1"/>
  <c r="P1962" i="7"/>
  <c r="M2021" i="7"/>
  <c r="L2022" i="7"/>
  <c r="P1963" i="7" l="1"/>
  <c r="N1963" i="7"/>
  <c r="O1964" i="7" s="1"/>
  <c r="M2022" i="7"/>
  <c r="L2023" i="7"/>
  <c r="N1964" i="7" l="1"/>
  <c r="O1965" i="7" s="1"/>
  <c r="P1964" i="7"/>
  <c r="M2023" i="7"/>
  <c r="L2024" i="7"/>
  <c r="N1965" i="7" l="1"/>
  <c r="O1966" i="7" s="1"/>
  <c r="P1965" i="7"/>
  <c r="M2024" i="7"/>
  <c r="L2025" i="7"/>
  <c r="N1966" i="7" l="1"/>
  <c r="O1967" i="7" s="1"/>
  <c r="P1966" i="7"/>
  <c r="M2025" i="7"/>
  <c r="L2026" i="7"/>
  <c r="N1967" i="7" l="1"/>
  <c r="O1968" i="7" s="1"/>
  <c r="P1967" i="7"/>
  <c r="M2026" i="7"/>
  <c r="L2027" i="7"/>
  <c r="N1968" i="7" l="1"/>
  <c r="O1969" i="7" s="1"/>
  <c r="P1968" i="7"/>
  <c r="M2027" i="7"/>
  <c r="L2028" i="7"/>
  <c r="P1969" i="7" l="1"/>
  <c r="N1969" i="7"/>
  <c r="O1970" i="7" s="1"/>
  <c r="M2028" i="7"/>
  <c r="L2029" i="7"/>
  <c r="N1970" i="7" l="1"/>
  <c r="O1971" i="7" s="1"/>
  <c r="P1970" i="7"/>
  <c r="M2029" i="7"/>
  <c r="L2030" i="7"/>
  <c r="N1971" i="7" l="1"/>
  <c r="O1972" i="7" s="1"/>
  <c r="P1971" i="7"/>
  <c r="M2030" i="7"/>
  <c r="L2031" i="7"/>
  <c r="P1972" i="7" l="1"/>
  <c r="N1972" i="7"/>
  <c r="O1973" i="7" s="1"/>
  <c r="M2031" i="7"/>
  <c r="L2032" i="7"/>
  <c r="P1973" i="7" l="1"/>
  <c r="N1973" i="7"/>
  <c r="O1974" i="7" s="1"/>
  <c r="M2032" i="7"/>
  <c r="L2033" i="7"/>
  <c r="N1974" i="7" l="1"/>
  <c r="O1975" i="7" s="1"/>
  <c r="P1974" i="7"/>
  <c r="M2033" i="7"/>
  <c r="L2034" i="7"/>
  <c r="P1975" i="7" l="1"/>
  <c r="N1975" i="7"/>
  <c r="O1976" i="7" s="1"/>
  <c r="M2034" i="7"/>
  <c r="L2035" i="7"/>
  <c r="N1976" i="7" l="1"/>
  <c r="O1977" i="7" s="1"/>
  <c r="P1976" i="7"/>
  <c r="M2035" i="7"/>
  <c r="L2036" i="7"/>
  <c r="N1977" i="7" l="1"/>
  <c r="O1978" i="7" s="1"/>
  <c r="P1977" i="7"/>
  <c r="M2036" i="7"/>
  <c r="L2037" i="7"/>
  <c r="N1978" i="7" l="1"/>
  <c r="O1979" i="7" s="1"/>
  <c r="P1978" i="7"/>
  <c r="M2037" i="7"/>
  <c r="L2038" i="7"/>
  <c r="P1979" i="7" l="1"/>
  <c r="N1979" i="7"/>
  <c r="O1980" i="7" s="1"/>
  <c r="M2038" i="7"/>
  <c r="L2039" i="7"/>
  <c r="P1980" i="7" l="1"/>
  <c r="N1980" i="7"/>
  <c r="O1981" i="7" s="1"/>
  <c r="M2039" i="7"/>
  <c r="L2040" i="7"/>
  <c r="N1981" i="7" l="1"/>
  <c r="O1982" i="7" s="1"/>
  <c r="P1981" i="7"/>
  <c r="M2040" i="7"/>
  <c r="L2041" i="7"/>
  <c r="P1982" i="7" l="1"/>
  <c r="N1982" i="7"/>
  <c r="O1983" i="7" s="1"/>
  <c r="M2041" i="7"/>
  <c r="L2042" i="7"/>
  <c r="N1983" i="7" l="1"/>
  <c r="O1984" i="7" s="1"/>
  <c r="P1983" i="7"/>
  <c r="M2042" i="7"/>
  <c r="L2043" i="7"/>
  <c r="N1984" i="7" l="1"/>
  <c r="O1985" i="7" s="1"/>
  <c r="P1984" i="7"/>
  <c r="M2043" i="7"/>
  <c r="L2044" i="7"/>
  <c r="N1985" i="7" l="1"/>
  <c r="O1986" i="7" s="1"/>
  <c r="P1985" i="7"/>
  <c r="M2044" i="7"/>
  <c r="L2045" i="7"/>
  <c r="N1986" i="7" l="1"/>
  <c r="O1987" i="7" s="1"/>
  <c r="P1986" i="7"/>
  <c r="M2045" i="7"/>
  <c r="L2046" i="7"/>
  <c r="N1987" i="7" l="1"/>
  <c r="O1988" i="7" s="1"/>
  <c r="P1987" i="7"/>
  <c r="M2046" i="7"/>
  <c r="L2047" i="7"/>
  <c r="P1988" i="7" l="1"/>
  <c r="N1988" i="7"/>
  <c r="O1989" i="7" s="1"/>
  <c r="M2047" i="7"/>
  <c r="L2048" i="7"/>
  <c r="N1989" i="7" l="1"/>
  <c r="O1990" i="7" s="1"/>
  <c r="P1989" i="7"/>
  <c r="M2048" i="7"/>
  <c r="L2049" i="7"/>
  <c r="P1990" i="7" l="1"/>
  <c r="N1990" i="7"/>
  <c r="O1991" i="7" s="1"/>
  <c r="M2049" i="7"/>
  <c r="L2050" i="7"/>
  <c r="N1991" i="7" l="1"/>
  <c r="O1992" i="7" s="1"/>
  <c r="P1991" i="7"/>
  <c r="M2050" i="7"/>
  <c r="L2051" i="7"/>
  <c r="N1992" i="7" l="1"/>
  <c r="O1993" i="7" s="1"/>
  <c r="P1992" i="7"/>
  <c r="M2051" i="7"/>
  <c r="L2052" i="7"/>
  <c r="P1993" i="7" l="1"/>
  <c r="N1993" i="7"/>
  <c r="O1994" i="7" s="1"/>
  <c r="M2052" i="7"/>
  <c r="L2053" i="7"/>
  <c r="N1994" i="7" l="1"/>
  <c r="O1995" i="7" s="1"/>
  <c r="P1994" i="7"/>
  <c r="M2053" i="7"/>
  <c r="L2054" i="7"/>
  <c r="P1995" i="7" l="1"/>
  <c r="N1995" i="7"/>
  <c r="O1996" i="7" s="1"/>
  <c r="M2054" i="7"/>
  <c r="L2055" i="7"/>
  <c r="N1996" i="7" l="1"/>
  <c r="O1997" i="7" s="1"/>
  <c r="P1996" i="7"/>
  <c r="M2055" i="7"/>
  <c r="L2056" i="7"/>
  <c r="P1997" i="7" l="1"/>
  <c r="N1997" i="7"/>
  <c r="O1998" i="7" s="1"/>
  <c r="M2056" i="7"/>
  <c r="L2057" i="7"/>
  <c r="N1998" i="7" l="1"/>
  <c r="O1999" i="7" s="1"/>
  <c r="P1998" i="7"/>
  <c r="M2057" i="7"/>
  <c r="L2058" i="7"/>
  <c r="P1999" i="7" l="1"/>
  <c r="N1999" i="7"/>
  <c r="O2000" i="7" s="1"/>
  <c r="M2058" i="7"/>
  <c r="L2059" i="7"/>
  <c r="N2000" i="7" l="1"/>
  <c r="O2001" i="7" s="1"/>
  <c r="P2000" i="7"/>
  <c r="M2059" i="7"/>
  <c r="L2060" i="7"/>
  <c r="P2001" i="7" l="1"/>
  <c r="N2001" i="7"/>
  <c r="O2002" i="7" s="1"/>
  <c r="M2060" i="7"/>
  <c r="L2061" i="7"/>
  <c r="N2002" i="7" l="1"/>
  <c r="O2003" i="7" s="1"/>
  <c r="P2002" i="7"/>
  <c r="M2061" i="7"/>
  <c r="L2062" i="7"/>
  <c r="N2003" i="7" l="1"/>
  <c r="O2004" i="7" s="1"/>
  <c r="P2003" i="7"/>
  <c r="M2062" i="7"/>
  <c r="L2063" i="7"/>
  <c r="P2004" i="7" l="1"/>
  <c r="N2004" i="7"/>
  <c r="O2005" i="7" s="1"/>
  <c r="M2063" i="7"/>
  <c r="L2064" i="7"/>
  <c r="N2005" i="7" l="1"/>
  <c r="O2006" i="7" s="1"/>
  <c r="P2005" i="7"/>
  <c r="M2064" i="7"/>
  <c r="L2065" i="7"/>
  <c r="N2006" i="7" l="1"/>
  <c r="O2007" i="7" s="1"/>
  <c r="P2006" i="7"/>
  <c r="M2065" i="7"/>
  <c r="L2066" i="7"/>
  <c r="N2007" i="7" l="1"/>
  <c r="O2008" i="7" s="1"/>
  <c r="P2007" i="7"/>
  <c r="M2066" i="7"/>
  <c r="L2067" i="7"/>
  <c r="P2008" i="7" l="1"/>
  <c r="N2008" i="7"/>
  <c r="O2009" i="7" s="1"/>
  <c r="M2067" i="7"/>
  <c r="L2068" i="7"/>
  <c r="N2009" i="7" l="1"/>
  <c r="O2010" i="7" s="1"/>
  <c r="P2009" i="7"/>
  <c r="M2068" i="7"/>
  <c r="L2069" i="7"/>
  <c r="N2010" i="7" l="1"/>
  <c r="O2011" i="7" s="1"/>
  <c r="P2010" i="7"/>
  <c r="M2069" i="7"/>
  <c r="L2070" i="7"/>
  <c r="N2011" i="7" l="1"/>
  <c r="O2012" i="7" s="1"/>
  <c r="P2011" i="7"/>
  <c r="M2070" i="7"/>
  <c r="L2071" i="7"/>
  <c r="P2012" i="7" l="1"/>
  <c r="N2012" i="7"/>
  <c r="O2013" i="7" s="1"/>
  <c r="M2071" i="7"/>
  <c r="L2072" i="7"/>
  <c r="P2013" i="7" l="1"/>
  <c r="N2013" i="7"/>
  <c r="O2014" i="7" s="1"/>
  <c r="M2072" i="7"/>
  <c r="L2073" i="7"/>
  <c r="N2014" i="7" l="1"/>
  <c r="O2015" i="7" s="1"/>
  <c r="P2014" i="7"/>
  <c r="M2073" i="7"/>
  <c r="L2074" i="7"/>
  <c r="N2015" i="7" l="1"/>
  <c r="O2016" i="7" s="1"/>
  <c r="P2015" i="7"/>
  <c r="M2074" i="7"/>
  <c r="L2075" i="7"/>
  <c r="P2016" i="7" l="1"/>
  <c r="N2016" i="7"/>
  <c r="O2017" i="7" s="1"/>
  <c r="M2075" i="7"/>
  <c r="L2076" i="7"/>
  <c r="N2017" i="7" l="1"/>
  <c r="O2018" i="7" s="1"/>
  <c r="P2017" i="7"/>
  <c r="M2076" i="7"/>
  <c r="L2077" i="7"/>
  <c r="N2018" i="7" l="1"/>
  <c r="O2019" i="7" s="1"/>
  <c r="P2018" i="7"/>
  <c r="M2077" i="7"/>
  <c r="L2078" i="7"/>
  <c r="N2019" i="7" l="1"/>
  <c r="O2020" i="7" s="1"/>
  <c r="P2019" i="7"/>
  <c r="M2078" i="7"/>
  <c r="L2079" i="7"/>
  <c r="N2020" i="7" l="1"/>
  <c r="O2021" i="7" s="1"/>
  <c r="P2020" i="7"/>
  <c r="M2079" i="7"/>
  <c r="L2080" i="7"/>
  <c r="P2021" i="7" l="1"/>
  <c r="N2021" i="7"/>
  <c r="O2022" i="7" s="1"/>
  <c r="M2080" i="7"/>
  <c r="L2081" i="7"/>
  <c r="N2022" i="7" l="1"/>
  <c r="O2023" i="7" s="1"/>
  <c r="P2022" i="7"/>
  <c r="M2081" i="7"/>
  <c r="L2082" i="7"/>
  <c r="P2023" i="7" l="1"/>
  <c r="N2023" i="7"/>
  <c r="O2024" i="7" s="1"/>
  <c r="M2082" i="7"/>
  <c r="L2083" i="7"/>
  <c r="P2024" i="7" l="1"/>
  <c r="N2024" i="7"/>
  <c r="O2025" i="7" s="1"/>
  <c r="M2083" i="7"/>
  <c r="L2084" i="7"/>
  <c r="P2025" i="7" l="1"/>
  <c r="N2025" i="7"/>
  <c r="O2026" i="7" s="1"/>
  <c r="M2084" i="7"/>
  <c r="L2085" i="7"/>
  <c r="P2026" i="7" l="1"/>
  <c r="N2026" i="7"/>
  <c r="O2027" i="7" s="1"/>
  <c r="M2085" i="7"/>
  <c r="L2086" i="7"/>
  <c r="N2027" i="7" l="1"/>
  <c r="O2028" i="7" s="1"/>
  <c r="P2027" i="7"/>
  <c r="M2086" i="7"/>
  <c r="L2087" i="7"/>
  <c r="N2028" i="7" l="1"/>
  <c r="O2029" i="7" s="1"/>
  <c r="P2028" i="7"/>
  <c r="M2087" i="7"/>
  <c r="L2088" i="7"/>
  <c r="P2029" i="7" l="1"/>
  <c r="N2029" i="7"/>
  <c r="O2030" i="7" s="1"/>
  <c r="M2088" i="7"/>
  <c r="L2089" i="7"/>
  <c r="N2030" i="7" l="1"/>
  <c r="O2031" i="7" s="1"/>
  <c r="P2030" i="7"/>
  <c r="M2089" i="7"/>
  <c r="L2090" i="7"/>
  <c r="N2031" i="7" l="1"/>
  <c r="O2032" i="7" s="1"/>
  <c r="P2031" i="7"/>
  <c r="M2090" i="7"/>
  <c r="L2091" i="7"/>
  <c r="P2032" i="7" l="1"/>
  <c r="N2032" i="7"/>
  <c r="O2033" i="7" s="1"/>
  <c r="M2091" i="7"/>
  <c r="L2092" i="7"/>
  <c r="P2033" i="7" l="1"/>
  <c r="N2033" i="7"/>
  <c r="O2034" i="7" s="1"/>
  <c r="M2092" i="7"/>
  <c r="L2093" i="7"/>
  <c r="N2034" i="7" l="1"/>
  <c r="O2035" i="7" s="1"/>
  <c r="P2034" i="7"/>
  <c r="M2093" i="7"/>
  <c r="L2094" i="7"/>
  <c r="N2035" i="7" l="1"/>
  <c r="O2036" i="7" s="1"/>
  <c r="P2035" i="7"/>
  <c r="M2094" i="7"/>
  <c r="L2095" i="7"/>
  <c r="N2036" i="7" l="1"/>
  <c r="O2037" i="7" s="1"/>
  <c r="P2036" i="7"/>
  <c r="M2095" i="7"/>
  <c r="L2096" i="7"/>
  <c r="P2037" i="7" l="1"/>
  <c r="N2037" i="7"/>
  <c r="O2038" i="7" s="1"/>
  <c r="M2096" i="7"/>
  <c r="L2097" i="7"/>
  <c r="P2038" i="7" l="1"/>
  <c r="N2038" i="7"/>
  <c r="O2039" i="7" s="1"/>
  <c r="M2097" i="7"/>
  <c r="L2098" i="7"/>
  <c r="P2039" i="7" l="1"/>
  <c r="N2039" i="7"/>
  <c r="O2040" i="7" s="1"/>
  <c r="M2098" i="7"/>
  <c r="L2099" i="7"/>
  <c r="N2040" i="7" l="1"/>
  <c r="O2041" i="7" s="1"/>
  <c r="P2040" i="7"/>
  <c r="M2099" i="7"/>
  <c r="L2100" i="7"/>
  <c r="P2041" i="7" l="1"/>
  <c r="N2041" i="7"/>
  <c r="O2042" i="7" s="1"/>
  <c r="M2100" i="7"/>
  <c r="L2101" i="7"/>
  <c r="P2042" i="7" l="1"/>
  <c r="N2042" i="7"/>
  <c r="O2043" i="7" s="1"/>
  <c r="M2101" i="7"/>
  <c r="L2102" i="7"/>
  <c r="N2043" i="7" l="1"/>
  <c r="O2044" i="7" s="1"/>
  <c r="P2043" i="7"/>
  <c r="M2102" i="7"/>
  <c r="L2103" i="7"/>
  <c r="N2044" i="7" l="1"/>
  <c r="O2045" i="7" s="1"/>
  <c r="P2044" i="7"/>
  <c r="M2103" i="7"/>
  <c r="L2104" i="7"/>
  <c r="N2045" i="7" l="1"/>
  <c r="O2046" i="7" s="1"/>
  <c r="P2045" i="7"/>
  <c r="M2104" i="7"/>
  <c r="L2105" i="7"/>
  <c r="N2046" i="7" l="1"/>
  <c r="O2047" i="7" s="1"/>
  <c r="P2046" i="7"/>
  <c r="M2105" i="7"/>
  <c r="L2106" i="7"/>
  <c r="P2047" i="7" l="1"/>
  <c r="N2047" i="7"/>
  <c r="O2048" i="7" s="1"/>
  <c r="M2106" i="7"/>
  <c r="L2107" i="7"/>
  <c r="N2048" i="7" l="1"/>
  <c r="O2049" i="7" s="1"/>
  <c r="P2048" i="7"/>
  <c r="M2107" i="7"/>
  <c r="L2108" i="7"/>
  <c r="P2049" i="7" l="1"/>
  <c r="N2049" i="7"/>
  <c r="O2050" i="7" s="1"/>
  <c r="M2108" i="7"/>
  <c r="L2109" i="7"/>
  <c r="P2050" i="7" l="1"/>
  <c r="N2050" i="7"/>
  <c r="O2051" i="7" s="1"/>
  <c r="M2109" i="7"/>
  <c r="L2110" i="7"/>
  <c r="N2051" i="7" l="1"/>
  <c r="O2052" i="7" s="1"/>
  <c r="P2051" i="7"/>
  <c r="M2110" i="7"/>
  <c r="L2111" i="7"/>
  <c r="P2052" i="7" l="1"/>
  <c r="N2052" i="7"/>
  <c r="O2053" i="7" s="1"/>
  <c r="M2111" i="7"/>
  <c r="L2112" i="7"/>
  <c r="N2053" i="7" l="1"/>
  <c r="O2054" i="7" s="1"/>
  <c r="P2053" i="7"/>
  <c r="M2112" i="7"/>
  <c r="L2113" i="7"/>
  <c r="P2054" i="7" l="1"/>
  <c r="N2054" i="7"/>
  <c r="O2055" i="7" s="1"/>
  <c r="M2113" i="7"/>
  <c r="L2114" i="7"/>
  <c r="N2055" i="7" l="1"/>
  <c r="O2056" i="7" s="1"/>
  <c r="P2055" i="7"/>
  <c r="M2114" i="7"/>
  <c r="L2115" i="7"/>
  <c r="P2056" i="7" l="1"/>
  <c r="N2056" i="7"/>
  <c r="O2057" i="7" s="1"/>
  <c r="M2115" i="7"/>
  <c r="L2116" i="7"/>
  <c r="P2057" i="7" l="1"/>
  <c r="N2057" i="7"/>
  <c r="O2058" i="7" s="1"/>
  <c r="M2116" i="7"/>
  <c r="L2117" i="7"/>
  <c r="N2058" i="7" l="1"/>
  <c r="O2059" i="7" s="1"/>
  <c r="P2058" i="7"/>
  <c r="M2117" i="7"/>
  <c r="L2118" i="7"/>
  <c r="N2059" i="7" l="1"/>
  <c r="O2060" i="7" s="1"/>
  <c r="P2059" i="7"/>
  <c r="M2118" i="7"/>
  <c r="L2119" i="7"/>
  <c r="P2060" i="7" l="1"/>
  <c r="N2060" i="7"/>
  <c r="O2061" i="7" s="1"/>
  <c r="M2119" i="7"/>
  <c r="L2120" i="7"/>
  <c r="P2061" i="7" l="1"/>
  <c r="N2061" i="7"/>
  <c r="O2062" i="7" s="1"/>
  <c r="M2120" i="7"/>
  <c r="L2121" i="7"/>
  <c r="P2062" i="7" l="1"/>
  <c r="N2062" i="7"/>
  <c r="O2063" i="7" s="1"/>
  <c r="M2121" i="7"/>
  <c r="L2122" i="7"/>
  <c r="P2063" i="7" l="1"/>
  <c r="N2063" i="7"/>
  <c r="O2064" i="7" s="1"/>
  <c r="M2122" i="7"/>
  <c r="L2123" i="7"/>
  <c r="P2064" i="7" l="1"/>
  <c r="N2064" i="7"/>
  <c r="O2065" i="7" s="1"/>
  <c r="M2123" i="7"/>
  <c r="L2124" i="7"/>
  <c r="P2065" i="7" l="1"/>
  <c r="N2065" i="7"/>
  <c r="O2066" i="7" s="1"/>
  <c r="M2124" i="7"/>
  <c r="L2125" i="7"/>
  <c r="P2066" i="7" l="1"/>
  <c r="N2066" i="7"/>
  <c r="O2067" i="7" s="1"/>
  <c r="M2125" i="7"/>
  <c r="L2126" i="7"/>
  <c r="N2067" i="7" l="1"/>
  <c r="O2068" i="7" s="1"/>
  <c r="P2067" i="7"/>
  <c r="M2126" i="7"/>
  <c r="L2127" i="7"/>
  <c r="P2068" i="7" l="1"/>
  <c r="N2068" i="7"/>
  <c r="O2069" i="7" s="1"/>
  <c r="M2127" i="7"/>
  <c r="L2128" i="7"/>
  <c r="N2069" i="7" l="1"/>
  <c r="O2070" i="7" s="1"/>
  <c r="P2069" i="7"/>
  <c r="M2128" i="7"/>
  <c r="L2129" i="7"/>
  <c r="P2070" i="7" l="1"/>
  <c r="N2070" i="7"/>
  <c r="O2071" i="7" s="1"/>
  <c r="M2129" i="7"/>
  <c r="L2130" i="7"/>
  <c r="P2071" i="7" l="1"/>
  <c r="N2071" i="7"/>
  <c r="O2072" i="7" s="1"/>
  <c r="M2130" i="7"/>
  <c r="L2131" i="7"/>
  <c r="N2072" i="7" l="1"/>
  <c r="O2073" i="7" s="1"/>
  <c r="P2072" i="7"/>
  <c r="M2131" i="7"/>
  <c r="L2132" i="7"/>
  <c r="N2073" i="7" l="1"/>
  <c r="O2074" i="7" s="1"/>
  <c r="P2073" i="7"/>
  <c r="M2132" i="7"/>
  <c r="L2133" i="7"/>
  <c r="N2074" i="7" l="1"/>
  <c r="O2075" i="7" s="1"/>
  <c r="P2074" i="7"/>
  <c r="M2133" i="7"/>
  <c r="L2134" i="7"/>
  <c r="N2075" i="7" l="1"/>
  <c r="O2076" i="7" s="1"/>
  <c r="P2075" i="7"/>
  <c r="M2134" i="7"/>
  <c r="L2135" i="7"/>
  <c r="N2076" i="7" l="1"/>
  <c r="O2077" i="7" s="1"/>
  <c r="P2076" i="7"/>
  <c r="M2135" i="7"/>
  <c r="L2136" i="7"/>
  <c r="P2077" i="7" l="1"/>
  <c r="N2077" i="7"/>
  <c r="O2078" i="7" s="1"/>
  <c r="M2136" i="7"/>
  <c r="L2137" i="7"/>
  <c r="N2078" i="7" l="1"/>
  <c r="O2079" i="7" s="1"/>
  <c r="P2078" i="7"/>
  <c r="M2137" i="7"/>
  <c r="L2138" i="7"/>
  <c r="P2079" i="7" l="1"/>
  <c r="N2079" i="7"/>
  <c r="O2080" i="7" s="1"/>
  <c r="M2138" i="7"/>
  <c r="L2139" i="7"/>
  <c r="P2080" i="7" l="1"/>
  <c r="N2080" i="7"/>
  <c r="O2081" i="7" s="1"/>
  <c r="M2139" i="7"/>
  <c r="L2140" i="7"/>
  <c r="N2081" i="7" l="1"/>
  <c r="O2082" i="7" s="1"/>
  <c r="P2081" i="7"/>
  <c r="M2140" i="7"/>
  <c r="L2141" i="7"/>
  <c r="N2082" i="7" l="1"/>
  <c r="O2083" i="7" s="1"/>
  <c r="P2082" i="7"/>
  <c r="M2141" i="7"/>
  <c r="L2142" i="7"/>
  <c r="N2083" i="7" l="1"/>
  <c r="O2084" i="7" s="1"/>
  <c r="P2083" i="7"/>
  <c r="M2142" i="7"/>
  <c r="L2143" i="7"/>
  <c r="P2084" i="7" l="1"/>
  <c r="N2084" i="7"/>
  <c r="O2085" i="7" s="1"/>
  <c r="M2143" i="7"/>
  <c r="L2144" i="7"/>
  <c r="P2085" i="7" l="1"/>
  <c r="N2085" i="7"/>
  <c r="O2086" i="7" s="1"/>
  <c r="M2144" i="7"/>
  <c r="L2145" i="7"/>
  <c r="P2086" i="7" l="1"/>
  <c r="N2086" i="7"/>
  <c r="O2087" i="7" s="1"/>
  <c r="M2145" i="7"/>
  <c r="L2146" i="7"/>
  <c r="P2087" i="7" l="1"/>
  <c r="N2087" i="7"/>
  <c r="O2088" i="7" s="1"/>
  <c r="M2146" i="7"/>
  <c r="L2147" i="7"/>
  <c r="P2088" i="7" l="1"/>
  <c r="N2088" i="7"/>
  <c r="O2089" i="7" s="1"/>
  <c r="M2147" i="7"/>
  <c r="L2148" i="7"/>
  <c r="P2089" i="7" l="1"/>
  <c r="N2089" i="7"/>
  <c r="O2090" i="7" s="1"/>
  <c r="M2148" i="7"/>
  <c r="L2149" i="7"/>
  <c r="P2090" i="7" l="1"/>
  <c r="N2090" i="7"/>
  <c r="O2091" i="7" s="1"/>
  <c r="M2149" i="7"/>
  <c r="L2150" i="7"/>
  <c r="N2091" i="7" l="1"/>
  <c r="O2092" i="7" s="1"/>
  <c r="P2091" i="7"/>
  <c r="M2150" i="7"/>
  <c r="L2151" i="7"/>
  <c r="P2092" i="7" l="1"/>
  <c r="N2092" i="7"/>
  <c r="O2093" i="7" s="1"/>
  <c r="M2151" i="7"/>
  <c r="L2152" i="7"/>
  <c r="P2093" i="7" l="1"/>
  <c r="N2093" i="7"/>
  <c r="O2094" i="7" s="1"/>
  <c r="M2152" i="7"/>
  <c r="L2153" i="7"/>
  <c r="N2094" i="7" l="1"/>
  <c r="O2095" i="7" s="1"/>
  <c r="P2094" i="7"/>
  <c r="M2153" i="7"/>
  <c r="L2154" i="7"/>
  <c r="N2095" i="7" l="1"/>
  <c r="O2096" i="7" s="1"/>
  <c r="P2095" i="7"/>
  <c r="M2154" i="7"/>
  <c r="L2155" i="7"/>
  <c r="P2096" i="7" l="1"/>
  <c r="N2096" i="7"/>
  <c r="O2097" i="7" s="1"/>
  <c r="M2155" i="7"/>
  <c r="L2156" i="7"/>
  <c r="P2097" i="7" l="1"/>
  <c r="N2097" i="7"/>
  <c r="O2098" i="7" s="1"/>
  <c r="M2156" i="7"/>
  <c r="L2157" i="7"/>
  <c r="N2098" i="7" l="1"/>
  <c r="O2099" i="7" s="1"/>
  <c r="P2098" i="7"/>
  <c r="M2157" i="7"/>
  <c r="L2158" i="7"/>
  <c r="P2099" i="7" l="1"/>
  <c r="N2099" i="7"/>
  <c r="O2100" i="7" s="1"/>
  <c r="M2158" i="7"/>
  <c r="L2159" i="7"/>
  <c r="P2100" i="7" l="1"/>
  <c r="N2100" i="7"/>
  <c r="O2101" i="7" s="1"/>
  <c r="M2159" i="7"/>
  <c r="L2160" i="7"/>
  <c r="P2101" i="7" l="1"/>
  <c r="N2101" i="7"/>
  <c r="O2102" i="7" s="1"/>
  <c r="M2160" i="7"/>
  <c r="L2161" i="7"/>
  <c r="N2102" i="7" l="1"/>
  <c r="O2103" i="7" s="1"/>
  <c r="P2102" i="7"/>
  <c r="M2161" i="7"/>
  <c r="L2162" i="7"/>
  <c r="P2103" i="7" l="1"/>
  <c r="N2103" i="7"/>
  <c r="O2104" i="7" s="1"/>
  <c r="M2162" i="7"/>
  <c r="L2163" i="7"/>
  <c r="N2104" i="7" l="1"/>
  <c r="O2105" i="7" s="1"/>
  <c r="P2104" i="7"/>
  <c r="M2163" i="7"/>
  <c r="L2164" i="7"/>
  <c r="N2105" i="7" l="1"/>
  <c r="O2106" i="7" s="1"/>
  <c r="P2105" i="7"/>
  <c r="M2164" i="7"/>
  <c r="L2165" i="7"/>
  <c r="N2106" i="7" l="1"/>
  <c r="O2107" i="7" s="1"/>
  <c r="P2106" i="7"/>
  <c r="M2165" i="7"/>
  <c r="L2166" i="7"/>
  <c r="N2107" i="7" l="1"/>
  <c r="O2108" i="7" s="1"/>
  <c r="P2107" i="7"/>
  <c r="M2166" i="7"/>
  <c r="L2167" i="7"/>
  <c r="N2108" i="7" l="1"/>
  <c r="O2109" i="7" s="1"/>
  <c r="P2108" i="7"/>
  <c r="M2167" i="7"/>
  <c r="L2168" i="7"/>
  <c r="N2109" i="7" l="1"/>
  <c r="O2110" i="7" s="1"/>
  <c r="P2109" i="7"/>
  <c r="M2168" i="7"/>
  <c r="L2169" i="7"/>
  <c r="P2110" i="7" l="1"/>
  <c r="N2110" i="7"/>
  <c r="O2111" i="7" s="1"/>
  <c r="M2169" i="7"/>
  <c r="L2170" i="7"/>
  <c r="P2111" i="7" l="1"/>
  <c r="N2111" i="7"/>
  <c r="O2112" i="7" s="1"/>
  <c r="M2170" i="7"/>
  <c r="L2171" i="7"/>
  <c r="P2112" i="7" l="1"/>
  <c r="N2112" i="7"/>
  <c r="O2113" i="7" s="1"/>
  <c r="M2171" i="7"/>
  <c r="L2172" i="7"/>
  <c r="P2113" i="7" l="1"/>
  <c r="N2113" i="7"/>
  <c r="O2114" i="7" s="1"/>
  <c r="M2172" i="7"/>
  <c r="L2173" i="7"/>
  <c r="N2114" i="7" l="1"/>
  <c r="O2115" i="7" s="1"/>
  <c r="P2114" i="7"/>
  <c r="M2173" i="7"/>
  <c r="L2174" i="7"/>
  <c r="N2115" i="7" l="1"/>
  <c r="O2116" i="7" s="1"/>
  <c r="P2115" i="7"/>
  <c r="M2174" i="7"/>
  <c r="L2175" i="7"/>
  <c r="P2116" i="7" l="1"/>
  <c r="N2116" i="7"/>
  <c r="O2117" i="7" s="1"/>
  <c r="M2175" i="7"/>
  <c r="L2176" i="7"/>
  <c r="N2117" i="7" l="1"/>
  <c r="O2118" i="7" s="1"/>
  <c r="P2117" i="7"/>
  <c r="M2176" i="7"/>
  <c r="L2177" i="7"/>
  <c r="N2118" i="7" l="1"/>
  <c r="O2119" i="7" s="1"/>
  <c r="P2118" i="7"/>
  <c r="M2177" i="7"/>
  <c r="L2178" i="7"/>
  <c r="P2119" i="7" l="1"/>
  <c r="N2119" i="7"/>
  <c r="O2120" i="7" s="1"/>
  <c r="M2178" i="7"/>
  <c r="L2179" i="7"/>
  <c r="N2120" i="7" l="1"/>
  <c r="O2121" i="7" s="1"/>
  <c r="P2120" i="7"/>
  <c r="M2179" i="7"/>
  <c r="L2180" i="7"/>
  <c r="N2121" i="7" l="1"/>
  <c r="O2122" i="7" s="1"/>
  <c r="P2121" i="7"/>
  <c r="M2180" i="7"/>
  <c r="L2181" i="7"/>
  <c r="N2122" i="7" l="1"/>
  <c r="O2123" i="7" s="1"/>
  <c r="P2122" i="7"/>
  <c r="M2181" i="7"/>
  <c r="L2182" i="7"/>
  <c r="N2123" i="7" l="1"/>
  <c r="O2124" i="7" s="1"/>
  <c r="P2123" i="7"/>
  <c r="M2182" i="7"/>
  <c r="L2183" i="7"/>
  <c r="P2124" i="7" l="1"/>
  <c r="N2124" i="7"/>
  <c r="O2125" i="7" s="1"/>
  <c r="M2183" i="7"/>
  <c r="L2184" i="7"/>
  <c r="N2125" i="7" l="1"/>
  <c r="O2126" i="7" s="1"/>
  <c r="P2125" i="7"/>
  <c r="M2184" i="7"/>
  <c r="L2185" i="7"/>
  <c r="P2126" i="7" l="1"/>
  <c r="N2126" i="7"/>
  <c r="O2127" i="7" s="1"/>
  <c r="M2185" i="7"/>
  <c r="L2186" i="7"/>
  <c r="N2127" i="7" l="1"/>
  <c r="O2128" i="7" s="1"/>
  <c r="P2127" i="7"/>
  <c r="M2186" i="7"/>
  <c r="L2187" i="7"/>
  <c r="N2128" i="7" l="1"/>
  <c r="O2129" i="7" s="1"/>
  <c r="P2128" i="7"/>
  <c r="M2187" i="7"/>
  <c r="L2188" i="7"/>
  <c r="P2129" i="7" l="1"/>
  <c r="N2129" i="7"/>
  <c r="O2130" i="7" s="1"/>
  <c r="M2188" i="7"/>
  <c r="L2189" i="7"/>
  <c r="N2130" i="7" l="1"/>
  <c r="O2131" i="7" s="1"/>
  <c r="P2130" i="7"/>
  <c r="M2189" i="7"/>
  <c r="L2190" i="7"/>
  <c r="N2131" i="7" l="1"/>
  <c r="O2132" i="7" s="1"/>
  <c r="P2131" i="7"/>
  <c r="M2190" i="7"/>
  <c r="L2191" i="7"/>
  <c r="P2132" i="7" l="1"/>
  <c r="N2132" i="7"/>
  <c r="O2133" i="7" s="1"/>
  <c r="M2191" i="7"/>
  <c r="L2192" i="7"/>
  <c r="P2133" i="7" l="1"/>
  <c r="N2133" i="7"/>
  <c r="O2134" i="7" s="1"/>
  <c r="M2192" i="7"/>
  <c r="L2193" i="7"/>
  <c r="P2134" i="7" l="1"/>
  <c r="N2134" i="7"/>
  <c r="O2135" i="7" s="1"/>
  <c r="M2193" i="7"/>
  <c r="L2194" i="7"/>
  <c r="P2135" i="7" l="1"/>
  <c r="N2135" i="7"/>
  <c r="O2136" i="7" s="1"/>
  <c r="M2194" i="7"/>
  <c r="L2195" i="7"/>
  <c r="P2136" i="7" l="1"/>
  <c r="N2136" i="7"/>
  <c r="O2137" i="7" s="1"/>
  <c r="M2195" i="7"/>
  <c r="L2196" i="7"/>
  <c r="N2137" i="7" l="1"/>
  <c r="O2138" i="7" s="1"/>
  <c r="P2137" i="7"/>
  <c r="M2196" i="7"/>
  <c r="L2197" i="7"/>
  <c r="N2138" i="7" l="1"/>
  <c r="O2139" i="7" s="1"/>
  <c r="P2138" i="7"/>
  <c r="M2197" i="7"/>
  <c r="L2198" i="7"/>
  <c r="N2139" i="7" l="1"/>
  <c r="O2140" i="7" s="1"/>
  <c r="P2139" i="7"/>
  <c r="M2198" i="7"/>
  <c r="L2199" i="7"/>
  <c r="N2140" i="7" l="1"/>
  <c r="O2141" i="7" s="1"/>
  <c r="P2140" i="7"/>
  <c r="M2199" i="7"/>
  <c r="L2200" i="7"/>
  <c r="N2141" i="7" l="1"/>
  <c r="O2142" i="7" s="1"/>
  <c r="P2141" i="7"/>
  <c r="M2200" i="7"/>
  <c r="L2201" i="7"/>
  <c r="P2142" i="7" l="1"/>
  <c r="N2142" i="7"/>
  <c r="O2143" i="7" s="1"/>
  <c r="M2201" i="7"/>
  <c r="L2202" i="7"/>
  <c r="P2143" i="7" l="1"/>
  <c r="N2143" i="7"/>
  <c r="O2144" i="7" s="1"/>
  <c r="M2202" i="7"/>
  <c r="L2203" i="7"/>
  <c r="P2144" i="7" l="1"/>
  <c r="N2144" i="7"/>
  <c r="O2145" i="7" s="1"/>
  <c r="M2203" i="7"/>
  <c r="L2204" i="7"/>
  <c r="P2145" i="7" l="1"/>
  <c r="N2145" i="7"/>
  <c r="O2146" i="7" s="1"/>
  <c r="M2204" i="7"/>
  <c r="L2205" i="7"/>
  <c r="P2146" i="7" l="1"/>
  <c r="N2146" i="7"/>
  <c r="O2147" i="7" s="1"/>
  <c r="M2205" i="7"/>
  <c r="L2206" i="7"/>
  <c r="N2147" i="7" l="1"/>
  <c r="O2148" i="7" s="1"/>
  <c r="P2147" i="7"/>
  <c r="M2206" i="7"/>
  <c r="L2207" i="7"/>
  <c r="P2148" i="7" l="1"/>
  <c r="N2148" i="7"/>
  <c r="O2149" i="7" s="1"/>
  <c r="M2207" i="7"/>
  <c r="L2208" i="7"/>
  <c r="P2149" i="7" l="1"/>
  <c r="N2149" i="7"/>
  <c r="O2150" i="7" s="1"/>
  <c r="M2208" i="7"/>
  <c r="L2209" i="7"/>
  <c r="N2150" i="7" l="1"/>
  <c r="O2151" i="7" s="1"/>
  <c r="P2150" i="7"/>
  <c r="M2209" i="7"/>
  <c r="L2210" i="7"/>
  <c r="P2151" i="7" l="1"/>
  <c r="N2151" i="7"/>
  <c r="O2152" i="7" s="1"/>
  <c r="M2210" i="7"/>
  <c r="L2211" i="7"/>
  <c r="P2152" i="7" l="1"/>
  <c r="N2152" i="7"/>
  <c r="O2153" i="7" s="1"/>
  <c r="M2211" i="7"/>
  <c r="L2212" i="7"/>
  <c r="P2153" i="7" l="1"/>
  <c r="N2153" i="7"/>
  <c r="O2154" i="7" s="1"/>
  <c r="M2212" i="7"/>
  <c r="L2213" i="7"/>
  <c r="P2154" i="7" l="1"/>
  <c r="N2154" i="7"/>
  <c r="O2155" i="7" s="1"/>
  <c r="M2213" i="7"/>
  <c r="L2214" i="7"/>
  <c r="N2155" i="7" l="1"/>
  <c r="O2156" i="7" s="1"/>
  <c r="P2155" i="7"/>
  <c r="M2214" i="7"/>
  <c r="L2215" i="7"/>
  <c r="P2156" i="7" l="1"/>
  <c r="N2156" i="7"/>
  <c r="O2157" i="7" s="1"/>
  <c r="M2215" i="7"/>
  <c r="L2216" i="7"/>
  <c r="N2157" i="7" l="1"/>
  <c r="O2158" i="7" s="1"/>
  <c r="P2157" i="7"/>
  <c r="M2216" i="7"/>
  <c r="L2217" i="7"/>
  <c r="N2158" i="7" l="1"/>
  <c r="O2159" i="7" s="1"/>
  <c r="P2158" i="7"/>
  <c r="M2217" i="7"/>
  <c r="L2218" i="7"/>
  <c r="N2159" i="7" l="1"/>
  <c r="O2160" i="7" s="1"/>
  <c r="P2159" i="7"/>
  <c r="M2218" i="7"/>
  <c r="L2219" i="7"/>
  <c r="N2160" i="7" l="1"/>
  <c r="O2161" i="7" s="1"/>
  <c r="P2160" i="7"/>
  <c r="M2219" i="7"/>
  <c r="L2220" i="7"/>
  <c r="N2161" i="7" l="1"/>
  <c r="O2162" i="7" s="1"/>
  <c r="P2161" i="7"/>
  <c r="M2220" i="7"/>
  <c r="L2221" i="7"/>
  <c r="P2162" i="7" l="1"/>
  <c r="N2162" i="7"/>
  <c r="O2163" i="7" s="1"/>
  <c r="M2221" i="7"/>
  <c r="L2222" i="7"/>
  <c r="P2163" i="7" l="1"/>
  <c r="N2163" i="7"/>
  <c r="O2164" i="7" s="1"/>
  <c r="M2222" i="7"/>
  <c r="L2223" i="7"/>
  <c r="P2164" i="7" l="1"/>
  <c r="N2164" i="7"/>
  <c r="O2165" i="7" s="1"/>
  <c r="M2223" i="7"/>
  <c r="L2224" i="7"/>
  <c r="P2165" i="7" l="1"/>
  <c r="N2165" i="7"/>
  <c r="O2166" i="7" s="1"/>
  <c r="M2224" i="7"/>
  <c r="L2225" i="7"/>
  <c r="N2166" i="7" l="1"/>
  <c r="O2167" i="7" s="1"/>
  <c r="P2166" i="7"/>
  <c r="M2225" i="7"/>
  <c r="L2226" i="7"/>
  <c r="N2167" i="7" l="1"/>
  <c r="O2168" i="7" s="1"/>
  <c r="P2167" i="7"/>
  <c r="M2226" i="7"/>
  <c r="L2227" i="7"/>
  <c r="P2168" i="7" l="1"/>
  <c r="N2168" i="7"/>
  <c r="O2169" i="7" s="1"/>
  <c r="M2227" i="7"/>
  <c r="L2228" i="7"/>
  <c r="N2169" i="7" l="1"/>
  <c r="O2170" i="7" s="1"/>
  <c r="P2169" i="7"/>
  <c r="M2228" i="7"/>
  <c r="L2229" i="7"/>
  <c r="P2170" i="7" l="1"/>
  <c r="N2170" i="7"/>
  <c r="O2171" i="7" s="1"/>
  <c r="M2229" i="7"/>
  <c r="L2230" i="7"/>
  <c r="N2171" i="7" l="1"/>
  <c r="O2172" i="7" s="1"/>
  <c r="P2171" i="7"/>
  <c r="M2230" i="7"/>
  <c r="L2231" i="7"/>
  <c r="N2172" i="7" l="1"/>
  <c r="O2173" i="7" s="1"/>
  <c r="P2172" i="7"/>
  <c r="M2231" i="7"/>
  <c r="L2232" i="7"/>
  <c r="N2173" i="7" l="1"/>
  <c r="O2174" i="7" s="1"/>
  <c r="P2173" i="7"/>
  <c r="M2232" i="7"/>
  <c r="L2233" i="7"/>
  <c r="P2174" i="7" l="1"/>
  <c r="N2174" i="7"/>
  <c r="O2175" i="7" s="1"/>
  <c r="M2233" i="7"/>
  <c r="L2234" i="7"/>
  <c r="P2175" i="7" l="1"/>
  <c r="N2175" i="7"/>
  <c r="O2176" i="7" s="1"/>
  <c r="M2234" i="7"/>
  <c r="L2235" i="7"/>
  <c r="P2176" i="7" l="1"/>
  <c r="N2176" i="7"/>
  <c r="O2177" i="7" s="1"/>
  <c r="M2235" i="7"/>
  <c r="L2236" i="7"/>
  <c r="N2177" i="7" l="1"/>
  <c r="O2178" i="7" s="1"/>
  <c r="P2177" i="7"/>
  <c r="M2236" i="7"/>
  <c r="L2237" i="7"/>
  <c r="P2178" i="7" l="1"/>
  <c r="N2178" i="7"/>
  <c r="O2179" i="7" s="1"/>
  <c r="M2237" i="7"/>
  <c r="L2238" i="7"/>
  <c r="N2179" i="7" l="1"/>
  <c r="O2180" i="7" s="1"/>
  <c r="P2179" i="7"/>
  <c r="M2238" i="7"/>
  <c r="L2239" i="7"/>
  <c r="N2180" i="7" l="1"/>
  <c r="O2181" i="7" s="1"/>
  <c r="P2180" i="7"/>
  <c r="M2239" i="7"/>
  <c r="L2240" i="7"/>
  <c r="P2181" i="7" l="1"/>
  <c r="N2181" i="7"/>
  <c r="O2182" i="7" s="1"/>
  <c r="M2240" i="7"/>
  <c r="L2241" i="7"/>
  <c r="N2182" i="7" l="1"/>
  <c r="O2183" i="7" s="1"/>
  <c r="P2182" i="7"/>
  <c r="M2241" i="7"/>
  <c r="L2242" i="7"/>
  <c r="P2183" i="7" l="1"/>
  <c r="N2183" i="7"/>
  <c r="O2184" i="7" s="1"/>
  <c r="M2242" i="7"/>
  <c r="L2243" i="7"/>
  <c r="P2184" i="7" l="1"/>
  <c r="N2184" i="7"/>
  <c r="O2185" i="7" s="1"/>
  <c r="M2243" i="7"/>
  <c r="L2244" i="7"/>
  <c r="N2185" i="7" l="1"/>
  <c r="O2186" i="7" s="1"/>
  <c r="P2185" i="7"/>
  <c r="M2244" i="7"/>
  <c r="L2245" i="7"/>
  <c r="N2186" i="7" l="1"/>
  <c r="O2187" i="7" s="1"/>
  <c r="P2186" i="7"/>
  <c r="M2245" i="7"/>
  <c r="L2246" i="7"/>
  <c r="P2187" i="7" l="1"/>
  <c r="N2187" i="7"/>
  <c r="O2188" i="7" s="1"/>
  <c r="M2246" i="7"/>
  <c r="L2247" i="7"/>
  <c r="N2188" i="7" l="1"/>
  <c r="O2189" i="7" s="1"/>
  <c r="P2188" i="7"/>
  <c r="M2247" i="7"/>
  <c r="L2248" i="7"/>
  <c r="P2189" i="7" l="1"/>
  <c r="N2189" i="7"/>
  <c r="O2190" i="7" s="1"/>
  <c r="M2248" i="7"/>
  <c r="L2249" i="7"/>
  <c r="N2190" i="7" l="1"/>
  <c r="O2191" i="7" s="1"/>
  <c r="P2190" i="7"/>
  <c r="M2249" i="7"/>
  <c r="L2250" i="7"/>
  <c r="N2191" i="7" l="1"/>
  <c r="O2192" i="7" s="1"/>
  <c r="P2191" i="7"/>
  <c r="M2250" i="7"/>
  <c r="L2251" i="7"/>
  <c r="P2192" i="7" l="1"/>
  <c r="N2192" i="7"/>
  <c r="O2193" i="7" s="1"/>
  <c r="M2251" i="7"/>
  <c r="L2252" i="7"/>
  <c r="N2193" i="7" l="1"/>
  <c r="O2194" i="7" s="1"/>
  <c r="P2193" i="7"/>
  <c r="M2252" i="7"/>
  <c r="L2253" i="7"/>
  <c r="N2194" i="7" l="1"/>
  <c r="O2195" i="7" s="1"/>
  <c r="P2194" i="7"/>
  <c r="M2253" i="7"/>
  <c r="L2254" i="7"/>
  <c r="N2195" i="7" l="1"/>
  <c r="O2196" i="7" s="1"/>
  <c r="P2195" i="7"/>
  <c r="M2254" i="7"/>
  <c r="L2255" i="7"/>
  <c r="N2196" i="7" l="1"/>
  <c r="O2197" i="7" s="1"/>
  <c r="P2196" i="7"/>
  <c r="M2255" i="7"/>
  <c r="L2256" i="7"/>
  <c r="P2197" i="7" l="1"/>
  <c r="N2197" i="7"/>
  <c r="O2198" i="7" s="1"/>
  <c r="M2256" i="7"/>
  <c r="L2257" i="7"/>
  <c r="P2198" i="7" l="1"/>
  <c r="N2198" i="7"/>
  <c r="O2199" i="7" s="1"/>
  <c r="M2257" i="7"/>
  <c r="L2258" i="7"/>
  <c r="P2199" i="7" l="1"/>
  <c r="N2199" i="7"/>
  <c r="O2200" i="7" s="1"/>
  <c r="M2258" i="7"/>
  <c r="L2259" i="7"/>
  <c r="N2200" i="7" l="1"/>
  <c r="O2201" i="7" s="1"/>
  <c r="P2200" i="7"/>
  <c r="M2259" i="7"/>
  <c r="L2260" i="7"/>
  <c r="P2201" i="7" l="1"/>
  <c r="N2201" i="7"/>
  <c r="O2202" i="7" s="1"/>
  <c r="M2260" i="7"/>
  <c r="L2261" i="7"/>
  <c r="N2202" i="7" l="1"/>
  <c r="O2203" i="7" s="1"/>
  <c r="P2202" i="7"/>
  <c r="M2261" i="7"/>
  <c r="L2262" i="7"/>
  <c r="P2203" i="7" l="1"/>
  <c r="N2203" i="7"/>
  <c r="O2204" i="7" s="1"/>
  <c r="M2262" i="7"/>
  <c r="L2263" i="7"/>
  <c r="P2204" i="7" l="1"/>
  <c r="N2204" i="7"/>
  <c r="O2205" i="7" s="1"/>
  <c r="M2263" i="7"/>
  <c r="L2264" i="7"/>
  <c r="N2205" i="7" l="1"/>
  <c r="O2206" i="7" s="1"/>
  <c r="P2205" i="7"/>
  <c r="M2264" i="7"/>
  <c r="L2265" i="7"/>
  <c r="N2206" i="7" l="1"/>
  <c r="O2207" i="7" s="1"/>
  <c r="P2206" i="7"/>
  <c r="M2265" i="7"/>
  <c r="L2266" i="7"/>
  <c r="N2207" i="7" l="1"/>
  <c r="O2208" i="7" s="1"/>
  <c r="P2207" i="7"/>
  <c r="M2266" i="7"/>
  <c r="L2267" i="7"/>
  <c r="N2208" i="7" l="1"/>
  <c r="O2209" i="7" s="1"/>
  <c r="P2208" i="7"/>
  <c r="M2267" i="7"/>
  <c r="L2268" i="7"/>
  <c r="P2209" i="7" l="1"/>
  <c r="N2209" i="7"/>
  <c r="O2210" i="7" s="1"/>
  <c r="M2268" i="7"/>
  <c r="L2269" i="7"/>
  <c r="N2210" i="7" l="1"/>
  <c r="O2211" i="7" s="1"/>
  <c r="P2210" i="7"/>
  <c r="M2269" i="7"/>
  <c r="L2270" i="7"/>
  <c r="N2211" i="7" l="1"/>
  <c r="O2212" i="7" s="1"/>
  <c r="P2211" i="7"/>
  <c r="M2270" i="7"/>
  <c r="L2271" i="7"/>
  <c r="N2212" i="7" l="1"/>
  <c r="O2213" i="7" s="1"/>
  <c r="P2212" i="7"/>
  <c r="M2271" i="7"/>
  <c r="L2272" i="7"/>
  <c r="N2213" i="7" l="1"/>
  <c r="O2214" i="7" s="1"/>
  <c r="P2213" i="7"/>
  <c r="M2272" i="7"/>
  <c r="L2273" i="7"/>
  <c r="N2214" i="7" l="1"/>
  <c r="O2215" i="7" s="1"/>
  <c r="P2214" i="7"/>
  <c r="M2273" i="7"/>
  <c r="L2274" i="7"/>
  <c r="P2215" i="7" l="1"/>
  <c r="N2215" i="7"/>
  <c r="O2216" i="7" s="1"/>
  <c r="M2274" i="7"/>
  <c r="L2275" i="7"/>
  <c r="N2216" i="7" l="1"/>
  <c r="O2217" i="7" s="1"/>
  <c r="P2216" i="7"/>
  <c r="M2275" i="7"/>
  <c r="L2276" i="7"/>
  <c r="N2217" i="7" l="1"/>
  <c r="O2218" i="7" s="1"/>
  <c r="P2217" i="7"/>
  <c r="M2276" i="7"/>
  <c r="L2277" i="7"/>
  <c r="N2218" i="7" l="1"/>
  <c r="O2219" i="7" s="1"/>
  <c r="P2218" i="7"/>
  <c r="M2277" i="7"/>
  <c r="L2278" i="7"/>
  <c r="N2219" i="7" l="1"/>
  <c r="O2220" i="7" s="1"/>
  <c r="P2219" i="7"/>
  <c r="M2278" i="7"/>
  <c r="L2279" i="7"/>
  <c r="P2220" i="7" l="1"/>
  <c r="N2220" i="7"/>
  <c r="O2221" i="7" s="1"/>
  <c r="M2279" i="7"/>
  <c r="L2280" i="7"/>
  <c r="N2221" i="7" l="1"/>
  <c r="O2222" i="7" s="1"/>
  <c r="P2221" i="7"/>
  <c r="M2280" i="7"/>
  <c r="L2281" i="7"/>
  <c r="P2222" i="7" l="1"/>
  <c r="N2222" i="7"/>
  <c r="O2223" i="7" s="1"/>
  <c r="M2281" i="7"/>
  <c r="L2282" i="7"/>
  <c r="N2223" i="7" l="1"/>
  <c r="O2224" i="7" s="1"/>
  <c r="P2223" i="7"/>
  <c r="M2282" i="7"/>
  <c r="L2283" i="7"/>
  <c r="P2224" i="7" l="1"/>
  <c r="N2224" i="7"/>
  <c r="O2225" i="7" s="1"/>
  <c r="M2283" i="7"/>
  <c r="L2284" i="7"/>
  <c r="P2225" i="7" l="1"/>
  <c r="N2225" i="7"/>
  <c r="O2226" i="7" s="1"/>
  <c r="M2284" i="7"/>
  <c r="L2285" i="7"/>
  <c r="N2226" i="7" l="1"/>
  <c r="O2227" i="7" s="1"/>
  <c r="P2226" i="7"/>
  <c r="M2285" i="7"/>
  <c r="L2286" i="7"/>
  <c r="P2227" i="7" l="1"/>
  <c r="N2227" i="7"/>
  <c r="O2228" i="7" s="1"/>
  <c r="M2286" i="7"/>
  <c r="L2287" i="7"/>
  <c r="P2228" i="7" l="1"/>
  <c r="N2228" i="7"/>
  <c r="O2229" i="7" s="1"/>
  <c r="M2287" i="7"/>
  <c r="L2288" i="7"/>
  <c r="P2229" i="7" l="1"/>
  <c r="N2229" i="7"/>
  <c r="O2230" i="7" s="1"/>
  <c r="M2288" i="7"/>
  <c r="L2289" i="7"/>
  <c r="N2230" i="7" l="1"/>
  <c r="O2231" i="7" s="1"/>
  <c r="P2230" i="7"/>
  <c r="M2289" i="7"/>
  <c r="L2290" i="7"/>
  <c r="N2231" i="7" l="1"/>
  <c r="O2232" i="7" s="1"/>
  <c r="P2231" i="7"/>
  <c r="M2290" i="7"/>
  <c r="L2291" i="7"/>
  <c r="P2232" i="7" l="1"/>
  <c r="N2232" i="7"/>
  <c r="O2233" i="7" s="1"/>
  <c r="M2291" i="7"/>
  <c r="L2292" i="7"/>
  <c r="P2233" i="7" l="1"/>
  <c r="N2233" i="7"/>
  <c r="O2234" i="7" s="1"/>
  <c r="M2292" i="7"/>
  <c r="L2293" i="7"/>
  <c r="N2234" i="7" l="1"/>
  <c r="O2235" i="7" s="1"/>
  <c r="P2234" i="7"/>
  <c r="M2293" i="7"/>
  <c r="L2294" i="7"/>
  <c r="N2235" i="7" l="1"/>
  <c r="O2236" i="7" s="1"/>
  <c r="P2235" i="7"/>
  <c r="M2294" i="7"/>
  <c r="L2295" i="7"/>
  <c r="P2236" i="7" l="1"/>
  <c r="N2236" i="7"/>
  <c r="O2237" i="7" s="1"/>
  <c r="M2295" i="7"/>
  <c r="L2296" i="7"/>
  <c r="N2237" i="7" l="1"/>
  <c r="O2238" i="7" s="1"/>
  <c r="P2237" i="7"/>
  <c r="M2296" i="7"/>
  <c r="L2297" i="7"/>
  <c r="P2238" i="7" l="1"/>
  <c r="N2238" i="7"/>
  <c r="O2239" i="7" s="1"/>
  <c r="M2297" i="7"/>
  <c r="L2298" i="7"/>
  <c r="N2239" i="7" l="1"/>
  <c r="O2240" i="7" s="1"/>
  <c r="P2239" i="7"/>
  <c r="M2298" i="7"/>
  <c r="L2299" i="7"/>
  <c r="N2240" i="7" l="1"/>
  <c r="O2241" i="7" s="1"/>
  <c r="P2240" i="7"/>
  <c r="M2299" i="7"/>
  <c r="L2300" i="7"/>
  <c r="N2241" i="7" l="1"/>
  <c r="O2242" i="7" s="1"/>
  <c r="P2241" i="7"/>
  <c r="M2300" i="7"/>
  <c r="L2301" i="7"/>
  <c r="N2242" i="7" l="1"/>
  <c r="O2243" i="7" s="1"/>
  <c r="P2242" i="7"/>
  <c r="M2301" i="7"/>
  <c r="L2302" i="7"/>
  <c r="P2243" i="7" l="1"/>
  <c r="N2243" i="7"/>
  <c r="O2244" i="7" s="1"/>
  <c r="M2302" i="7"/>
  <c r="L2303" i="7"/>
  <c r="N2244" i="7" l="1"/>
  <c r="O2245" i="7" s="1"/>
  <c r="P2244" i="7"/>
  <c r="M2303" i="7"/>
  <c r="L2304" i="7"/>
  <c r="N2245" i="7" l="1"/>
  <c r="O2246" i="7" s="1"/>
  <c r="P2245" i="7"/>
  <c r="M2304" i="7"/>
  <c r="L2305" i="7"/>
  <c r="N2246" i="7" l="1"/>
  <c r="O2247" i="7" s="1"/>
  <c r="P2246" i="7"/>
  <c r="M2305" i="7"/>
  <c r="L2306" i="7"/>
  <c r="N2247" i="7" l="1"/>
  <c r="O2248" i="7" s="1"/>
  <c r="P2247" i="7"/>
  <c r="M2306" i="7"/>
  <c r="L2307" i="7"/>
  <c r="P2248" i="7" l="1"/>
  <c r="N2248" i="7"/>
  <c r="O2249" i="7" s="1"/>
  <c r="M2307" i="7"/>
  <c r="L2308" i="7"/>
  <c r="P2249" i="7" l="1"/>
  <c r="N2249" i="7"/>
  <c r="O2250" i="7" s="1"/>
  <c r="M2308" i="7"/>
  <c r="L2309" i="7"/>
  <c r="N2250" i="7" l="1"/>
  <c r="O2251" i="7" s="1"/>
  <c r="P2250" i="7"/>
  <c r="M2309" i="7"/>
  <c r="L2310" i="7"/>
  <c r="N2251" i="7" l="1"/>
  <c r="O2252" i="7" s="1"/>
  <c r="P2251" i="7"/>
  <c r="M2310" i="7"/>
  <c r="L2311" i="7"/>
  <c r="N2252" i="7" l="1"/>
  <c r="O2253" i="7" s="1"/>
  <c r="P2252" i="7"/>
  <c r="M2311" i="7"/>
  <c r="L2312" i="7"/>
  <c r="N2253" i="7" l="1"/>
  <c r="O2254" i="7" s="1"/>
  <c r="P2253" i="7"/>
  <c r="M2312" i="7"/>
  <c r="L2313" i="7"/>
  <c r="P2254" i="7" l="1"/>
  <c r="N2254" i="7"/>
  <c r="O2255" i="7" s="1"/>
  <c r="M2313" i="7"/>
  <c r="L2314" i="7"/>
  <c r="N2255" i="7" l="1"/>
  <c r="O2256" i="7" s="1"/>
  <c r="P2255" i="7"/>
  <c r="M2314" i="7"/>
  <c r="L2315" i="7"/>
  <c r="P2256" i="7" l="1"/>
  <c r="N2256" i="7"/>
  <c r="O2257" i="7" s="1"/>
  <c r="M2315" i="7"/>
  <c r="L2316" i="7"/>
  <c r="N2257" i="7" l="1"/>
  <c r="O2258" i="7" s="1"/>
  <c r="P2257" i="7"/>
  <c r="M2316" i="7"/>
  <c r="L2317" i="7"/>
  <c r="P2258" i="7" l="1"/>
  <c r="N2258" i="7"/>
  <c r="O2259" i="7" s="1"/>
  <c r="M2317" i="7"/>
  <c r="L2318" i="7"/>
  <c r="P2259" i="7" l="1"/>
  <c r="N2259" i="7"/>
  <c r="O2260" i="7" s="1"/>
  <c r="M2318" i="7"/>
  <c r="L2319" i="7"/>
  <c r="P2260" i="7" l="1"/>
  <c r="N2260" i="7"/>
  <c r="O2261" i="7" s="1"/>
  <c r="M2319" i="7"/>
  <c r="L2320" i="7"/>
  <c r="N2261" i="7" l="1"/>
  <c r="O2262" i="7" s="1"/>
  <c r="P2261" i="7"/>
  <c r="M2320" i="7"/>
  <c r="L2321" i="7"/>
  <c r="P2262" i="7" l="1"/>
  <c r="N2262" i="7"/>
  <c r="O2263" i="7" s="1"/>
  <c r="M2321" i="7"/>
  <c r="L2322" i="7"/>
  <c r="P2263" i="7" l="1"/>
  <c r="N2263" i="7"/>
  <c r="O2264" i="7" s="1"/>
  <c r="M2322" i="7"/>
  <c r="L2323" i="7"/>
  <c r="P2264" i="7" l="1"/>
  <c r="N2264" i="7"/>
  <c r="O2265" i="7" s="1"/>
  <c r="M2323" i="7"/>
  <c r="L2324" i="7"/>
  <c r="N2265" i="7" l="1"/>
  <c r="O2266" i="7" s="1"/>
  <c r="P2265" i="7"/>
  <c r="M2324" i="7"/>
  <c r="L2325" i="7"/>
  <c r="P2266" i="7" l="1"/>
  <c r="N2266" i="7"/>
  <c r="O2267" i="7" s="1"/>
  <c r="M2325" i="7"/>
  <c r="L2326" i="7"/>
  <c r="P2267" i="7" l="1"/>
  <c r="N2267" i="7"/>
  <c r="O2268" i="7" s="1"/>
  <c r="M2326" i="7"/>
  <c r="L2327" i="7"/>
  <c r="N2268" i="7" l="1"/>
  <c r="O2269" i="7" s="1"/>
  <c r="P2268" i="7"/>
  <c r="M2327" i="7"/>
  <c r="L2328" i="7"/>
  <c r="N2269" i="7" l="1"/>
  <c r="O2270" i="7" s="1"/>
  <c r="P2269" i="7"/>
  <c r="M2328" i="7"/>
  <c r="L2329" i="7"/>
  <c r="P2270" i="7" l="1"/>
  <c r="N2270" i="7"/>
  <c r="O2271" i="7" s="1"/>
  <c r="M2329" i="7"/>
  <c r="L2330" i="7"/>
  <c r="N2271" i="7" l="1"/>
  <c r="O2272" i="7" s="1"/>
  <c r="P2271" i="7"/>
  <c r="M2330" i="7"/>
  <c r="L2331" i="7"/>
  <c r="P2272" i="7" l="1"/>
  <c r="N2272" i="7"/>
  <c r="O2273" i="7" s="1"/>
  <c r="M2331" i="7"/>
  <c r="L2332" i="7"/>
  <c r="N2273" i="7" l="1"/>
  <c r="O2274" i="7" s="1"/>
  <c r="P2273" i="7"/>
  <c r="M2332" i="7"/>
  <c r="L2333" i="7"/>
  <c r="N2274" i="7" l="1"/>
  <c r="O2275" i="7" s="1"/>
  <c r="P2274" i="7"/>
  <c r="M2333" i="7"/>
  <c r="L2334" i="7"/>
  <c r="P2275" i="7" l="1"/>
  <c r="N2275" i="7"/>
  <c r="O2276" i="7" s="1"/>
  <c r="M2334" i="7"/>
  <c r="L2335" i="7"/>
  <c r="P2276" i="7" l="1"/>
  <c r="N2276" i="7"/>
  <c r="O2277" i="7" s="1"/>
  <c r="M2335" i="7"/>
  <c r="L2336" i="7"/>
  <c r="N2277" i="7" l="1"/>
  <c r="O2278" i="7" s="1"/>
  <c r="P2277" i="7"/>
  <c r="M2336" i="7"/>
  <c r="L2337" i="7"/>
  <c r="P2278" i="7" l="1"/>
  <c r="N2278" i="7"/>
  <c r="O2279" i="7" s="1"/>
  <c r="M2337" i="7"/>
  <c r="L2338" i="7"/>
  <c r="P2279" i="7" l="1"/>
  <c r="N2279" i="7"/>
  <c r="O2280" i="7" s="1"/>
  <c r="M2338" i="7"/>
  <c r="L2339" i="7"/>
  <c r="N2280" i="7" l="1"/>
  <c r="O2281" i="7" s="1"/>
  <c r="P2280" i="7"/>
  <c r="M2339" i="7"/>
  <c r="L2340" i="7"/>
  <c r="N2281" i="7" l="1"/>
  <c r="O2282" i="7" s="1"/>
  <c r="P2281" i="7"/>
  <c r="M2340" i="7"/>
  <c r="L2341" i="7"/>
  <c r="N2282" i="7" l="1"/>
  <c r="O2283" i="7" s="1"/>
  <c r="P2282" i="7"/>
  <c r="M2341" i="7"/>
  <c r="L2342" i="7"/>
  <c r="P2283" i="7" l="1"/>
  <c r="N2283" i="7"/>
  <c r="O2284" i="7" s="1"/>
  <c r="M2342" i="7"/>
  <c r="L2343" i="7"/>
  <c r="P2284" i="7" l="1"/>
  <c r="N2284" i="7"/>
  <c r="O2285" i="7" s="1"/>
  <c r="M2343" i="7"/>
  <c r="L2344" i="7"/>
  <c r="P2285" i="7" l="1"/>
  <c r="N2285" i="7"/>
  <c r="O2286" i="7" s="1"/>
  <c r="M2344" i="7"/>
  <c r="L2345" i="7"/>
  <c r="N2286" i="7" l="1"/>
  <c r="O2287" i="7" s="1"/>
  <c r="P2286" i="7"/>
  <c r="M2345" i="7"/>
  <c r="L2346" i="7"/>
  <c r="N2287" i="7" l="1"/>
  <c r="O2288" i="7" s="1"/>
  <c r="P2287" i="7"/>
  <c r="M2346" i="7"/>
  <c r="L2347" i="7"/>
  <c r="N2288" i="7" l="1"/>
  <c r="O2289" i="7" s="1"/>
  <c r="P2288" i="7"/>
  <c r="M2347" i="7"/>
  <c r="L2348" i="7"/>
  <c r="P2289" i="7" l="1"/>
  <c r="N2289" i="7"/>
  <c r="O2290" i="7" s="1"/>
  <c r="M2348" i="7"/>
  <c r="L2349" i="7"/>
  <c r="N2290" i="7" l="1"/>
  <c r="O2291" i="7" s="1"/>
  <c r="P2290" i="7"/>
  <c r="M2349" i="7"/>
  <c r="L2350" i="7"/>
  <c r="N2291" i="7" l="1"/>
  <c r="O2292" i="7" s="1"/>
  <c r="P2291" i="7"/>
  <c r="M2350" i="7"/>
  <c r="L2351" i="7"/>
  <c r="P2292" i="7" l="1"/>
  <c r="N2292" i="7"/>
  <c r="O2293" i="7" s="1"/>
  <c r="M2351" i="7"/>
  <c r="L2352" i="7"/>
  <c r="P2293" i="7" l="1"/>
  <c r="N2293" i="7"/>
  <c r="O2294" i="7" s="1"/>
  <c r="M2352" i="7"/>
  <c r="L2353" i="7"/>
  <c r="N2294" i="7" l="1"/>
  <c r="O2295" i="7" s="1"/>
  <c r="P2294" i="7"/>
  <c r="M2353" i="7"/>
  <c r="L2354" i="7"/>
  <c r="N2295" i="7" l="1"/>
  <c r="O2296" i="7" s="1"/>
  <c r="P2295" i="7"/>
  <c r="M2354" i="7"/>
  <c r="L2355" i="7"/>
  <c r="N2296" i="7" l="1"/>
  <c r="O2297" i="7" s="1"/>
  <c r="P2296" i="7"/>
  <c r="M2355" i="7"/>
  <c r="L2356" i="7"/>
  <c r="N2297" i="7" l="1"/>
  <c r="O2298" i="7" s="1"/>
  <c r="P2297" i="7"/>
  <c r="M2356" i="7"/>
  <c r="L2357" i="7"/>
  <c r="N2298" i="7" l="1"/>
  <c r="O2299" i="7" s="1"/>
  <c r="P2298" i="7"/>
  <c r="M2357" i="7"/>
  <c r="L2358" i="7"/>
  <c r="N2299" i="7" l="1"/>
  <c r="O2300" i="7" s="1"/>
  <c r="P2299" i="7"/>
  <c r="M2358" i="7"/>
  <c r="L2359" i="7"/>
  <c r="N2300" i="7" l="1"/>
  <c r="O2301" i="7" s="1"/>
  <c r="P2300" i="7"/>
  <c r="M2359" i="7"/>
  <c r="L2360" i="7"/>
  <c r="N2301" i="7" l="1"/>
  <c r="O2302" i="7" s="1"/>
  <c r="P2301" i="7"/>
  <c r="M2360" i="7"/>
  <c r="L2361" i="7"/>
  <c r="P2302" i="7" l="1"/>
  <c r="N2302" i="7"/>
  <c r="O2303" i="7" s="1"/>
  <c r="M2361" i="7"/>
  <c r="L2362" i="7"/>
  <c r="P2303" i="7" l="1"/>
  <c r="N2303" i="7"/>
  <c r="O2304" i="7" s="1"/>
  <c r="M2362" i="7"/>
  <c r="L2363" i="7"/>
  <c r="N2304" i="7" l="1"/>
  <c r="O2305" i="7" s="1"/>
  <c r="P2304" i="7"/>
  <c r="M2363" i="7"/>
  <c r="L2364" i="7"/>
  <c r="P2305" i="7" l="1"/>
  <c r="N2305" i="7"/>
  <c r="O2306" i="7" s="1"/>
  <c r="M2364" i="7"/>
  <c r="L2365" i="7"/>
  <c r="N2306" i="7" l="1"/>
  <c r="O2307" i="7" s="1"/>
  <c r="P2306" i="7"/>
  <c r="M2365" i="7"/>
  <c r="L2366" i="7"/>
  <c r="N2307" i="7" l="1"/>
  <c r="O2308" i="7" s="1"/>
  <c r="P2307" i="7"/>
  <c r="M2366" i="7"/>
  <c r="L2367" i="7"/>
  <c r="P2308" i="7" l="1"/>
  <c r="N2308" i="7"/>
  <c r="O2309" i="7" s="1"/>
  <c r="M2367" i="7"/>
  <c r="L2368" i="7"/>
  <c r="P2309" i="7" l="1"/>
  <c r="N2309" i="7"/>
  <c r="O2310" i="7" s="1"/>
  <c r="M2368" i="7"/>
  <c r="L2369" i="7"/>
  <c r="N2310" i="7" l="1"/>
  <c r="O2311" i="7" s="1"/>
  <c r="P2310" i="7"/>
  <c r="M2369" i="7"/>
  <c r="L2370" i="7"/>
  <c r="N2311" i="7" l="1"/>
  <c r="O2312" i="7" s="1"/>
  <c r="P2311" i="7"/>
  <c r="M2370" i="7"/>
  <c r="L2371" i="7"/>
  <c r="P2312" i="7" l="1"/>
  <c r="N2312" i="7"/>
  <c r="O2313" i="7" s="1"/>
  <c r="M2371" i="7"/>
  <c r="L2372" i="7"/>
  <c r="P2313" i="7" l="1"/>
  <c r="N2313" i="7"/>
  <c r="O2314" i="7" s="1"/>
  <c r="M2372" i="7"/>
  <c r="L2373" i="7"/>
  <c r="N2314" i="7" l="1"/>
  <c r="O2315" i="7" s="1"/>
  <c r="P2314" i="7"/>
  <c r="M2373" i="7"/>
  <c r="L2374" i="7"/>
  <c r="P2315" i="7" l="1"/>
  <c r="N2315" i="7"/>
  <c r="O2316" i="7" s="1"/>
  <c r="M2374" i="7"/>
  <c r="L2375" i="7"/>
  <c r="P2316" i="7" l="1"/>
  <c r="N2316" i="7"/>
  <c r="O2317" i="7" s="1"/>
  <c r="M2375" i="7"/>
  <c r="L2376" i="7"/>
  <c r="P2317" i="7" l="1"/>
  <c r="N2317" i="7"/>
  <c r="O2318" i="7" s="1"/>
  <c r="M2376" i="7"/>
  <c r="L2377" i="7"/>
  <c r="P2318" i="7" l="1"/>
  <c r="N2318" i="7"/>
  <c r="O2319" i="7" s="1"/>
  <c r="M2377" i="7"/>
  <c r="L2378" i="7"/>
  <c r="N2319" i="7" l="1"/>
  <c r="O2320" i="7" s="1"/>
  <c r="P2319" i="7"/>
  <c r="M2378" i="7"/>
  <c r="L2379" i="7"/>
  <c r="N2320" i="7" l="1"/>
  <c r="O2321" i="7" s="1"/>
  <c r="P2320" i="7"/>
  <c r="M2379" i="7"/>
  <c r="L2380" i="7"/>
  <c r="N2321" i="7" l="1"/>
  <c r="O2322" i="7" s="1"/>
  <c r="P2321" i="7"/>
  <c r="M2380" i="7"/>
  <c r="L2381" i="7"/>
  <c r="N2322" i="7" l="1"/>
  <c r="O2323" i="7" s="1"/>
  <c r="P2322" i="7"/>
  <c r="M2381" i="7"/>
  <c r="L2382" i="7"/>
  <c r="P2323" i="7" l="1"/>
  <c r="N2323" i="7"/>
  <c r="O2324" i="7" s="1"/>
  <c r="M2382" i="7"/>
  <c r="L2383" i="7"/>
  <c r="P2324" i="7" l="1"/>
  <c r="N2324" i="7"/>
  <c r="O2325" i="7" s="1"/>
  <c r="M2383" i="7"/>
  <c r="L2384" i="7"/>
  <c r="N2325" i="7" l="1"/>
  <c r="O2326" i="7" s="1"/>
  <c r="P2325" i="7"/>
  <c r="M2384" i="7"/>
  <c r="L2385" i="7"/>
  <c r="N2326" i="7" l="1"/>
  <c r="O2327" i="7" s="1"/>
  <c r="P2326" i="7"/>
  <c r="M2385" i="7"/>
  <c r="L2386" i="7"/>
  <c r="P2327" i="7" l="1"/>
  <c r="N2327" i="7"/>
  <c r="O2328" i="7" s="1"/>
  <c r="M2386" i="7"/>
  <c r="L2387" i="7"/>
  <c r="P2328" i="7" l="1"/>
  <c r="N2328" i="7"/>
  <c r="O2329" i="7" s="1"/>
  <c r="M2387" i="7"/>
  <c r="L2388" i="7"/>
  <c r="N2329" i="7" l="1"/>
  <c r="O2330" i="7" s="1"/>
  <c r="P2329" i="7"/>
  <c r="M2388" i="7"/>
  <c r="L2389" i="7"/>
  <c r="P2330" i="7" l="1"/>
  <c r="N2330" i="7"/>
  <c r="O2331" i="7" s="1"/>
  <c r="M2389" i="7"/>
  <c r="L2390" i="7"/>
  <c r="N2331" i="7" l="1"/>
  <c r="O2332" i="7" s="1"/>
  <c r="P2331" i="7"/>
  <c r="M2390" i="7"/>
  <c r="L2391" i="7"/>
  <c r="P2332" i="7" l="1"/>
  <c r="N2332" i="7"/>
  <c r="O2333" i="7" s="1"/>
  <c r="M2391" i="7"/>
  <c r="L2392" i="7"/>
  <c r="P2333" i="7" l="1"/>
  <c r="N2333" i="7"/>
  <c r="O2334" i="7" s="1"/>
  <c r="M2392" i="7"/>
  <c r="L2393" i="7"/>
  <c r="N2334" i="7" l="1"/>
  <c r="O2335" i="7" s="1"/>
  <c r="P2334" i="7"/>
  <c r="M2393" i="7"/>
  <c r="L2394" i="7"/>
  <c r="N2335" i="7" l="1"/>
  <c r="O2336" i="7" s="1"/>
  <c r="P2335" i="7"/>
  <c r="M2394" i="7"/>
  <c r="L2395" i="7"/>
  <c r="P2336" i="7" l="1"/>
  <c r="N2336" i="7"/>
  <c r="O2337" i="7" s="1"/>
  <c r="M2395" i="7"/>
  <c r="L2396" i="7"/>
  <c r="N2337" i="7" l="1"/>
  <c r="O2338" i="7" s="1"/>
  <c r="P2337" i="7"/>
  <c r="M2396" i="7"/>
  <c r="L2397" i="7"/>
  <c r="P2338" i="7" l="1"/>
  <c r="N2338" i="7"/>
  <c r="O2339" i="7" s="1"/>
  <c r="M2397" i="7"/>
  <c r="L2398" i="7"/>
  <c r="P2339" i="7" l="1"/>
  <c r="N2339" i="7"/>
  <c r="O2340" i="7" s="1"/>
  <c r="M2398" i="7"/>
  <c r="L2399" i="7"/>
  <c r="P2340" i="7" l="1"/>
  <c r="N2340" i="7"/>
  <c r="O2341" i="7" s="1"/>
  <c r="M2399" i="7"/>
  <c r="L2400" i="7"/>
  <c r="N2341" i="7" l="1"/>
  <c r="O2342" i="7" s="1"/>
  <c r="P2341" i="7"/>
  <c r="M2400" i="7"/>
  <c r="L2401" i="7"/>
  <c r="P2342" i="7" l="1"/>
  <c r="N2342" i="7"/>
  <c r="O2343" i="7" s="1"/>
  <c r="M2401" i="7"/>
  <c r="L2402" i="7"/>
  <c r="N2343" i="7" l="1"/>
  <c r="O2344" i="7" s="1"/>
  <c r="P2343" i="7"/>
  <c r="M2402" i="7"/>
  <c r="L2403" i="7"/>
  <c r="N2344" i="7" l="1"/>
  <c r="O2345" i="7" s="1"/>
  <c r="P2344" i="7"/>
  <c r="M2403" i="7"/>
  <c r="L2404" i="7"/>
  <c r="P2345" i="7" l="1"/>
  <c r="N2345" i="7"/>
  <c r="O2346" i="7" s="1"/>
  <c r="M2404" i="7"/>
  <c r="L2405" i="7"/>
  <c r="P2346" i="7" l="1"/>
  <c r="N2346" i="7"/>
  <c r="O2347" i="7" s="1"/>
  <c r="M2405" i="7"/>
  <c r="L2406" i="7"/>
  <c r="P2347" i="7" l="1"/>
  <c r="N2347" i="7"/>
  <c r="O2348" i="7" s="1"/>
  <c r="M2406" i="7"/>
  <c r="L2407" i="7"/>
  <c r="P2348" i="7" l="1"/>
  <c r="N2348" i="7"/>
  <c r="O2349" i="7" s="1"/>
  <c r="M2407" i="7"/>
  <c r="L2408" i="7"/>
  <c r="P2349" i="7" l="1"/>
  <c r="N2349" i="7"/>
  <c r="O2350" i="7" s="1"/>
  <c r="M2408" i="7"/>
  <c r="L2409" i="7"/>
  <c r="P2350" i="7" l="1"/>
  <c r="N2350" i="7"/>
  <c r="O2351" i="7" s="1"/>
  <c r="M2409" i="7"/>
  <c r="L2410" i="7"/>
  <c r="N2351" i="7" l="1"/>
  <c r="O2352" i="7" s="1"/>
  <c r="P2351" i="7"/>
  <c r="M2410" i="7"/>
  <c r="L2411" i="7"/>
  <c r="N2352" i="7" l="1"/>
  <c r="O2353" i="7" s="1"/>
  <c r="P2352" i="7"/>
  <c r="M2411" i="7"/>
  <c r="L2412" i="7"/>
  <c r="N2353" i="7" l="1"/>
  <c r="O2354" i="7" s="1"/>
  <c r="P2353" i="7"/>
  <c r="M2412" i="7"/>
  <c r="L2413" i="7"/>
  <c r="P2354" i="7" l="1"/>
  <c r="N2354" i="7"/>
  <c r="O2355" i="7" s="1"/>
  <c r="M2413" i="7"/>
  <c r="L2414" i="7"/>
  <c r="P2355" i="7" l="1"/>
  <c r="N2355" i="7"/>
  <c r="O2356" i="7" s="1"/>
  <c r="M2414" i="7"/>
  <c r="L2415" i="7"/>
  <c r="P2356" i="7" l="1"/>
  <c r="N2356" i="7"/>
  <c r="O2357" i="7" s="1"/>
  <c r="M2415" i="7"/>
  <c r="L2416" i="7"/>
  <c r="P2357" i="7" l="1"/>
  <c r="N2357" i="7"/>
  <c r="O2358" i="7" s="1"/>
  <c r="M2416" i="7"/>
  <c r="L2417" i="7"/>
  <c r="N2358" i="7" l="1"/>
  <c r="O2359" i="7" s="1"/>
  <c r="P2358" i="7"/>
  <c r="M2417" i="7"/>
  <c r="L2418" i="7"/>
  <c r="N2359" i="7" l="1"/>
  <c r="O2360" i="7" s="1"/>
  <c r="P2359" i="7"/>
  <c r="M2418" i="7"/>
  <c r="L2419" i="7"/>
  <c r="P2360" i="7" l="1"/>
  <c r="N2360" i="7"/>
  <c r="O2361" i="7" s="1"/>
  <c r="M2419" i="7"/>
  <c r="L2420" i="7"/>
  <c r="N2361" i="7" l="1"/>
  <c r="O2362" i="7" s="1"/>
  <c r="P2361" i="7"/>
  <c r="M2420" i="7"/>
  <c r="L2421" i="7"/>
  <c r="P2362" i="7" l="1"/>
  <c r="N2362" i="7"/>
  <c r="O2363" i="7" s="1"/>
  <c r="M2421" i="7"/>
  <c r="L2422" i="7"/>
  <c r="P2363" i="7" l="1"/>
  <c r="N2363" i="7"/>
  <c r="O2364" i="7" s="1"/>
  <c r="M2422" i="7"/>
  <c r="L2423" i="7"/>
  <c r="N2364" i="7" l="1"/>
  <c r="O2365" i="7" s="1"/>
  <c r="P2364" i="7"/>
  <c r="M2423" i="7"/>
  <c r="L2424" i="7"/>
  <c r="N2365" i="7" l="1"/>
  <c r="O2366" i="7" s="1"/>
  <c r="P2365" i="7"/>
  <c r="M2424" i="7"/>
  <c r="L2425" i="7"/>
  <c r="N2366" i="7" l="1"/>
  <c r="O2367" i="7" s="1"/>
  <c r="P2366" i="7"/>
  <c r="M2425" i="7"/>
  <c r="L2426" i="7"/>
  <c r="N2367" i="7" l="1"/>
  <c r="O2368" i="7" s="1"/>
  <c r="P2367" i="7"/>
  <c r="M2426" i="7"/>
  <c r="L2427" i="7"/>
  <c r="P2368" i="7" l="1"/>
  <c r="N2368" i="7"/>
  <c r="O2369" i="7" s="1"/>
  <c r="M2427" i="7"/>
  <c r="L2428" i="7"/>
  <c r="P2369" i="7" l="1"/>
  <c r="N2369" i="7"/>
  <c r="O2370" i="7" s="1"/>
  <c r="M2428" i="7"/>
  <c r="L2429" i="7"/>
  <c r="P2370" i="7" l="1"/>
  <c r="N2370" i="7"/>
  <c r="O2371" i="7" s="1"/>
  <c r="M2429" i="7"/>
  <c r="L2430" i="7"/>
  <c r="P2371" i="7" l="1"/>
  <c r="N2371" i="7"/>
  <c r="O2372" i="7" s="1"/>
  <c r="M2430" i="7"/>
  <c r="L2431" i="7"/>
  <c r="N2372" i="7" l="1"/>
  <c r="O2373" i="7" s="1"/>
  <c r="P2372" i="7"/>
  <c r="M2431" i="7"/>
  <c r="L2432" i="7"/>
  <c r="N2373" i="7" l="1"/>
  <c r="O2374" i="7" s="1"/>
  <c r="P2373" i="7"/>
  <c r="M2432" i="7"/>
  <c r="L2433" i="7"/>
  <c r="P2374" i="7" l="1"/>
  <c r="N2374" i="7"/>
  <c r="O2375" i="7" s="1"/>
  <c r="M2433" i="7"/>
  <c r="L2434" i="7"/>
  <c r="P2375" i="7" l="1"/>
  <c r="N2375" i="7"/>
  <c r="O2376" i="7" s="1"/>
  <c r="M2434" i="7"/>
  <c r="L2435" i="7"/>
  <c r="P2376" i="7" l="1"/>
  <c r="N2376" i="7"/>
  <c r="O2377" i="7" s="1"/>
  <c r="M2435" i="7"/>
  <c r="L2436" i="7"/>
  <c r="P2377" i="7" l="1"/>
  <c r="N2377" i="7"/>
  <c r="O2378" i="7" s="1"/>
  <c r="M2436" i="7"/>
  <c r="L2437" i="7"/>
  <c r="N2378" i="7" l="1"/>
  <c r="O2379" i="7" s="1"/>
  <c r="P2378" i="7"/>
  <c r="M2437" i="7"/>
  <c r="L2438" i="7"/>
  <c r="P2379" i="7" l="1"/>
  <c r="N2379" i="7"/>
  <c r="O2380" i="7" s="1"/>
  <c r="M2438" i="7"/>
  <c r="L2439" i="7"/>
  <c r="N2380" i="7" l="1"/>
  <c r="O2381" i="7" s="1"/>
  <c r="P2380" i="7"/>
  <c r="M2439" i="7"/>
  <c r="L2440" i="7"/>
  <c r="N2381" i="7" l="1"/>
  <c r="O2382" i="7" s="1"/>
  <c r="P2381" i="7"/>
  <c r="M2440" i="7"/>
  <c r="L2441" i="7"/>
  <c r="N2382" i="7" l="1"/>
  <c r="O2383" i="7" s="1"/>
  <c r="P2382" i="7"/>
  <c r="M2441" i="7"/>
  <c r="L2442" i="7"/>
  <c r="P2383" i="7" l="1"/>
  <c r="N2383" i="7"/>
  <c r="O2384" i="7" s="1"/>
  <c r="M2442" i="7"/>
  <c r="L2443" i="7"/>
  <c r="P2384" i="7" l="1"/>
  <c r="N2384" i="7"/>
  <c r="O2385" i="7" s="1"/>
  <c r="M2443" i="7"/>
  <c r="L2444" i="7"/>
  <c r="N2385" i="7" l="1"/>
  <c r="O2386" i="7" s="1"/>
  <c r="P2385" i="7"/>
  <c r="M2444" i="7"/>
  <c r="L2445" i="7"/>
  <c r="N2386" i="7" l="1"/>
  <c r="O2387" i="7" s="1"/>
  <c r="P2386" i="7"/>
  <c r="M2445" i="7"/>
  <c r="L2446" i="7"/>
  <c r="N2387" i="7" l="1"/>
  <c r="O2388" i="7" s="1"/>
  <c r="P2387" i="7"/>
  <c r="M2446" i="7"/>
  <c r="L2447" i="7"/>
  <c r="P2388" i="7" l="1"/>
  <c r="N2388" i="7"/>
  <c r="O2389" i="7" s="1"/>
  <c r="M2447" i="7"/>
  <c r="L2448" i="7"/>
  <c r="P2389" i="7" l="1"/>
  <c r="N2389" i="7"/>
  <c r="O2390" i="7" s="1"/>
  <c r="M2448" i="7"/>
  <c r="L2449" i="7"/>
  <c r="N2390" i="7" l="1"/>
  <c r="O2391" i="7" s="1"/>
  <c r="P2390" i="7"/>
  <c r="M2449" i="7"/>
  <c r="L2450" i="7"/>
  <c r="N2391" i="7" l="1"/>
  <c r="O2392" i="7" s="1"/>
  <c r="P2391" i="7"/>
  <c r="M2450" i="7"/>
  <c r="L2451" i="7"/>
  <c r="N2392" i="7" l="1"/>
  <c r="O2393" i="7" s="1"/>
  <c r="P2392" i="7"/>
  <c r="M2451" i="7"/>
  <c r="L2452" i="7"/>
  <c r="N2393" i="7" l="1"/>
  <c r="O2394" i="7" s="1"/>
  <c r="P2393" i="7"/>
  <c r="M2452" i="7"/>
  <c r="L2453" i="7"/>
  <c r="N2394" i="7" l="1"/>
  <c r="O2395" i="7" s="1"/>
  <c r="P2394" i="7"/>
  <c r="M2453" i="7"/>
  <c r="L2454" i="7"/>
  <c r="P2395" i="7" l="1"/>
  <c r="N2395" i="7"/>
  <c r="O2396" i="7" s="1"/>
  <c r="M2454" i="7"/>
  <c r="L2455" i="7"/>
  <c r="N2396" i="7" l="1"/>
  <c r="O2397" i="7" s="1"/>
  <c r="P2396" i="7"/>
  <c r="M2455" i="7"/>
  <c r="L2456" i="7"/>
  <c r="N2397" i="7" l="1"/>
  <c r="O2398" i="7" s="1"/>
  <c r="P2397" i="7"/>
  <c r="M2456" i="7"/>
  <c r="L2457" i="7"/>
  <c r="P2398" i="7" l="1"/>
  <c r="N2398" i="7"/>
  <c r="O2399" i="7" s="1"/>
  <c r="M2457" i="7"/>
  <c r="L2458" i="7"/>
  <c r="N2399" i="7" l="1"/>
  <c r="O2400" i="7" s="1"/>
  <c r="P2399" i="7"/>
  <c r="M2458" i="7"/>
  <c r="L2459" i="7"/>
  <c r="P2400" i="7" l="1"/>
  <c r="N2400" i="7"/>
  <c r="O2401" i="7" s="1"/>
  <c r="M2459" i="7"/>
  <c r="L2460" i="7"/>
  <c r="N2401" i="7" l="1"/>
  <c r="O2402" i="7" s="1"/>
  <c r="P2401" i="7"/>
  <c r="M2460" i="7"/>
  <c r="L2461" i="7"/>
  <c r="N2402" i="7" l="1"/>
  <c r="O2403" i="7" s="1"/>
  <c r="P2402" i="7"/>
  <c r="M2461" i="7"/>
  <c r="L2462" i="7"/>
  <c r="N2403" i="7" l="1"/>
  <c r="O2404" i="7" s="1"/>
  <c r="P2403" i="7"/>
  <c r="M2462" i="7"/>
  <c r="L2463" i="7"/>
  <c r="P2404" i="7" l="1"/>
  <c r="N2404" i="7"/>
  <c r="O2405" i="7" s="1"/>
  <c r="M2463" i="7"/>
  <c r="L2464" i="7"/>
  <c r="P2405" i="7" l="1"/>
  <c r="N2405" i="7"/>
  <c r="O2406" i="7" s="1"/>
  <c r="M2464" i="7"/>
  <c r="L2465" i="7"/>
  <c r="P2406" i="7" l="1"/>
  <c r="N2406" i="7"/>
  <c r="O2407" i="7" s="1"/>
  <c r="M2465" i="7"/>
  <c r="L2466" i="7"/>
  <c r="N2407" i="7" l="1"/>
  <c r="O2408" i="7" s="1"/>
  <c r="P2407" i="7"/>
  <c r="M2466" i="7"/>
  <c r="L2467" i="7"/>
  <c r="P2408" i="7" l="1"/>
  <c r="N2408" i="7"/>
  <c r="O2409" i="7" s="1"/>
  <c r="M2467" i="7"/>
  <c r="L2468" i="7"/>
  <c r="N2409" i="7" l="1"/>
  <c r="O2410" i="7" s="1"/>
  <c r="P2409" i="7"/>
  <c r="M2468" i="7"/>
  <c r="L2469" i="7"/>
  <c r="N2410" i="7" l="1"/>
  <c r="O2411" i="7" s="1"/>
  <c r="P2410" i="7"/>
  <c r="M2469" i="7"/>
  <c r="L2470" i="7"/>
  <c r="P2411" i="7" l="1"/>
  <c r="N2411" i="7"/>
  <c r="O2412" i="7" s="1"/>
  <c r="M2470" i="7"/>
  <c r="L2471" i="7"/>
  <c r="N2412" i="7" l="1"/>
  <c r="O2413" i="7" s="1"/>
  <c r="P2412" i="7"/>
  <c r="M2471" i="7"/>
  <c r="L2472" i="7"/>
  <c r="P2413" i="7" l="1"/>
  <c r="N2413" i="7"/>
  <c r="O2414" i="7" s="1"/>
  <c r="M2472" i="7"/>
  <c r="L2473" i="7"/>
  <c r="P2414" i="7" l="1"/>
  <c r="N2414" i="7"/>
  <c r="O2415" i="7" s="1"/>
  <c r="M2473" i="7"/>
  <c r="L2474" i="7"/>
  <c r="N2415" i="7" l="1"/>
  <c r="O2416" i="7" s="1"/>
  <c r="P2415" i="7"/>
  <c r="M2474" i="7"/>
  <c r="L2475" i="7"/>
  <c r="N2416" i="7" l="1"/>
  <c r="O2417" i="7" s="1"/>
  <c r="P2416" i="7"/>
  <c r="M2475" i="7"/>
  <c r="L2476" i="7"/>
  <c r="N2417" i="7" l="1"/>
  <c r="O2418" i="7" s="1"/>
  <c r="P2417" i="7"/>
  <c r="M2476" i="7"/>
  <c r="L2477" i="7"/>
  <c r="P2418" i="7" l="1"/>
  <c r="N2418" i="7"/>
  <c r="O2419" i="7" s="1"/>
  <c r="M2477" i="7"/>
  <c r="L2478" i="7"/>
  <c r="P2419" i="7" l="1"/>
  <c r="N2419" i="7"/>
  <c r="O2420" i="7" s="1"/>
  <c r="M2478" i="7"/>
  <c r="L2479" i="7"/>
  <c r="N2420" i="7" l="1"/>
  <c r="O2421" i="7" s="1"/>
  <c r="P2420" i="7"/>
  <c r="M2479" i="7"/>
  <c r="L2480" i="7"/>
  <c r="P2421" i="7" l="1"/>
  <c r="N2421" i="7"/>
  <c r="O2422" i="7" s="1"/>
  <c r="M2480" i="7"/>
  <c r="L2481" i="7"/>
  <c r="N2422" i="7" l="1"/>
  <c r="O2423" i="7" s="1"/>
  <c r="P2422" i="7"/>
  <c r="M2481" i="7"/>
  <c r="L2482" i="7"/>
  <c r="N2423" i="7" l="1"/>
  <c r="O2424" i="7" s="1"/>
  <c r="P2423" i="7"/>
  <c r="M2482" i="7"/>
  <c r="L2483" i="7"/>
  <c r="N2424" i="7" l="1"/>
  <c r="O2425" i="7" s="1"/>
  <c r="P2424" i="7"/>
  <c r="M2483" i="7"/>
  <c r="L2484" i="7"/>
  <c r="P2425" i="7" l="1"/>
  <c r="N2425" i="7"/>
  <c r="O2426" i="7" s="1"/>
  <c r="M2484" i="7"/>
  <c r="L2485" i="7"/>
  <c r="P2426" i="7" l="1"/>
  <c r="N2426" i="7"/>
  <c r="O2427" i="7" s="1"/>
  <c r="M2485" i="7"/>
  <c r="L2486" i="7"/>
  <c r="N2427" i="7" l="1"/>
  <c r="O2428" i="7" s="1"/>
  <c r="P2427" i="7"/>
  <c r="M2486" i="7"/>
  <c r="L2487" i="7"/>
  <c r="P2428" i="7" l="1"/>
  <c r="N2428" i="7"/>
  <c r="O2429" i="7" s="1"/>
  <c r="M2487" i="7"/>
  <c r="L2488" i="7"/>
  <c r="P2429" i="7" l="1"/>
  <c r="N2429" i="7"/>
  <c r="O2430" i="7" s="1"/>
  <c r="M2488" i="7"/>
  <c r="L2489" i="7"/>
  <c r="N2430" i="7" l="1"/>
  <c r="O2431" i="7" s="1"/>
  <c r="P2430" i="7"/>
  <c r="M2489" i="7"/>
  <c r="L2490" i="7"/>
  <c r="N2431" i="7" l="1"/>
  <c r="O2432" i="7" s="1"/>
  <c r="P2431" i="7"/>
  <c r="M2490" i="7"/>
  <c r="L2491" i="7"/>
  <c r="P2432" i="7" l="1"/>
  <c r="N2432" i="7"/>
  <c r="O2433" i="7" s="1"/>
  <c r="M2491" i="7"/>
  <c r="L2492" i="7"/>
  <c r="P2433" i="7" l="1"/>
  <c r="N2433" i="7"/>
  <c r="O2434" i="7" s="1"/>
  <c r="M2492" i="7"/>
  <c r="L2493" i="7"/>
  <c r="P2434" i="7" l="1"/>
  <c r="N2434" i="7"/>
  <c r="O2435" i="7" s="1"/>
  <c r="M2493" i="7"/>
  <c r="L2494" i="7"/>
  <c r="P2435" i="7" l="1"/>
  <c r="N2435" i="7"/>
  <c r="O2436" i="7" s="1"/>
  <c r="M2494" i="7"/>
  <c r="L2495" i="7"/>
  <c r="P2436" i="7" l="1"/>
  <c r="N2436" i="7"/>
  <c r="O2437" i="7" s="1"/>
  <c r="M2495" i="7"/>
  <c r="L2496" i="7"/>
  <c r="P2437" i="7" l="1"/>
  <c r="N2437" i="7"/>
  <c r="O2438" i="7" s="1"/>
  <c r="M2496" i="7"/>
  <c r="L2497" i="7"/>
  <c r="N2438" i="7" l="1"/>
  <c r="O2439" i="7" s="1"/>
  <c r="P2438" i="7"/>
  <c r="M2497" i="7"/>
  <c r="L2498" i="7"/>
  <c r="P2439" i="7" l="1"/>
  <c r="N2439" i="7"/>
  <c r="O2440" i="7" s="1"/>
  <c r="M2498" i="7"/>
  <c r="L2499" i="7"/>
  <c r="N2440" i="7" l="1"/>
  <c r="O2441" i="7" s="1"/>
  <c r="P2440" i="7"/>
  <c r="M2499" i="7"/>
  <c r="L2500" i="7"/>
  <c r="P2441" i="7" l="1"/>
  <c r="N2441" i="7"/>
  <c r="O2442" i="7" s="1"/>
  <c r="M2500" i="7"/>
  <c r="L2501" i="7"/>
  <c r="P2442" i="7" l="1"/>
  <c r="N2442" i="7"/>
  <c r="O2443" i="7" s="1"/>
  <c r="M2501" i="7"/>
  <c r="L2502" i="7"/>
  <c r="N2443" i="7" l="1"/>
  <c r="O2444" i="7" s="1"/>
  <c r="P2443" i="7"/>
  <c r="M2502" i="7"/>
  <c r="L2503" i="7"/>
  <c r="P2444" i="7" l="1"/>
  <c r="N2444" i="7"/>
  <c r="O2445" i="7" s="1"/>
  <c r="M2503" i="7"/>
  <c r="L2504" i="7"/>
  <c r="P2445" i="7" l="1"/>
  <c r="N2445" i="7"/>
  <c r="O2446" i="7" s="1"/>
  <c r="M2504" i="7"/>
  <c r="L2505" i="7"/>
  <c r="N2446" i="7" l="1"/>
  <c r="O2447" i="7" s="1"/>
  <c r="P2446" i="7"/>
  <c r="M2505" i="7"/>
  <c r="L2506" i="7"/>
  <c r="N2447" i="7" l="1"/>
  <c r="O2448" i="7" s="1"/>
  <c r="P2447" i="7"/>
  <c r="M2506" i="7"/>
  <c r="L2507" i="7"/>
  <c r="N2448" i="7" l="1"/>
  <c r="O2449" i="7" s="1"/>
  <c r="P2448" i="7"/>
  <c r="M2507" i="7"/>
  <c r="L2508" i="7"/>
  <c r="P2449" i="7" l="1"/>
  <c r="N2449" i="7"/>
  <c r="O2450" i="7" s="1"/>
  <c r="M2508" i="7"/>
  <c r="L2509" i="7"/>
  <c r="N2450" i="7" l="1"/>
  <c r="O2451" i="7" s="1"/>
  <c r="P2450" i="7"/>
  <c r="M2509" i="7"/>
  <c r="L2510" i="7"/>
  <c r="P2451" i="7" l="1"/>
  <c r="N2451" i="7"/>
  <c r="O2452" i="7" s="1"/>
  <c r="M2510" i="7"/>
  <c r="L2511" i="7"/>
  <c r="P2452" i="7" l="1"/>
  <c r="N2452" i="7"/>
  <c r="O2453" i="7" s="1"/>
  <c r="M2511" i="7"/>
  <c r="L2512" i="7"/>
  <c r="N2453" i="7" l="1"/>
  <c r="O2454" i="7" s="1"/>
  <c r="P2453" i="7"/>
  <c r="M2512" i="7"/>
  <c r="L2513" i="7"/>
  <c r="P2454" i="7" l="1"/>
  <c r="N2454" i="7"/>
  <c r="O2455" i="7" s="1"/>
  <c r="M2513" i="7"/>
  <c r="L2514" i="7"/>
  <c r="N2455" i="7" l="1"/>
  <c r="O2456" i="7" s="1"/>
  <c r="P2455" i="7"/>
  <c r="M2514" i="7"/>
  <c r="L2515" i="7"/>
  <c r="N2456" i="7" l="1"/>
  <c r="O2457" i="7" s="1"/>
  <c r="P2456" i="7"/>
  <c r="M2515" i="7"/>
  <c r="L2516" i="7"/>
  <c r="P2457" i="7" l="1"/>
  <c r="N2457" i="7"/>
  <c r="O2458" i="7" s="1"/>
  <c r="M2516" i="7"/>
  <c r="L2517" i="7"/>
  <c r="P2458" i="7" l="1"/>
  <c r="N2458" i="7"/>
  <c r="O2459" i="7" s="1"/>
  <c r="M2517" i="7"/>
  <c r="L2518" i="7"/>
  <c r="P2459" i="7" l="1"/>
  <c r="N2459" i="7"/>
  <c r="O2460" i="7" s="1"/>
  <c r="M2518" i="7"/>
  <c r="L2519" i="7"/>
  <c r="P2460" i="7" l="1"/>
  <c r="N2460" i="7"/>
  <c r="O2461" i="7" s="1"/>
  <c r="M2519" i="7"/>
  <c r="L2520" i="7"/>
  <c r="N2461" i="7" l="1"/>
  <c r="O2462" i="7" s="1"/>
  <c r="P2461" i="7"/>
  <c r="M2520" i="7"/>
  <c r="L2521" i="7"/>
  <c r="N2462" i="7" l="1"/>
  <c r="O2463" i="7" s="1"/>
  <c r="P2462" i="7"/>
  <c r="M2521" i="7"/>
  <c r="L2522" i="7"/>
  <c r="P2463" i="7" l="1"/>
  <c r="N2463" i="7"/>
  <c r="O2464" i="7" s="1"/>
  <c r="M2522" i="7"/>
  <c r="L2523" i="7"/>
  <c r="P2464" i="7" l="1"/>
  <c r="N2464" i="7"/>
  <c r="O2465" i="7" s="1"/>
  <c r="M2523" i="7"/>
  <c r="L2524" i="7"/>
  <c r="P2465" i="7" l="1"/>
  <c r="N2465" i="7"/>
  <c r="O2466" i="7" s="1"/>
  <c r="M2524" i="7"/>
  <c r="L2525" i="7"/>
  <c r="N2466" i="7" l="1"/>
  <c r="O2467" i="7" s="1"/>
  <c r="P2466" i="7"/>
  <c r="M2525" i="7"/>
  <c r="L2526" i="7"/>
  <c r="P2467" i="7" l="1"/>
  <c r="N2467" i="7"/>
  <c r="O2468" i="7" s="1"/>
  <c r="M2526" i="7"/>
  <c r="L2527" i="7"/>
  <c r="P2468" i="7" l="1"/>
  <c r="N2468" i="7"/>
  <c r="O2469" i="7" s="1"/>
  <c r="M2527" i="7"/>
  <c r="L2528" i="7"/>
  <c r="P2469" i="7" l="1"/>
  <c r="N2469" i="7"/>
  <c r="O2470" i="7" s="1"/>
  <c r="M2528" i="7"/>
  <c r="L2529" i="7"/>
  <c r="P2470" i="7" l="1"/>
  <c r="N2470" i="7"/>
  <c r="O2471" i="7" s="1"/>
  <c r="M2529" i="7"/>
  <c r="L2530" i="7"/>
  <c r="N2471" i="7" l="1"/>
  <c r="O2472" i="7" s="1"/>
  <c r="P2471" i="7"/>
  <c r="M2530" i="7"/>
  <c r="L2531" i="7"/>
  <c r="N2472" i="7" l="1"/>
  <c r="O2473" i="7" s="1"/>
  <c r="P2472" i="7"/>
  <c r="M2531" i="7"/>
  <c r="L2532" i="7"/>
  <c r="P2473" i="7" l="1"/>
  <c r="N2473" i="7"/>
  <c r="O2474" i="7" s="1"/>
  <c r="M2532" i="7"/>
  <c r="L2533" i="7"/>
  <c r="P2474" i="7" l="1"/>
  <c r="N2474" i="7"/>
  <c r="O2475" i="7" s="1"/>
  <c r="M2533" i="7"/>
  <c r="L2534" i="7"/>
  <c r="P2475" i="7" l="1"/>
  <c r="N2475" i="7"/>
  <c r="O2476" i="7" s="1"/>
  <c r="M2534" i="7"/>
  <c r="L2535" i="7"/>
  <c r="P2476" i="7" l="1"/>
  <c r="N2476" i="7"/>
  <c r="O2477" i="7" s="1"/>
  <c r="M2535" i="7"/>
  <c r="L2536" i="7"/>
  <c r="N2477" i="7" l="1"/>
  <c r="O2478" i="7" s="1"/>
  <c r="P2477" i="7"/>
  <c r="M2536" i="7"/>
  <c r="L2537" i="7"/>
  <c r="N2478" i="7" l="1"/>
  <c r="O2479" i="7" s="1"/>
  <c r="P2478" i="7"/>
  <c r="M2537" i="7"/>
  <c r="L2538" i="7"/>
  <c r="N2479" i="7" l="1"/>
  <c r="O2480" i="7" s="1"/>
  <c r="P2479" i="7"/>
  <c r="M2538" i="7"/>
  <c r="L2539" i="7"/>
  <c r="P2480" i="7" l="1"/>
  <c r="N2480" i="7"/>
  <c r="O2481" i="7" s="1"/>
  <c r="M2539" i="7"/>
  <c r="L2540" i="7"/>
  <c r="N2481" i="7" l="1"/>
  <c r="O2482" i="7" s="1"/>
  <c r="P2481" i="7"/>
  <c r="M2540" i="7"/>
  <c r="L2541" i="7"/>
  <c r="P2482" i="7" l="1"/>
  <c r="N2482" i="7"/>
  <c r="O2483" i="7" s="1"/>
  <c r="M2541" i="7"/>
  <c r="L2542" i="7"/>
  <c r="N2483" i="7" l="1"/>
  <c r="O2484" i="7" s="1"/>
  <c r="P2483" i="7"/>
  <c r="M2542" i="7"/>
  <c r="L2543" i="7"/>
  <c r="P2484" i="7" l="1"/>
  <c r="N2484" i="7"/>
  <c r="O2485" i="7" s="1"/>
  <c r="M2543" i="7"/>
  <c r="L2544" i="7"/>
  <c r="N2485" i="7" l="1"/>
  <c r="O2486" i="7" s="1"/>
  <c r="P2485" i="7"/>
  <c r="M2544" i="7"/>
  <c r="L2545" i="7"/>
  <c r="N2486" i="7" l="1"/>
  <c r="O2487" i="7" s="1"/>
  <c r="P2486" i="7"/>
  <c r="M2545" i="7"/>
  <c r="L2546" i="7"/>
  <c r="P2487" i="7" l="1"/>
  <c r="N2487" i="7"/>
  <c r="O2488" i="7" s="1"/>
  <c r="M2546" i="7"/>
  <c r="L2547" i="7"/>
  <c r="N2488" i="7" l="1"/>
  <c r="O2489" i="7" s="1"/>
  <c r="P2488" i="7"/>
  <c r="M2547" i="7"/>
  <c r="L2548" i="7"/>
  <c r="N2489" i="7" l="1"/>
  <c r="O2490" i="7" s="1"/>
  <c r="P2489" i="7"/>
  <c r="M2548" i="7"/>
  <c r="L2549" i="7"/>
  <c r="P2490" i="7" l="1"/>
  <c r="N2490" i="7"/>
  <c r="O2491" i="7" s="1"/>
  <c r="M2549" i="7"/>
  <c r="L2550" i="7"/>
  <c r="P2491" i="7" l="1"/>
  <c r="N2491" i="7"/>
  <c r="O2492" i="7" s="1"/>
  <c r="M2550" i="7"/>
  <c r="L2551" i="7"/>
  <c r="N2492" i="7" l="1"/>
  <c r="O2493" i="7" s="1"/>
  <c r="P2492" i="7"/>
  <c r="M2551" i="7"/>
  <c r="L2552" i="7"/>
  <c r="P2493" i="7" l="1"/>
  <c r="N2493" i="7"/>
  <c r="O2494" i="7" s="1"/>
  <c r="M2552" i="7"/>
  <c r="L2553" i="7"/>
  <c r="N2494" i="7" l="1"/>
  <c r="O2495" i="7" s="1"/>
  <c r="P2494" i="7"/>
  <c r="M2553" i="7"/>
  <c r="L2554" i="7"/>
  <c r="P2495" i="7" l="1"/>
  <c r="N2495" i="7"/>
  <c r="O2496" i="7" s="1"/>
  <c r="M2554" i="7"/>
  <c r="L2555" i="7"/>
  <c r="P2496" i="7" l="1"/>
  <c r="N2496" i="7"/>
  <c r="O2497" i="7" s="1"/>
  <c r="M2555" i="7"/>
  <c r="L2556" i="7"/>
  <c r="P2497" i="7" l="1"/>
  <c r="N2497" i="7"/>
  <c r="O2498" i="7" s="1"/>
  <c r="M2556" i="7"/>
  <c r="L2557" i="7"/>
  <c r="P2498" i="7" l="1"/>
  <c r="N2498" i="7"/>
  <c r="O2499" i="7" s="1"/>
  <c r="M2557" i="7"/>
  <c r="L2558" i="7"/>
  <c r="N2499" i="7" l="1"/>
  <c r="O2500" i="7" s="1"/>
  <c r="P2499" i="7"/>
  <c r="M2558" i="7"/>
  <c r="L2559" i="7"/>
  <c r="N2500" i="7" l="1"/>
  <c r="O2501" i="7" s="1"/>
  <c r="P2500" i="7"/>
  <c r="M2559" i="7"/>
  <c r="L2560" i="7"/>
  <c r="N2501" i="7" l="1"/>
  <c r="O2502" i="7" s="1"/>
  <c r="P2501" i="7"/>
  <c r="M2560" i="7"/>
  <c r="L2561" i="7"/>
  <c r="N2502" i="7" l="1"/>
  <c r="O2503" i="7" s="1"/>
  <c r="P2502" i="7"/>
  <c r="M2561" i="7"/>
  <c r="L2562" i="7"/>
  <c r="N2503" i="7" l="1"/>
  <c r="O2504" i="7" s="1"/>
  <c r="P2503" i="7"/>
  <c r="M2562" i="7"/>
  <c r="L2563" i="7"/>
  <c r="P2504" i="7" l="1"/>
  <c r="N2504" i="7"/>
  <c r="O2505" i="7" s="1"/>
  <c r="M2563" i="7"/>
  <c r="L2564" i="7"/>
  <c r="N2505" i="7" l="1"/>
  <c r="O2506" i="7" s="1"/>
  <c r="P2505" i="7"/>
  <c r="M2564" i="7"/>
  <c r="L2565" i="7"/>
  <c r="P2506" i="7" l="1"/>
  <c r="N2506" i="7"/>
  <c r="O2507" i="7" s="1"/>
  <c r="M2565" i="7"/>
  <c r="L2566" i="7"/>
  <c r="N2507" i="7" l="1"/>
  <c r="O2508" i="7" s="1"/>
  <c r="P2507" i="7"/>
  <c r="M2566" i="7"/>
  <c r="L2567" i="7"/>
  <c r="P2508" i="7" l="1"/>
  <c r="N2508" i="7"/>
  <c r="O2509" i="7" s="1"/>
  <c r="M2567" i="7"/>
  <c r="L2568" i="7"/>
  <c r="P2509" i="7" l="1"/>
  <c r="N2509" i="7"/>
  <c r="O2510" i="7" s="1"/>
  <c r="M2568" i="7"/>
  <c r="L2569" i="7"/>
  <c r="P2510" i="7" l="1"/>
  <c r="N2510" i="7"/>
  <c r="O2511" i="7" s="1"/>
  <c r="M2569" i="7"/>
  <c r="L2570" i="7"/>
  <c r="P2511" i="7" l="1"/>
  <c r="N2511" i="7"/>
  <c r="O2512" i="7" s="1"/>
  <c r="M2570" i="7"/>
  <c r="L2571" i="7"/>
  <c r="P2512" i="7" l="1"/>
  <c r="N2512" i="7"/>
  <c r="O2513" i="7" s="1"/>
  <c r="M2571" i="7"/>
  <c r="L2572" i="7"/>
  <c r="N2513" i="7" l="1"/>
  <c r="O2514" i="7" s="1"/>
  <c r="P2513" i="7"/>
  <c r="M2572" i="7"/>
  <c r="L2573" i="7"/>
  <c r="P2514" i="7" l="1"/>
  <c r="N2514" i="7"/>
  <c r="O2515" i="7" s="1"/>
  <c r="M2573" i="7"/>
  <c r="L2574" i="7"/>
  <c r="N2515" i="7" l="1"/>
  <c r="O2516" i="7" s="1"/>
  <c r="P2515" i="7"/>
  <c r="M2574" i="7"/>
  <c r="L2575" i="7"/>
  <c r="P2516" i="7" l="1"/>
  <c r="N2516" i="7"/>
  <c r="O2517" i="7" s="1"/>
  <c r="M2575" i="7"/>
  <c r="L2576" i="7"/>
  <c r="P2517" i="7" l="1"/>
  <c r="N2517" i="7"/>
  <c r="O2518" i="7" s="1"/>
  <c r="M2576" i="7"/>
  <c r="L2577" i="7"/>
  <c r="N2518" i="7" l="1"/>
  <c r="O2519" i="7" s="1"/>
  <c r="P2518" i="7"/>
  <c r="M2577" i="7"/>
  <c r="L2578" i="7"/>
  <c r="N2519" i="7" l="1"/>
  <c r="O2520" i="7" s="1"/>
  <c r="P2519" i="7"/>
  <c r="M2578" i="7"/>
  <c r="L2579" i="7"/>
  <c r="N2520" i="7" l="1"/>
  <c r="O2521" i="7" s="1"/>
  <c r="P2520" i="7"/>
  <c r="M2579" i="7"/>
  <c r="L2580" i="7"/>
  <c r="N2521" i="7" l="1"/>
  <c r="O2522" i="7" s="1"/>
  <c r="P2521" i="7"/>
  <c r="M2580" i="7"/>
  <c r="L2581" i="7"/>
  <c r="P2522" i="7" l="1"/>
  <c r="N2522" i="7"/>
  <c r="O2523" i="7" s="1"/>
  <c r="M2581" i="7"/>
  <c r="L2582" i="7"/>
  <c r="P2523" i="7" l="1"/>
  <c r="N2523" i="7"/>
  <c r="O2524" i="7" s="1"/>
  <c r="M2582" i="7"/>
  <c r="L2583" i="7"/>
  <c r="N2524" i="7" l="1"/>
  <c r="O2525" i="7" s="1"/>
  <c r="P2524" i="7"/>
  <c r="M2583" i="7"/>
  <c r="L2584" i="7"/>
  <c r="N2525" i="7" l="1"/>
  <c r="O2526" i="7" s="1"/>
  <c r="P2525" i="7"/>
  <c r="M2584" i="7"/>
  <c r="L2585" i="7"/>
  <c r="P2526" i="7" l="1"/>
  <c r="N2526" i="7"/>
  <c r="O2527" i="7" s="1"/>
  <c r="M2585" i="7"/>
  <c r="L2586" i="7"/>
  <c r="N2527" i="7" l="1"/>
  <c r="O2528" i="7" s="1"/>
  <c r="P2527" i="7"/>
  <c r="M2586" i="7"/>
  <c r="L2587" i="7"/>
  <c r="N2528" i="7" l="1"/>
  <c r="O2529" i="7" s="1"/>
  <c r="P2528" i="7"/>
  <c r="M2587" i="7"/>
  <c r="L2588" i="7"/>
  <c r="P2529" i="7" l="1"/>
  <c r="N2529" i="7"/>
  <c r="O2530" i="7" s="1"/>
  <c r="M2588" i="7"/>
  <c r="L2589" i="7"/>
  <c r="P2530" i="7" l="1"/>
  <c r="N2530" i="7"/>
  <c r="O2531" i="7" s="1"/>
  <c r="M2589" i="7"/>
  <c r="L2590" i="7"/>
  <c r="N2531" i="7" l="1"/>
  <c r="O2532" i="7" s="1"/>
  <c r="P2531" i="7"/>
  <c r="M2590" i="7"/>
  <c r="L2591" i="7"/>
  <c r="P2532" i="7" l="1"/>
  <c r="N2532" i="7"/>
  <c r="O2533" i="7" s="1"/>
  <c r="M2591" i="7"/>
  <c r="L2592" i="7"/>
  <c r="N2533" i="7" l="1"/>
  <c r="O2534" i="7" s="1"/>
  <c r="P2533" i="7"/>
  <c r="M2592" i="7"/>
  <c r="L2593" i="7"/>
  <c r="N2534" i="7" l="1"/>
  <c r="O2535" i="7" s="1"/>
  <c r="P2534" i="7"/>
  <c r="M2593" i="7"/>
  <c r="L2594" i="7"/>
  <c r="N2535" i="7" l="1"/>
  <c r="O2536" i="7" s="1"/>
  <c r="P2535" i="7"/>
  <c r="M2594" i="7"/>
  <c r="L2595" i="7"/>
  <c r="P2536" i="7" l="1"/>
  <c r="N2536" i="7"/>
  <c r="O2537" i="7" s="1"/>
  <c r="M2595" i="7"/>
  <c r="L2596" i="7"/>
  <c r="P2537" i="7" l="1"/>
  <c r="N2537" i="7"/>
  <c r="O2538" i="7" s="1"/>
  <c r="M2596" i="7"/>
  <c r="L2597" i="7"/>
  <c r="P2538" i="7" l="1"/>
  <c r="N2538" i="7"/>
  <c r="O2539" i="7" s="1"/>
  <c r="M2597" i="7"/>
  <c r="L2598" i="7"/>
  <c r="N2539" i="7" l="1"/>
  <c r="O2540" i="7" s="1"/>
  <c r="P2539" i="7"/>
  <c r="M2598" i="7"/>
  <c r="L2599" i="7"/>
  <c r="P2540" i="7" l="1"/>
  <c r="N2540" i="7"/>
  <c r="O2541" i="7" s="1"/>
  <c r="M2599" i="7"/>
  <c r="L2600" i="7"/>
  <c r="N2541" i="7" l="1"/>
  <c r="O2542" i="7" s="1"/>
  <c r="P2541" i="7"/>
  <c r="M2600" i="7"/>
  <c r="L2601" i="7"/>
  <c r="N2542" i="7" l="1"/>
  <c r="O2543" i="7" s="1"/>
  <c r="P2542" i="7"/>
  <c r="M2601" i="7"/>
  <c r="L2602" i="7"/>
  <c r="N2543" i="7" l="1"/>
  <c r="O2544" i="7" s="1"/>
  <c r="P2543" i="7"/>
  <c r="M2602" i="7"/>
  <c r="L2603" i="7"/>
  <c r="P2544" i="7" l="1"/>
  <c r="N2544" i="7"/>
  <c r="O2545" i="7" s="1"/>
  <c r="M2603" i="7"/>
  <c r="L2604" i="7"/>
  <c r="N2545" i="7" l="1"/>
  <c r="O2546" i="7" s="1"/>
  <c r="P2545" i="7"/>
  <c r="M2604" i="7"/>
  <c r="L2605" i="7"/>
  <c r="P2546" i="7" l="1"/>
  <c r="N2546" i="7"/>
  <c r="O2547" i="7" s="1"/>
  <c r="M2605" i="7"/>
  <c r="L2606" i="7"/>
  <c r="N2547" i="7" l="1"/>
  <c r="O2548" i="7" s="1"/>
  <c r="P2547" i="7"/>
  <c r="M2606" i="7"/>
  <c r="L2607" i="7"/>
  <c r="N2548" i="7" l="1"/>
  <c r="O2549" i="7" s="1"/>
  <c r="P2548" i="7"/>
  <c r="M2607" i="7"/>
  <c r="L2608" i="7"/>
  <c r="N2549" i="7" l="1"/>
  <c r="O2550" i="7" s="1"/>
  <c r="P2549" i="7"/>
  <c r="M2608" i="7"/>
  <c r="L2609" i="7"/>
  <c r="N2550" i="7" l="1"/>
  <c r="O2551" i="7" s="1"/>
  <c r="P2550" i="7"/>
  <c r="M2609" i="7"/>
  <c r="L2610" i="7"/>
  <c r="N2551" i="7" l="1"/>
  <c r="O2552" i="7" s="1"/>
  <c r="P2551" i="7"/>
  <c r="M2610" i="7"/>
  <c r="L2611" i="7"/>
  <c r="N2552" i="7" l="1"/>
  <c r="O2553" i="7" s="1"/>
  <c r="P2552" i="7"/>
  <c r="M2611" i="7"/>
  <c r="L2612" i="7"/>
  <c r="N2553" i="7" l="1"/>
  <c r="O2554" i="7" s="1"/>
  <c r="P2553" i="7"/>
  <c r="M2612" i="7"/>
  <c r="L2613" i="7"/>
  <c r="P2554" i="7" l="1"/>
  <c r="N2554" i="7"/>
  <c r="O2555" i="7" s="1"/>
  <c r="M2613" i="7"/>
  <c r="L2614" i="7"/>
  <c r="P2555" i="7" l="1"/>
  <c r="N2555" i="7"/>
  <c r="O2556" i="7" s="1"/>
  <c r="M2614" i="7"/>
  <c r="L2615" i="7"/>
  <c r="N2556" i="7" l="1"/>
  <c r="O2557" i="7" s="1"/>
  <c r="P2556" i="7"/>
  <c r="M2615" i="7"/>
  <c r="L2616" i="7"/>
  <c r="P2557" i="7" l="1"/>
  <c r="N2557" i="7"/>
  <c r="O2558" i="7" s="1"/>
  <c r="M2616" i="7"/>
  <c r="L2617" i="7"/>
  <c r="P2558" i="7" l="1"/>
  <c r="N2558" i="7"/>
  <c r="O2559" i="7" s="1"/>
  <c r="M2617" i="7"/>
  <c r="L2618" i="7"/>
  <c r="P2559" i="7" l="1"/>
  <c r="N2559" i="7"/>
  <c r="O2560" i="7" s="1"/>
  <c r="M2618" i="7"/>
  <c r="L2619" i="7"/>
  <c r="P2560" i="7" l="1"/>
  <c r="N2560" i="7"/>
  <c r="O2561" i="7" s="1"/>
  <c r="M2619" i="7"/>
  <c r="L2620" i="7"/>
  <c r="N2561" i="7" l="1"/>
  <c r="O2562" i="7" s="1"/>
  <c r="P2561" i="7"/>
  <c r="M2620" i="7"/>
  <c r="L2621" i="7"/>
  <c r="N2562" i="7" l="1"/>
  <c r="O2563" i="7" s="1"/>
  <c r="P2562" i="7"/>
  <c r="M2621" i="7"/>
  <c r="L2622" i="7"/>
  <c r="P2563" i="7" l="1"/>
  <c r="N2563" i="7"/>
  <c r="O2564" i="7" s="1"/>
  <c r="M2622" i="7"/>
  <c r="L2623" i="7"/>
  <c r="N2564" i="7" l="1"/>
  <c r="O2565" i="7" s="1"/>
  <c r="P2564" i="7"/>
  <c r="M2623" i="7"/>
  <c r="L2624" i="7"/>
  <c r="N2565" i="7" l="1"/>
  <c r="O2566" i="7" s="1"/>
  <c r="P2565" i="7"/>
  <c r="M2624" i="7"/>
  <c r="L2625" i="7"/>
  <c r="N2566" i="7" l="1"/>
  <c r="O2567" i="7" s="1"/>
  <c r="P2566" i="7"/>
  <c r="M2625" i="7"/>
  <c r="L2626" i="7"/>
  <c r="P2567" i="7" l="1"/>
  <c r="N2567" i="7"/>
  <c r="O2568" i="7" s="1"/>
  <c r="M2626" i="7"/>
  <c r="L2627" i="7"/>
  <c r="P2568" i="7" l="1"/>
  <c r="N2568" i="7"/>
  <c r="O2569" i="7" s="1"/>
  <c r="M2627" i="7"/>
  <c r="L2628" i="7"/>
  <c r="N2569" i="7" l="1"/>
  <c r="O2570" i="7" s="1"/>
  <c r="P2569" i="7"/>
  <c r="M2628" i="7"/>
  <c r="L2629" i="7"/>
  <c r="N2570" i="7" l="1"/>
  <c r="O2571" i="7" s="1"/>
  <c r="P2570" i="7"/>
  <c r="M2629" i="7"/>
  <c r="L2630" i="7"/>
  <c r="N2571" i="7" l="1"/>
  <c r="O2572" i="7" s="1"/>
  <c r="P2571" i="7"/>
  <c r="M2630" i="7"/>
  <c r="L2631" i="7"/>
  <c r="P2572" i="7" l="1"/>
  <c r="N2572" i="7"/>
  <c r="O2573" i="7" s="1"/>
  <c r="M2631" i="7"/>
  <c r="L2632" i="7"/>
  <c r="P2573" i="7" l="1"/>
  <c r="N2573" i="7"/>
  <c r="O2574" i="7" s="1"/>
  <c r="M2632" i="7"/>
  <c r="L2633" i="7"/>
  <c r="N2574" i="7" l="1"/>
  <c r="O2575" i="7" s="1"/>
  <c r="P2574" i="7"/>
  <c r="M2633" i="7"/>
  <c r="L2634" i="7"/>
  <c r="N2575" i="7" l="1"/>
  <c r="O2576" i="7" s="1"/>
  <c r="P2575" i="7"/>
  <c r="M2634" i="7"/>
  <c r="L2635" i="7"/>
  <c r="P2576" i="7" l="1"/>
  <c r="N2576" i="7"/>
  <c r="O2577" i="7" s="1"/>
  <c r="M2635" i="7"/>
  <c r="L2636" i="7"/>
  <c r="P2577" i="7" l="1"/>
  <c r="N2577" i="7"/>
  <c r="O2578" i="7" s="1"/>
  <c r="M2636" i="7"/>
  <c r="L2637" i="7"/>
  <c r="P2578" i="7" l="1"/>
  <c r="N2578" i="7"/>
  <c r="O2579" i="7" s="1"/>
  <c r="M2637" i="7"/>
  <c r="L2638" i="7"/>
  <c r="N2579" i="7" l="1"/>
  <c r="O2580" i="7" s="1"/>
  <c r="P2579" i="7"/>
  <c r="M2638" i="7"/>
  <c r="L2639" i="7"/>
  <c r="P2580" i="7" l="1"/>
  <c r="N2580" i="7"/>
  <c r="O2581" i="7" s="1"/>
  <c r="M2639" i="7"/>
  <c r="L2640" i="7"/>
  <c r="P2581" i="7" l="1"/>
  <c r="N2581" i="7"/>
  <c r="O2582" i="7" s="1"/>
  <c r="M2640" i="7"/>
  <c r="L2641" i="7"/>
  <c r="P2582" i="7" l="1"/>
  <c r="N2582" i="7"/>
  <c r="O2583" i="7" s="1"/>
  <c r="M2641" i="7"/>
  <c r="L2642" i="7"/>
  <c r="N2583" i="7" l="1"/>
  <c r="O2584" i="7" s="1"/>
  <c r="P2583" i="7"/>
  <c r="M2642" i="7"/>
  <c r="L2643" i="7"/>
  <c r="P2584" i="7" l="1"/>
  <c r="N2584" i="7"/>
  <c r="O2585" i="7" s="1"/>
  <c r="M2643" i="7"/>
  <c r="L2644" i="7"/>
  <c r="P2585" i="7" l="1"/>
  <c r="N2585" i="7"/>
  <c r="O2586" i="7" s="1"/>
  <c r="M2644" i="7"/>
  <c r="L2645" i="7"/>
  <c r="P2586" i="7" l="1"/>
  <c r="N2586" i="7"/>
  <c r="O2587" i="7" s="1"/>
  <c r="M2645" i="7"/>
  <c r="L2646" i="7"/>
  <c r="N2587" i="7" l="1"/>
  <c r="O2588" i="7" s="1"/>
  <c r="P2587" i="7"/>
  <c r="M2646" i="7"/>
  <c r="L2647" i="7"/>
  <c r="P2588" i="7" l="1"/>
  <c r="N2588" i="7"/>
  <c r="O2589" i="7" s="1"/>
  <c r="M2647" i="7"/>
  <c r="L2648" i="7"/>
  <c r="P2589" i="7" l="1"/>
  <c r="N2589" i="7"/>
  <c r="O2590" i="7" s="1"/>
  <c r="M2648" i="7"/>
  <c r="L2649" i="7"/>
  <c r="N2590" i="7" l="1"/>
  <c r="O2591" i="7" s="1"/>
  <c r="P2590" i="7"/>
  <c r="M2649" i="7"/>
  <c r="L2650" i="7"/>
  <c r="N2591" i="7" l="1"/>
  <c r="O2592" i="7" s="1"/>
  <c r="P2591" i="7"/>
  <c r="M2650" i="7"/>
  <c r="L2651" i="7"/>
  <c r="N2592" i="7" l="1"/>
  <c r="O2593" i="7" s="1"/>
  <c r="P2592" i="7"/>
  <c r="M2651" i="7"/>
  <c r="L2652" i="7"/>
  <c r="N2593" i="7" l="1"/>
  <c r="O2594" i="7" s="1"/>
  <c r="P2593" i="7"/>
  <c r="M2652" i="7"/>
  <c r="L2653" i="7"/>
  <c r="N2594" i="7" l="1"/>
  <c r="O2595" i="7" s="1"/>
  <c r="P2594" i="7"/>
  <c r="M2653" i="7"/>
  <c r="L2654" i="7"/>
  <c r="P2595" i="7" l="1"/>
  <c r="N2595" i="7"/>
  <c r="O2596" i="7" s="1"/>
  <c r="M2654" i="7"/>
  <c r="L2655" i="7"/>
  <c r="N2596" i="7" l="1"/>
  <c r="O2597" i="7" s="1"/>
  <c r="P2596" i="7"/>
  <c r="M2655" i="7"/>
  <c r="L2656" i="7"/>
  <c r="N2597" i="7" l="1"/>
  <c r="O2598" i="7" s="1"/>
  <c r="P2597" i="7"/>
  <c r="M2656" i="7"/>
  <c r="L2657" i="7"/>
  <c r="P2598" i="7" l="1"/>
  <c r="N2598" i="7"/>
  <c r="O2599" i="7" s="1"/>
  <c r="M2657" i="7"/>
  <c r="L2658" i="7"/>
  <c r="N2599" i="7" l="1"/>
  <c r="O2600" i="7" s="1"/>
  <c r="P2599" i="7"/>
  <c r="M2658" i="7"/>
  <c r="L2659" i="7"/>
  <c r="N2600" i="7" l="1"/>
  <c r="O2601" i="7" s="1"/>
  <c r="P2600" i="7"/>
  <c r="M2659" i="7"/>
  <c r="L2660" i="7"/>
  <c r="N2601" i="7" l="1"/>
  <c r="O2602" i="7" s="1"/>
  <c r="P2601" i="7"/>
  <c r="M2660" i="7"/>
  <c r="L2661" i="7"/>
  <c r="P2602" i="7" l="1"/>
  <c r="N2602" i="7"/>
  <c r="O2603" i="7" s="1"/>
  <c r="M2661" i="7"/>
  <c r="L2662" i="7"/>
  <c r="P2603" i="7" l="1"/>
  <c r="N2603" i="7"/>
  <c r="O2604" i="7" s="1"/>
  <c r="M2662" i="7"/>
  <c r="L2663" i="7"/>
  <c r="N2604" i="7" l="1"/>
  <c r="O2605" i="7" s="1"/>
  <c r="P2604" i="7"/>
  <c r="M2663" i="7"/>
  <c r="L2664" i="7"/>
  <c r="N2605" i="7" l="1"/>
  <c r="O2606" i="7" s="1"/>
  <c r="P2605" i="7"/>
  <c r="M2664" i="7"/>
  <c r="L2665" i="7"/>
  <c r="P2606" i="7" l="1"/>
  <c r="N2606" i="7"/>
  <c r="O2607" i="7" s="1"/>
  <c r="M2665" i="7"/>
  <c r="L2666" i="7"/>
  <c r="P2607" i="7" l="1"/>
  <c r="N2607" i="7"/>
  <c r="O2608" i="7" s="1"/>
  <c r="M2666" i="7"/>
  <c r="L2667" i="7"/>
  <c r="P2608" i="7" l="1"/>
  <c r="N2608" i="7"/>
  <c r="O2609" i="7" s="1"/>
  <c r="M2667" i="7"/>
  <c r="L2668" i="7"/>
  <c r="N2609" i="7" l="1"/>
  <c r="O2610" i="7" s="1"/>
  <c r="P2609" i="7"/>
  <c r="M2668" i="7"/>
  <c r="L2669" i="7"/>
  <c r="N2610" i="7" l="1"/>
  <c r="O2611" i="7" s="1"/>
  <c r="P2610" i="7"/>
  <c r="M2669" i="7"/>
  <c r="L2670" i="7"/>
  <c r="N2611" i="7" l="1"/>
  <c r="O2612" i="7" s="1"/>
  <c r="P2611" i="7"/>
  <c r="M2670" i="7"/>
  <c r="L2671" i="7"/>
  <c r="P2612" i="7" l="1"/>
  <c r="N2612" i="7"/>
  <c r="O2613" i="7" s="1"/>
  <c r="M2671" i="7"/>
  <c r="L2672" i="7"/>
  <c r="P2613" i="7" l="1"/>
  <c r="N2613" i="7"/>
  <c r="O2614" i="7" s="1"/>
  <c r="M2672" i="7"/>
  <c r="L2673" i="7"/>
  <c r="P2614" i="7" l="1"/>
  <c r="N2614" i="7"/>
  <c r="O2615" i="7" s="1"/>
  <c r="M2673" i="7"/>
  <c r="L2674" i="7"/>
  <c r="P2615" i="7" l="1"/>
  <c r="N2615" i="7"/>
  <c r="O2616" i="7" s="1"/>
  <c r="M2674" i="7"/>
  <c r="L2675" i="7"/>
  <c r="N2616" i="7" l="1"/>
  <c r="O2617" i="7" s="1"/>
  <c r="P2616" i="7"/>
  <c r="M2675" i="7"/>
  <c r="L2676" i="7"/>
  <c r="N2617" i="7" l="1"/>
  <c r="O2618" i="7" s="1"/>
  <c r="P2617" i="7"/>
  <c r="M2676" i="7"/>
  <c r="L2677" i="7"/>
  <c r="P2618" i="7" l="1"/>
  <c r="N2618" i="7"/>
  <c r="O2619" i="7" s="1"/>
  <c r="M2677" i="7"/>
  <c r="L2678" i="7"/>
  <c r="P2619" i="7" l="1"/>
  <c r="N2619" i="7"/>
  <c r="O2620" i="7" s="1"/>
  <c r="M2678" i="7"/>
  <c r="L2679" i="7"/>
  <c r="P2620" i="7" l="1"/>
  <c r="N2620" i="7"/>
  <c r="O2621" i="7" s="1"/>
  <c r="M2679" i="7"/>
  <c r="L2680" i="7"/>
  <c r="N2621" i="7" l="1"/>
  <c r="O2622" i="7" s="1"/>
  <c r="P2621" i="7"/>
  <c r="M2680" i="7"/>
  <c r="L2681" i="7"/>
  <c r="N2622" i="7" l="1"/>
  <c r="O2623" i="7" s="1"/>
  <c r="P2622" i="7"/>
  <c r="M2681" i="7"/>
  <c r="L2682" i="7"/>
  <c r="P2623" i="7" l="1"/>
  <c r="N2623" i="7"/>
  <c r="O2624" i="7" s="1"/>
  <c r="M2682" i="7"/>
  <c r="L2683" i="7"/>
  <c r="N2624" i="7" l="1"/>
  <c r="O2625" i="7" s="1"/>
  <c r="P2624" i="7"/>
  <c r="M2683" i="7"/>
  <c r="L2684" i="7"/>
  <c r="P2625" i="7" l="1"/>
  <c r="N2625" i="7"/>
  <c r="O2626" i="7" s="1"/>
  <c r="M2684" i="7"/>
  <c r="L2685" i="7"/>
  <c r="P2626" i="7" l="1"/>
  <c r="N2626" i="7"/>
  <c r="O2627" i="7" s="1"/>
  <c r="M2685" i="7"/>
  <c r="L2686" i="7"/>
  <c r="P2627" i="7" l="1"/>
  <c r="N2627" i="7"/>
  <c r="O2628" i="7" s="1"/>
  <c r="M2686" i="7"/>
  <c r="L2687" i="7"/>
  <c r="N2628" i="7" l="1"/>
  <c r="O2629" i="7" s="1"/>
  <c r="P2628" i="7"/>
  <c r="M2687" i="7"/>
  <c r="L2688" i="7"/>
  <c r="P2629" i="7" l="1"/>
  <c r="N2629" i="7"/>
  <c r="O2630" i="7" s="1"/>
  <c r="M2688" i="7"/>
  <c r="L2689" i="7"/>
  <c r="N2630" i="7" l="1"/>
  <c r="O2631" i="7" s="1"/>
  <c r="P2630" i="7"/>
  <c r="M2689" i="7"/>
  <c r="L2690" i="7"/>
  <c r="N2631" i="7" l="1"/>
  <c r="O2632" i="7" s="1"/>
  <c r="P2631" i="7"/>
  <c r="M2690" i="7"/>
  <c r="L2691" i="7"/>
  <c r="N2632" i="7" l="1"/>
  <c r="O2633" i="7" s="1"/>
  <c r="P2632" i="7"/>
  <c r="M2691" i="7"/>
  <c r="L2692" i="7"/>
  <c r="N2633" i="7" l="1"/>
  <c r="O2634" i="7" s="1"/>
  <c r="P2633" i="7"/>
  <c r="M2692" i="7"/>
  <c r="L2693" i="7"/>
  <c r="N2634" i="7" l="1"/>
  <c r="O2635" i="7" s="1"/>
  <c r="P2634" i="7"/>
  <c r="M2693" i="7"/>
  <c r="L2694" i="7"/>
  <c r="N2635" i="7" l="1"/>
  <c r="O2636" i="7" s="1"/>
  <c r="P2635" i="7"/>
  <c r="M2694" i="7"/>
  <c r="L2695" i="7"/>
  <c r="P2636" i="7" l="1"/>
  <c r="N2636" i="7"/>
  <c r="O2637" i="7" s="1"/>
  <c r="M2695" i="7"/>
  <c r="L2696" i="7"/>
  <c r="N2637" i="7" l="1"/>
  <c r="O2638" i="7" s="1"/>
  <c r="P2637" i="7"/>
  <c r="M2696" i="7"/>
  <c r="L2697" i="7"/>
  <c r="P2638" i="7" l="1"/>
  <c r="N2638" i="7"/>
  <c r="O2639" i="7" s="1"/>
  <c r="M2697" i="7"/>
  <c r="L2698" i="7"/>
  <c r="N2639" i="7" l="1"/>
  <c r="O2640" i="7" s="1"/>
  <c r="P2639" i="7"/>
  <c r="M2698" i="7"/>
  <c r="L2699" i="7"/>
  <c r="N2640" i="7" l="1"/>
  <c r="O2641" i="7" s="1"/>
  <c r="P2640" i="7"/>
  <c r="M2699" i="7"/>
  <c r="L2700" i="7"/>
  <c r="N2641" i="7" l="1"/>
  <c r="O2642" i="7" s="1"/>
  <c r="P2641" i="7"/>
  <c r="M2700" i="7"/>
  <c r="L2701" i="7"/>
  <c r="P2642" i="7" l="1"/>
  <c r="N2642" i="7"/>
  <c r="O2643" i="7" s="1"/>
  <c r="M2701" i="7"/>
  <c r="L2702" i="7"/>
  <c r="P2643" i="7" l="1"/>
  <c r="N2643" i="7"/>
  <c r="O2644" i="7" s="1"/>
  <c r="M2702" i="7"/>
  <c r="L2703" i="7"/>
  <c r="N2644" i="7" l="1"/>
  <c r="O2645" i="7" s="1"/>
  <c r="P2644" i="7"/>
  <c r="M2703" i="7"/>
  <c r="L2704" i="7"/>
  <c r="P2645" i="7" l="1"/>
  <c r="N2645" i="7"/>
  <c r="O2646" i="7" s="1"/>
  <c r="M2704" i="7"/>
  <c r="L2705" i="7"/>
  <c r="N2646" i="7" l="1"/>
  <c r="O2647" i="7" s="1"/>
  <c r="P2646" i="7"/>
  <c r="M2705" i="7"/>
  <c r="L2706" i="7"/>
  <c r="N2647" i="7" l="1"/>
  <c r="O2648" i="7" s="1"/>
  <c r="P2647" i="7"/>
  <c r="M2706" i="7"/>
  <c r="L2707" i="7"/>
  <c r="N2648" i="7" l="1"/>
  <c r="O2649" i="7" s="1"/>
  <c r="P2648" i="7"/>
  <c r="M2707" i="7"/>
  <c r="L2708" i="7"/>
  <c r="N2649" i="7" l="1"/>
  <c r="O2650" i="7" s="1"/>
  <c r="P2649" i="7"/>
  <c r="M2708" i="7"/>
  <c r="L2709" i="7"/>
  <c r="P2650" i="7" l="1"/>
  <c r="N2650" i="7"/>
  <c r="O2651" i="7" s="1"/>
  <c r="M2709" i="7"/>
  <c r="L2710" i="7"/>
  <c r="N2651" i="7" l="1"/>
  <c r="O2652" i="7" s="1"/>
  <c r="P2651" i="7"/>
  <c r="M2710" i="7"/>
  <c r="L2711" i="7"/>
  <c r="P2652" i="7" l="1"/>
  <c r="N2652" i="7"/>
  <c r="O2653" i="7" s="1"/>
  <c r="M2711" i="7"/>
  <c r="L2712" i="7"/>
  <c r="P2653" i="7" l="1"/>
  <c r="N2653" i="7"/>
  <c r="O2654" i="7" s="1"/>
  <c r="M2712" i="7"/>
  <c r="L2713" i="7"/>
  <c r="P2654" i="7" l="1"/>
  <c r="N2654" i="7"/>
  <c r="O2655" i="7" s="1"/>
  <c r="M2713" i="7"/>
  <c r="L2714" i="7"/>
  <c r="P2655" i="7" l="1"/>
  <c r="N2655" i="7"/>
  <c r="O2656" i="7" s="1"/>
  <c r="M2714" i="7"/>
  <c r="L2715" i="7"/>
  <c r="N2656" i="7" l="1"/>
  <c r="O2657" i="7" s="1"/>
  <c r="P2656" i="7"/>
  <c r="M2715" i="7"/>
  <c r="L2716" i="7"/>
  <c r="P2657" i="7" l="1"/>
  <c r="N2657" i="7"/>
  <c r="O2658" i="7" s="1"/>
  <c r="M2716" i="7"/>
  <c r="L2717" i="7"/>
  <c r="N2658" i="7" l="1"/>
  <c r="O2659" i="7" s="1"/>
  <c r="P2658" i="7"/>
  <c r="M2717" i="7"/>
  <c r="L2718" i="7"/>
  <c r="P2659" i="7" l="1"/>
  <c r="N2659" i="7"/>
  <c r="O2660" i="7" s="1"/>
  <c r="M2718" i="7"/>
  <c r="L2719" i="7"/>
  <c r="P2660" i="7" l="1"/>
  <c r="N2660" i="7"/>
  <c r="O2661" i="7" s="1"/>
  <c r="M2719" i="7"/>
  <c r="L2720" i="7"/>
  <c r="P2661" i="7" l="1"/>
  <c r="N2661" i="7"/>
  <c r="O2662" i="7" s="1"/>
  <c r="M2720" i="7"/>
  <c r="L2721" i="7"/>
  <c r="N2662" i="7" l="1"/>
  <c r="O2663" i="7" s="1"/>
  <c r="P2662" i="7"/>
  <c r="M2721" i="7"/>
  <c r="L2722" i="7"/>
  <c r="P2663" i="7" l="1"/>
  <c r="N2663" i="7"/>
  <c r="O2664" i="7" s="1"/>
  <c r="M2722" i="7"/>
  <c r="L2723" i="7"/>
  <c r="P2664" i="7" l="1"/>
  <c r="N2664" i="7"/>
  <c r="O2665" i="7" s="1"/>
  <c r="M2723" i="7"/>
  <c r="L2724" i="7"/>
  <c r="N2665" i="7" l="1"/>
  <c r="O2666" i="7" s="1"/>
  <c r="P2665" i="7"/>
  <c r="M2724" i="7"/>
  <c r="L2725" i="7"/>
  <c r="N2666" i="7" l="1"/>
  <c r="O2667" i="7" s="1"/>
  <c r="P2666" i="7"/>
  <c r="M2725" i="7"/>
  <c r="L2726" i="7"/>
  <c r="P2667" i="7" l="1"/>
  <c r="N2667" i="7"/>
  <c r="O2668" i="7" s="1"/>
  <c r="M2726" i="7"/>
  <c r="L2727" i="7"/>
  <c r="N2668" i="7" l="1"/>
  <c r="O2669" i="7" s="1"/>
  <c r="P2668" i="7"/>
  <c r="M2727" i="7"/>
  <c r="L2728" i="7"/>
  <c r="N2669" i="7" l="1"/>
  <c r="O2670" i="7" s="1"/>
  <c r="P2669" i="7"/>
  <c r="M2728" i="7"/>
  <c r="L2729" i="7"/>
  <c r="P2670" i="7" l="1"/>
  <c r="N2670" i="7"/>
  <c r="O2671" i="7" s="1"/>
  <c r="M2729" i="7"/>
  <c r="L2730" i="7"/>
  <c r="P2671" i="7" l="1"/>
  <c r="N2671" i="7"/>
  <c r="O2672" i="7" s="1"/>
  <c r="M2730" i="7"/>
  <c r="L2731" i="7"/>
  <c r="P2672" i="7" l="1"/>
  <c r="N2672" i="7"/>
  <c r="O2673" i="7" s="1"/>
  <c r="M2731" i="7"/>
  <c r="L2732" i="7"/>
  <c r="N2673" i="7" l="1"/>
  <c r="O2674" i="7" s="1"/>
  <c r="P2673" i="7"/>
  <c r="M2732" i="7"/>
  <c r="L2733" i="7"/>
  <c r="N2674" i="7" l="1"/>
  <c r="O2675" i="7" s="1"/>
  <c r="P2674" i="7"/>
  <c r="M2733" i="7"/>
  <c r="L2734" i="7"/>
  <c r="P2675" i="7" l="1"/>
  <c r="N2675" i="7"/>
  <c r="O2676" i="7" s="1"/>
  <c r="M2734" i="7"/>
  <c r="L2735" i="7"/>
  <c r="N2676" i="7" l="1"/>
  <c r="O2677" i="7" s="1"/>
  <c r="P2676" i="7"/>
  <c r="M2735" i="7"/>
  <c r="L2736" i="7"/>
  <c r="P2677" i="7" l="1"/>
  <c r="N2677" i="7"/>
  <c r="O2678" i="7" s="1"/>
  <c r="M2736" i="7"/>
  <c r="L2737" i="7"/>
  <c r="P2678" i="7" l="1"/>
  <c r="N2678" i="7"/>
  <c r="O2679" i="7" s="1"/>
  <c r="M2737" i="7"/>
  <c r="L2738" i="7"/>
  <c r="N2679" i="7" l="1"/>
  <c r="O2680" i="7" s="1"/>
  <c r="P2679" i="7"/>
  <c r="M2738" i="7"/>
  <c r="L2739" i="7"/>
  <c r="N2680" i="7" l="1"/>
  <c r="O2681" i="7" s="1"/>
  <c r="P2680" i="7"/>
  <c r="M2739" i="7"/>
  <c r="L2740" i="7"/>
  <c r="N2681" i="7" l="1"/>
  <c r="O2682" i="7" s="1"/>
  <c r="P2681" i="7"/>
  <c r="M2740" i="7"/>
  <c r="L2741" i="7"/>
  <c r="P2682" i="7" l="1"/>
  <c r="N2682" i="7"/>
  <c r="O2683" i="7" s="1"/>
  <c r="M2741" i="7"/>
  <c r="L2742" i="7"/>
  <c r="N2683" i="7" l="1"/>
  <c r="O2684" i="7" s="1"/>
  <c r="P2683" i="7"/>
  <c r="M2742" i="7"/>
  <c r="L2743" i="7"/>
  <c r="P2684" i="7" l="1"/>
  <c r="N2684" i="7"/>
  <c r="O2685" i="7" s="1"/>
  <c r="M2743" i="7"/>
  <c r="L2744" i="7"/>
  <c r="N2685" i="7" l="1"/>
  <c r="O2686" i="7" s="1"/>
  <c r="P2685" i="7"/>
  <c r="M2744" i="7"/>
  <c r="L2745" i="7"/>
  <c r="N2686" i="7" l="1"/>
  <c r="O2687" i="7" s="1"/>
  <c r="P2686" i="7"/>
  <c r="M2745" i="7"/>
  <c r="L2746" i="7"/>
  <c r="N2687" i="7" l="1"/>
  <c r="O2688" i="7" s="1"/>
  <c r="P2687" i="7"/>
  <c r="M2746" i="7"/>
  <c r="L2747" i="7"/>
  <c r="N2688" i="7" l="1"/>
  <c r="O2689" i="7" s="1"/>
  <c r="P2688" i="7"/>
  <c r="M2747" i="7"/>
  <c r="L2748" i="7"/>
  <c r="P2689" i="7" l="1"/>
  <c r="N2689" i="7"/>
  <c r="O2690" i="7" s="1"/>
  <c r="M2748" i="7"/>
  <c r="L2749" i="7"/>
  <c r="P2690" i="7" l="1"/>
  <c r="N2690" i="7"/>
  <c r="O2691" i="7" s="1"/>
  <c r="M2749" i="7"/>
  <c r="L2750" i="7"/>
  <c r="P2691" i="7" l="1"/>
  <c r="N2691" i="7"/>
  <c r="O2692" i="7" s="1"/>
  <c r="M2750" i="7"/>
  <c r="L2751" i="7"/>
  <c r="N2692" i="7" l="1"/>
  <c r="O2693" i="7" s="1"/>
  <c r="P2692" i="7"/>
  <c r="M2751" i="7"/>
  <c r="L2752" i="7"/>
  <c r="P2693" i="7" l="1"/>
  <c r="N2693" i="7"/>
  <c r="O2694" i="7" s="1"/>
  <c r="M2752" i="7"/>
  <c r="L2753" i="7"/>
  <c r="P2694" i="7" l="1"/>
  <c r="N2694" i="7"/>
  <c r="O2695" i="7" s="1"/>
  <c r="M2753" i="7"/>
  <c r="L2754" i="7"/>
  <c r="P2695" i="7" l="1"/>
  <c r="N2695" i="7"/>
  <c r="O2696" i="7" s="1"/>
  <c r="M2754" i="7"/>
  <c r="L2755" i="7"/>
  <c r="N2696" i="7" l="1"/>
  <c r="O2697" i="7" s="1"/>
  <c r="P2696" i="7"/>
  <c r="M2755" i="7"/>
  <c r="L2756" i="7"/>
  <c r="P2697" i="7" l="1"/>
  <c r="N2697" i="7"/>
  <c r="O2698" i="7" s="1"/>
  <c r="M2756" i="7"/>
  <c r="L2757" i="7"/>
  <c r="P2698" i="7" l="1"/>
  <c r="N2698" i="7"/>
  <c r="O2699" i="7" s="1"/>
  <c r="M2757" i="7"/>
  <c r="L2758" i="7"/>
  <c r="N2699" i="7" l="1"/>
  <c r="O2700" i="7" s="1"/>
  <c r="P2699" i="7"/>
  <c r="M2758" i="7"/>
  <c r="L2759" i="7"/>
  <c r="N2700" i="7" l="1"/>
  <c r="O2701" i="7" s="1"/>
  <c r="P2700" i="7"/>
  <c r="M2759" i="7"/>
  <c r="L2760" i="7"/>
  <c r="P2701" i="7" l="1"/>
  <c r="N2701" i="7"/>
  <c r="O2702" i="7" s="1"/>
  <c r="M2760" i="7"/>
  <c r="L2761" i="7"/>
  <c r="N2702" i="7" l="1"/>
  <c r="O2703" i="7" s="1"/>
  <c r="P2702" i="7"/>
  <c r="M2761" i="7"/>
  <c r="L2762" i="7"/>
  <c r="P2703" i="7" l="1"/>
  <c r="N2703" i="7"/>
  <c r="O2704" i="7" s="1"/>
  <c r="M2762" i="7"/>
  <c r="L2763" i="7"/>
  <c r="N2704" i="7" l="1"/>
  <c r="O2705" i="7" s="1"/>
  <c r="P2704" i="7"/>
  <c r="M2763" i="7"/>
  <c r="L2764" i="7"/>
  <c r="P2705" i="7" l="1"/>
  <c r="N2705" i="7"/>
  <c r="O2706" i="7" s="1"/>
  <c r="M2764" i="7"/>
  <c r="L2765" i="7"/>
  <c r="P2706" i="7" l="1"/>
  <c r="N2706" i="7"/>
  <c r="O2707" i="7" s="1"/>
  <c r="M2765" i="7"/>
  <c r="L2766" i="7"/>
  <c r="P2707" i="7" l="1"/>
  <c r="N2707" i="7"/>
  <c r="O2708" i="7" s="1"/>
  <c r="M2766" i="7"/>
  <c r="L2767" i="7"/>
  <c r="P2708" i="7" l="1"/>
  <c r="N2708" i="7"/>
  <c r="O2709" i="7" s="1"/>
  <c r="M2767" i="7"/>
  <c r="L2768" i="7"/>
  <c r="N2709" i="7" l="1"/>
  <c r="O2710" i="7" s="1"/>
  <c r="P2709" i="7"/>
  <c r="M2768" i="7"/>
  <c r="L2769" i="7"/>
  <c r="P2710" i="7" l="1"/>
  <c r="N2710" i="7"/>
  <c r="O2711" i="7" s="1"/>
  <c r="M2769" i="7"/>
  <c r="L2770" i="7"/>
  <c r="N2711" i="7" l="1"/>
  <c r="O2712" i="7" s="1"/>
  <c r="P2711" i="7"/>
  <c r="M2770" i="7"/>
  <c r="L2771" i="7"/>
  <c r="P2712" i="7" l="1"/>
  <c r="N2712" i="7"/>
  <c r="O2713" i="7" s="1"/>
  <c r="M2771" i="7"/>
  <c r="L2772" i="7"/>
  <c r="P2713" i="7" l="1"/>
  <c r="N2713" i="7"/>
  <c r="O2714" i="7" s="1"/>
  <c r="M2772" i="7"/>
  <c r="L2773" i="7"/>
  <c r="P2714" i="7" l="1"/>
  <c r="N2714" i="7"/>
  <c r="O2715" i="7" s="1"/>
  <c r="M2773" i="7"/>
  <c r="L2774" i="7"/>
  <c r="P2715" i="7" l="1"/>
  <c r="N2715" i="7"/>
  <c r="O2716" i="7" s="1"/>
  <c r="M2774" i="7"/>
  <c r="L2775" i="7"/>
  <c r="P2716" i="7" l="1"/>
  <c r="N2716" i="7"/>
  <c r="O2717" i="7" s="1"/>
  <c r="M2775" i="7"/>
  <c r="L2776" i="7"/>
  <c r="P2717" i="7" l="1"/>
  <c r="N2717" i="7"/>
  <c r="O2718" i="7" s="1"/>
  <c r="M2776" i="7"/>
  <c r="L2777" i="7"/>
  <c r="P2718" i="7" l="1"/>
  <c r="N2718" i="7"/>
  <c r="O2719" i="7" s="1"/>
  <c r="M2777" i="7"/>
  <c r="L2778" i="7"/>
  <c r="N2719" i="7" l="1"/>
  <c r="O2720" i="7" s="1"/>
  <c r="P2719" i="7"/>
  <c r="M2778" i="7"/>
  <c r="L2779" i="7"/>
  <c r="P2720" i="7" l="1"/>
  <c r="N2720" i="7"/>
  <c r="O2721" i="7" s="1"/>
  <c r="M2779" i="7"/>
  <c r="L2780" i="7"/>
  <c r="N2721" i="7" l="1"/>
  <c r="O2722" i="7" s="1"/>
  <c r="P2721" i="7"/>
  <c r="M2780" i="7"/>
  <c r="L2781" i="7"/>
  <c r="P2722" i="7" l="1"/>
  <c r="N2722" i="7"/>
  <c r="O2723" i="7" s="1"/>
  <c r="M2781" i="7"/>
  <c r="L2782" i="7"/>
  <c r="N2723" i="7" l="1"/>
  <c r="O2724" i="7" s="1"/>
  <c r="P2723" i="7"/>
  <c r="M2782" i="7"/>
  <c r="L2783" i="7"/>
  <c r="N2724" i="7" l="1"/>
  <c r="O2725" i="7" s="1"/>
  <c r="P2724" i="7"/>
  <c r="M2783" i="7"/>
  <c r="L2784" i="7"/>
  <c r="N2725" i="7" l="1"/>
  <c r="O2726" i="7" s="1"/>
  <c r="P2725" i="7"/>
  <c r="M2784" i="7"/>
  <c r="L2785" i="7"/>
  <c r="P2726" i="7" l="1"/>
  <c r="N2726" i="7"/>
  <c r="O2727" i="7" s="1"/>
  <c r="M2785" i="7"/>
  <c r="L2786" i="7"/>
  <c r="N2727" i="7" l="1"/>
  <c r="O2728" i="7" s="1"/>
  <c r="P2727" i="7"/>
  <c r="M2786" i="7"/>
  <c r="L2787" i="7"/>
  <c r="P2728" i="7" l="1"/>
  <c r="N2728" i="7"/>
  <c r="O2729" i="7" s="1"/>
  <c r="M2787" i="7"/>
  <c r="L2788" i="7"/>
  <c r="N2729" i="7" l="1"/>
  <c r="O2730" i="7" s="1"/>
  <c r="P2729" i="7"/>
  <c r="M2788" i="7"/>
  <c r="L2789" i="7"/>
  <c r="N2730" i="7" l="1"/>
  <c r="O2731" i="7" s="1"/>
  <c r="P2730" i="7"/>
  <c r="M2789" i="7"/>
  <c r="L2790" i="7"/>
  <c r="N2731" i="7" l="1"/>
  <c r="O2732" i="7" s="1"/>
  <c r="P2731" i="7"/>
  <c r="M2790" i="7"/>
  <c r="L2791" i="7"/>
  <c r="P2732" i="7" l="1"/>
  <c r="N2732" i="7"/>
  <c r="O2733" i="7" s="1"/>
  <c r="M2791" i="7"/>
  <c r="L2792" i="7"/>
  <c r="P2733" i="7" l="1"/>
  <c r="N2733" i="7"/>
  <c r="O2734" i="7" s="1"/>
  <c r="M2792" i="7"/>
  <c r="L2793" i="7"/>
  <c r="N2734" i="7" l="1"/>
  <c r="O2735" i="7" s="1"/>
  <c r="P2734" i="7"/>
  <c r="M2793" i="7"/>
  <c r="L2794" i="7"/>
  <c r="P2735" i="7" l="1"/>
  <c r="N2735" i="7"/>
  <c r="O2736" i="7" s="1"/>
  <c r="M2794" i="7"/>
  <c r="L2795" i="7"/>
  <c r="P2736" i="7" l="1"/>
  <c r="N2736" i="7"/>
  <c r="O2737" i="7" s="1"/>
  <c r="M2795" i="7"/>
  <c r="L2796" i="7"/>
  <c r="P2737" i="7" l="1"/>
  <c r="N2737" i="7"/>
  <c r="O2738" i="7" s="1"/>
  <c r="M2796" i="7"/>
  <c r="L2797" i="7"/>
  <c r="N2738" i="7" l="1"/>
  <c r="O2739" i="7" s="1"/>
  <c r="P2738" i="7"/>
  <c r="M2797" i="7"/>
  <c r="L2798" i="7"/>
  <c r="N2739" i="7" l="1"/>
  <c r="O2740" i="7" s="1"/>
  <c r="P2739" i="7"/>
  <c r="M2798" i="7"/>
  <c r="L2799" i="7"/>
  <c r="P2740" i="7" l="1"/>
  <c r="N2740" i="7"/>
  <c r="O2741" i="7" s="1"/>
  <c r="M2799" i="7"/>
  <c r="L2800" i="7"/>
  <c r="N2741" i="7" l="1"/>
  <c r="O2742" i="7" s="1"/>
  <c r="P2741" i="7"/>
  <c r="M2800" i="7"/>
  <c r="L2801" i="7"/>
  <c r="P2742" i="7" l="1"/>
  <c r="N2742" i="7"/>
  <c r="O2743" i="7" s="1"/>
  <c r="M2801" i="7"/>
  <c r="L2802" i="7"/>
  <c r="P2743" i="7" l="1"/>
  <c r="N2743" i="7"/>
  <c r="O2744" i="7" s="1"/>
  <c r="M2802" i="7"/>
  <c r="L2803" i="7"/>
  <c r="N2744" i="7" l="1"/>
  <c r="O2745" i="7" s="1"/>
  <c r="P2744" i="7"/>
  <c r="M2803" i="7"/>
  <c r="L2804" i="7"/>
  <c r="P2745" i="7" l="1"/>
  <c r="N2745" i="7"/>
  <c r="O2746" i="7" s="1"/>
  <c r="M2804" i="7"/>
  <c r="L2805" i="7"/>
  <c r="P2746" i="7" l="1"/>
  <c r="N2746" i="7"/>
  <c r="O2747" i="7" s="1"/>
  <c r="M2805" i="7"/>
  <c r="L2806" i="7"/>
  <c r="P2747" i="7" l="1"/>
  <c r="N2747" i="7"/>
  <c r="O2748" i="7" s="1"/>
  <c r="M2806" i="7"/>
  <c r="L2807" i="7"/>
  <c r="P2748" i="7" l="1"/>
  <c r="N2748" i="7"/>
  <c r="O2749" i="7" s="1"/>
  <c r="M2807" i="7"/>
  <c r="L2808" i="7"/>
  <c r="P2749" i="7" l="1"/>
  <c r="N2749" i="7"/>
  <c r="O2750" i="7" s="1"/>
  <c r="M2808" i="7"/>
  <c r="L2809" i="7"/>
  <c r="P2750" i="7" l="1"/>
  <c r="N2750" i="7"/>
  <c r="O2751" i="7" s="1"/>
  <c r="M2809" i="7"/>
  <c r="L2810" i="7"/>
  <c r="N2751" i="7" l="1"/>
  <c r="O2752" i="7" s="1"/>
  <c r="P2751" i="7"/>
  <c r="M2810" i="7"/>
  <c r="L2811" i="7"/>
  <c r="P2752" i="7" l="1"/>
  <c r="N2752" i="7"/>
  <c r="O2753" i="7" s="1"/>
  <c r="M2811" i="7"/>
  <c r="L2812" i="7"/>
  <c r="N2753" i="7" l="1"/>
  <c r="O2754" i="7" s="1"/>
  <c r="P2753" i="7"/>
  <c r="M2812" i="7"/>
  <c r="L2813" i="7"/>
  <c r="P2754" i="7" l="1"/>
  <c r="N2754" i="7"/>
  <c r="O2755" i="7" s="1"/>
  <c r="M2813" i="7"/>
  <c r="L2814" i="7"/>
  <c r="P2755" i="7" l="1"/>
  <c r="N2755" i="7"/>
  <c r="O2756" i="7" s="1"/>
  <c r="M2814" i="7"/>
  <c r="L2815" i="7"/>
  <c r="N2756" i="7" l="1"/>
  <c r="O2757" i="7" s="1"/>
  <c r="P2756" i="7"/>
  <c r="M2815" i="7"/>
  <c r="L2816" i="7"/>
  <c r="N2757" i="7" l="1"/>
  <c r="O2758" i="7" s="1"/>
  <c r="P2757" i="7"/>
  <c r="M2816" i="7"/>
  <c r="L2817" i="7"/>
  <c r="P2758" i="7" l="1"/>
  <c r="N2758" i="7"/>
  <c r="O2759" i="7" s="1"/>
  <c r="M2817" i="7"/>
  <c r="L2818" i="7"/>
  <c r="N2759" i="7" l="1"/>
  <c r="O2760" i="7" s="1"/>
  <c r="P2759" i="7"/>
  <c r="M2818" i="7"/>
  <c r="L2819" i="7"/>
  <c r="P2760" i="7" l="1"/>
  <c r="N2760" i="7"/>
  <c r="O2761" i="7" s="1"/>
  <c r="M2819" i="7"/>
  <c r="L2820" i="7"/>
  <c r="N2761" i="7" l="1"/>
  <c r="O2762" i="7" s="1"/>
  <c r="P2761" i="7"/>
  <c r="M2820" i="7"/>
  <c r="L2821" i="7"/>
  <c r="N2762" i="7" l="1"/>
  <c r="O2763" i="7" s="1"/>
  <c r="P2762" i="7"/>
  <c r="M2821" i="7"/>
  <c r="L2822" i="7"/>
  <c r="P2763" i="7" l="1"/>
  <c r="N2763" i="7"/>
  <c r="O2764" i="7" s="1"/>
  <c r="M2822" i="7"/>
  <c r="L2823" i="7"/>
  <c r="P2764" i="7" l="1"/>
  <c r="N2764" i="7"/>
  <c r="O2765" i="7" s="1"/>
  <c r="M2823" i="7"/>
  <c r="L2824" i="7"/>
  <c r="P2765" i="7" l="1"/>
  <c r="N2765" i="7"/>
  <c r="O2766" i="7" s="1"/>
  <c r="M2824" i="7"/>
  <c r="L2825" i="7"/>
  <c r="N2766" i="7" l="1"/>
  <c r="O2767" i="7" s="1"/>
  <c r="P2766" i="7"/>
  <c r="M2825" i="7"/>
  <c r="L2826" i="7"/>
  <c r="N2767" i="7" l="1"/>
  <c r="O2768" i="7" s="1"/>
  <c r="P2767" i="7"/>
  <c r="M2826" i="7"/>
  <c r="L2827" i="7"/>
  <c r="P2768" i="7" l="1"/>
  <c r="N2768" i="7"/>
  <c r="O2769" i="7" s="1"/>
  <c r="M2827" i="7"/>
  <c r="L2828" i="7"/>
  <c r="P2769" i="7" l="1"/>
  <c r="N2769" i="7"/>
  <c r="O2770" i="7" s="1"/>
  <c r="M2828" i="7"/>
  <c r="L2829" i="7"/>
  <c r="N2770" i="7" l="1"/>
  <c r="O2771" i="7" s="1"/>
  <c r="P2770" i="7"/>
  <c r="M2829" i="7"/>
  <c r="L2830" i="7"/>
  <c r="P2771" i="7" l="1"/>
  <c r="N2771" i="7"/>
  <c r="O2772" i="7" s="1"/>
  <c r="M2830" i="7"/>
  <c r="L2831" i="7"/>
  <c r="P2772" i="7" l="1"/>
  <c r="N2772" i="7"/>
  <c r="O2773" i="7" s="1"/>
  <c r="M2831" i="7"/>
  <c r="L2832" i="7"/>
  <c r="N2773" i="7" l="1"/>
  <c r="O2774" i="7" s="1"/>
  <c r="P2773" i="7"/>
  <c r="M2832" i="7"/>
  <c r="L2833" i="7"/>
  <c r="N2774" i="7" l="1"/>
  <c r="O2775" i="7" s="1"/>
  <c r="P2774" i="7"/>
  <c r="M2833" i="7"/>
  <c r="L2834" i="7"/>
  <c r="N2775" i="7" l="1"/>
  <c r="O2776" i="7" s="1"/>
  <c r="P2775" i="7"/>
  <c r="M2834" i="7"/>
  <c r="L2835" i="7"/>
  <c r="P2776" i="7" l="1"/>
  <c r="N2776" i="7"/>
  <c r="O2777" i="7" s="1"/>
  <c r="M2835" i="7"/>
  <c r="L2836" i="7"/>
  <c r="N2777" i="7" l="1"/>
  <c r="O2778" i="7" s="1"/>
  <c r="P2777" i="7"/>
  <c r="M2836" i="7"/>
  <c r="L2837" i="7"/>
  <c r="N2778" i="7" l="1"/>
  <c r="O2779" i="7" s="1"/>
  <c r="P2778" i="7"/>
  <c r="M2837" i="7"/>
  <c r="L2838" i="7"/>
  <c r="N2779" i="7" l="1"/>
  <c r="O2780" i="7" s="1"/>
  <c r="P2779" i="7"/>
  <c r="M2838" i="7"/>
  <c r="L2839" i="7"/>
  <c r="P2780" i="7" l="1"/>
  <c r="N2780" i="7"/>
  <c r="O2781" i="7" s="1"/>
  <c r="M2839" i="7"/>
  <c r="L2840" i="7"/>
  <c r="N2781" i="7" l="1"/>
  <c r="O2782" i="7" s="1"/>
  <c r="P2781" i="7"/>
  <c r="M2840" i="7"/>
  <c r="L2841" i="7"/>
  <c r="P2782" i="7" l="1"/>
  <c r="N2782" i="7"/>
  <c r="O2783" i="7" s="1"/>
  <c r="M2841" i="7"/>
  <c r="L2842" i="7"/>
  <c r="N2783" i="7" l="1"/>
  <c r="O2784" i="7" s="1"/>
  <c r="P2783" i="7"/>
  <c r="M2842" i="7"/>
  <c r="L2843" i="7"/>
  <c r="N2784" i="7" l="1"/>
  <c r="O2785" i="7" s="1"/>
  <c r="P2784" i="7"/>
  <c r="M2843" i="7"/>
  <c r="L2844" i="7"/>
  <c r="N2785" i="7" l="1"/>
  <c r="O2786" i="7" s="1"/>
  <c r="P2785" i="7"/>
  <c r="M2844" i="7"/>
  <c r="L2845" i="7"/>
  <c r="P2786" i="7" l="1"/>
  <c r="N2786" i="7"/>
  <c r="O2787" i="7" s="1"/>
  <c r="M2845" i="7"/>
  <c r="L2846" i="7"/>
  <c r="N2787" i="7" l="1"/>
  <c r="O2788" i="7" s="1"/>
  <c r="P2787" i="7"/>
  <c r="M2846" i="7"/>
  <c r="L2847" i="7"/>
  <c r="N2788" i="7" l="1"/>
  <c r="O2789" i="7" s="1"/>
  <c r="P2788" i="7"/>
  <c r="M2847" i="7"/>
  <c r="L2848" i="7"/>
  <c r="P2789" i="7" l="1"/>
  <c r="N2789" i="7"/>
  <c r="O2790" i="7" s="1"/>
  <c r="M2848" i="7"/>
  <c r="L2849" i="7"/>
  <c r="N2790" i="7" l="1"/>
  <c r="O2791" i="7" s="1"/>
  <c r="P2790" i="7"/>
  <c r="M2849" i="7"/>
  <c r="L2850" i="7"/>
  <c r="N2791" i="7" l="1"/>
  <c r="O2792" i="7" s="1"/>
  <c r="P2791" i="7"/>
  <c r="M2850" i="7"/>
  <c r="L2851" i="7"/>
  <c r="N2792" i="7" l="1"/>
  <c r="O2793" i="7" s="1"/>
  <c r="P2792" i="7"/>
  <c r="M2851" i="7"/>
  <c r="L2852" i="7"/>
  <c r="N2793" i="7" l="1"/>
  <c r="O2794" i="7" s="1"/>
  <c r="P2793" i="7"/>
  <c r="M2852" i="7"/>
  <c r="L2853" i="7"/>
  <c r="N2794" i="7" l="1"/>
  <c r="O2795" i="7" s="1"/>
  <c r="P2794" i="7"/>
  <c r="M2853" i="7"/>
  <c r="L2854" i="7"/>
  <c r="N2795" i="7" l="1"/>
  <c r="O2796" i="7" s="1"/>
  <c r="P2795" i="7"/>
  <c r="M2854" i="7"/>
  <c r="L2855" i="7"/>
  <c r="N2796" i="7" l="1"/>
  <c r="O2797" i="7" s="1"/>
  <c r="P2796" i="7"/>
  <c r="M2855" i="7"/>
  <c r="L2856" i="7"/>
  <c r="N2797" i="7" l="1"/>
  <c r="O2798" i="7" s="1"/>
  <c r="P2797" i="7"/>
  <c r="M2856" i="7"/>
  <c r="L2857" i="7"/>
  <c r="N2798" i="7" l="1"/>
  <c r="O2799" i="7" s="1"/>
  <c r="P2798" i="7"/>
  <c r="M2857" i="7"/>
  <c r="L2858" i="7"/>
  <c r="P2799" i="7" l="1"/>
  <c r="N2799" i="7"/>
  <c r="O2800" i="7" s="1"/>
  <c r="M2858" i="7"/>
  <c r="L2859" i="7"/>
  <c r="P2800" i="7" l="1"/>
  <c r="N2800" i="7"/>
  <c r="O2801" i="7" s="1"/>
  <c r="M2859" i="7"/>
  <c r="L2860" i="7"/>
  <c r="N2801" i="7" l="1"/>
  <c r="O2802" i="7" s="1"/>
  <c r="P2801" i="7"/>
  <c r="M2860" i="7"/>
  <c r="L2861" i="7"/>
  <c r="N2802" i="7" l="1"/>
  <c r="O2803" i="7" s="1"/>
  <c r="P2802" i="7"/>
  <c r="M2861" i="7"/>
  <c r="L2862" i="7"/>
  <c r="P2803" i="7" l="1"/>
  <c r="N2803" i="7"/>
  <c r="O2804" i="7" s="1"/>
  <c r="M2862" i="7"/>
  <c r="L2863" i="7"/>
  <c r="N2804" i="7" l="1"/>
  <c r="O2805" i="7" s="1"/>
  <c r="P2804" i="7"/>
  <c r="M2863" i="7"/>
  <c r="L2864" i="7"/>
  <c r="P2805" i="7" l="1"/>
  <c r="N2805" i="7"/>
  <c r="O2806" i="7" s="1"/>
  <c r="M2864" i="7"/>
  <c r="L2865" i="7"/>
  <c r="N2806" i="7" l="1"/>
  <c r="O2807" i="7" s="1"/>
  <c r="P2806" i="7"/>
  <c r="M2865" i="7"/>
  <c r="L2866" i="7"/>
  <c r="N2807" i="7" l="1"/>
  <c r="O2808" i="7" s="1"/>
  <c r="P2807" i="7"/>
  <c r="M2866" i="7"/>
  <c r="L2867" i="7"/>
  <c r="P2808" i="7" l="1"/>
  <c r="N2808" i="7"/>
  <c r="O2809" i="7" s="1"/>
  <c r="M2867" i="7"/>
  <c r="L2868" i="7"/>
  <c r="P2809" i="7" l="1"/>
  <c r="N2809" i="7"/>
  <c r="O2810" i="7" s="1"/>
  <c r="M2868" i="7"/>
  <c r="L2869" i="7"/>
  <c r="P2810" i="7" l="1"/>
  <c r="N2810" i="7"/>
  <c r="O2811" i="7" s="1"/>
  <c r="M2869" i="7"/>
  <c r="L2870" i="7"/>
  <c r="N2811" i="7" l="1"/>
  <c r="O2812" i="7" s="1"/>
  <c r="P2811" i="7"/>
  <c r="M2870" i="7"/>
  <c r="L2871" i="7"/>
  <c r="N2812" i="7" l="1"/>
  <c r="O2813" i="7" s="1"/>
  <c r="P2812" i="7"/>
  <c r="M2871" i="7"/>
  <c r="L2872" i="7"/>
  <c r="N2813" i="7" l="1"/>
  <c r="O2814" i="7" s="1"/>
  <c r="P2813" i="7"/>
  <c r="M2872" i="7"/>
  <c r="L2873" i="7"/>
  <c r="N2814" i="7" l="1"/>
  <c r="O2815" i="7" s="1"/>
  <c r="P2814" i="7"/>
  <c r="M2873" i="7"/>
  <c r="L2874" i="7"/>
  <c r="P2815" i="7" l="1"/>
  <c r="N2815" i="7"/>
  <c r="O2816" i="7" s="1"/>
  <c r="M2874" i="7"/>
  <c r="L2875" i="7"/>
  <c r="P2816" i="7" l="1"/>
  <c r="N2816" i="7"/>
  <c r="O2817" i="7" s="1"/>
  <c r="M2875" i="7"/>
  <c r="L2876" i="7"/>
  <c r="P2817" i="7" l="1"/>
  <c r="N2817" i="7"/>
  <c r="O2818" i="7" s="1"/>
  <c r="M2876" i="7"/>
  <c r="L2877" i="7"/>
  <c r="P2818" i="7" l="1"/>
  <c r="N2818" i="7"/>
  <c r="O2819" i="7" s="1"/>
  <c r="M2877" i="7"/>
  <c r="L2878" i="7"/>
  <c r="N2819" i="7" l="1"/>
  <c r="O2820" i="7" s="1"/>
  <c r="P2819" i="7"/>
  <c r="M2878" i="7"/>
  <c r="L2879" i="7"/>
  <c r="N2820" i="7" l="1"/>
  <c r="O2821" i="7" s="1"/>
  <c r="P2820" i="7"/>
  <c r="M2879" i="7"/>
  <c r="L2880" i="7"/>
  <c r="N2821" i="7" l="1"/>
  <c r="O2822" i="7" s="1"/>
  <c r="P2821" i="7"/>
  <c r="M2880" i="7"/>
  <c r="L2881" i="7"/>
  <c r="P2822" i="7" l="1"/>
  <c r="N2822" i="7"/>
  <c r="O2823" i="7" s="1"/>
  <c r="M2881" i="7"/>
  <c r="L2882" i="7"/>
  <c r="P2823" i="7" l="1"/>
  <c r="N2823" i="7"/>
  <c r="O2824" i="7" s="1"/>
  <c r="M2882" i="7"/>
  <c r="L2883" i="7"/>
  <c r="N2824" i="7" l="1"/>
  <c r="O2825" i="7" s="1"/>
  <c r="P2824" i="7"/>
  <c r="M2883" i="7"/>
  <c r="L2884" i="7"/>
  <c r="N2825" i="7" l="1"/>
  <c r="O2826" i="7" s="1"/>
  <c r="P2825" i="7"/>
  <c r="M2884" i="7"/>
  <c r="L2885" i="7"/>
  <c r="P2826" i="7" l="1"/>
  <c r="N2826" i="7"/>
  <c r="O2827" i="7" s="1"/>
  <c r="M2885" i="7"/>
  <c r="L2886" i="7"/>
  <c r="N2827" i="7" l="1"/>
  <c r="O2828" i="7" s="1"/>
  <c r="P2827" i="7"/>
  <c r="M2886" i="7"/>
  <c r="L2887" i="7"/>
  <c r="N2828" i="7" l="1"/>
  <c r="O2829" i="7" s="1"/>
  <c r="P2828" i="7"/>
  <c r="M2887" i="7"/>
  <c r="L2888" i="7"/>
  <c r="N2829" i="7" l="1"/>
  <c r="O2830" i="7" s="1"/>
  <c r="P2829" i="7"/>
  <c r="M2888" i="7"/>
  <c r="L2889" i="7"/>
  <c r="N2830" i="7" l="1"/>
  <c r="O2831" i="7" s="1"/>
  <c r="P2830" i="7"/>
  <c r="M2889" i="7"/>
  <c r="L2890" i="7"/>
  <c r="N2831" i="7" l="1"/>
  <c r="O2832" i="7" s="1"/>
  <c r="P2831" i="7"/>
  <c r="M2890" i="7"/>
  <c r="L2891" i="7"/>
  <c r="P2832" i="7" l="1"/>
  <c r="N2832" i="7"/>
  <c r="O2833" i="7" s="1"/>
  <c r="M2891" i="7"/>
  <c r="L2892" i="7"/>
  <c r="N2833" i="7" l="1"/>
  <c r="O2834" i="7" s="1"/>
  <c r="P2833" i="7"/>
  <c r="M2892" i="7"/>
  <c r="L2893" i="7"/>
  <c r="P2834" i="7" l="1"/>
  <c r="N2834" i="7"/>
  <c r="O2835" i="7" s="1"/>
  <c r="M2893" i="7"/>
  <c r="L2894" i="7"/>
  <c r="N2835" i="7" l="1"/>
  <c r="O2836" i="7" s="1"/>
  <c r="P2835" i="7"/>
  <c r="M2894" i="7"/>
  <c r="L2895" i="7"/>
  <c r="P2836" i="7" l="1"/>
  <c r="N2836" i="7"/>
  <c r="O2837" i="7" s="1"/>
  <c r="M2895" i="7"/>
  <c r="L2896" i="7"/>
  <c r="N2837" i="7" l="1"/>
  <c r="O2838" i="7" s="1"/>
  <c r="P2837" i="7"/>
  <c r="M2896" i="7"/>
  <c r="L2897" i="7"/>
  <c r="N2838" i="7" l="1"/>
  <c r="O2839" i="7" s="1"/>
  <c r="P2838" i="7"/>
  <c r="M2897" i="7"/>
  <c r="L2898" i="7"/>
  <c r="P2839" i="7" l="1"/>
  <c r="N2839" i="7"/>
  <c r="O2840" i="7" s="1"/>
  <c r="M2898" i="7"/>
  <c r="L2899" i="7"/>
  <c r="P2840" i="7" l="1"/>
  <c r="N2840" i="7"/>
  <c r="O2841" i="7" s="1"/>
  <c r="M2899" i="7"/>
  <c r="L2900" i="7"/>
  <c r="P2841" i="7" l="1"/>
  <c r="N2841" i="7"/>
  <c r="O2842" i="7" s="1"/>
  <c r="M2900" i="7"/>
  <c r="L2901" i="7"/>
  <c r="N2842" i="7" l="1"/>
  <c r="O2843" i="7" s="1"/>
  <c r="P2842" i="7"/>
  <c r="M2901" i="7"/>
  <c r="L2902" i="7"/>
  <c r="P2843" i="7" l="1"/>
  <c r="N2843" i="7"/>
  <c r="O2844" i="7" s="1"/>
  <c r="M2902" i="7"/>
  <c r="L2903" i="7"/>
  <c r="P2844" i="7" l="1"/>
  <c r="N2844" i="7"/>
  <c r="O2845" i="7" s="1"/>
  <c r="M2903" i="7"/>
  <c r="L2904" i="7"/>
  <c r="P2845" i="7" l="1"/>
  <c r="N2845" i="7"/>
  <c r="O2846" i="7" s="1"/>
  <c r="M2904" i="7"/>
  <c r="L2905" i="7"/>
  <c r="P2846" i="7" l="1"/>
  <c r="N2846" i="7"/>
  <c r="O2847" i="7" s="1"/>
  <c r="M2905" i="7"/>
  <c r="L2906" i="7"/>
  <c r="P2847" i="7" l="1"/>
  <c r="N2847" i="7"/>
  <c r="O2848" i="7" s="1"/>
  <c r="M2906" i="7"/>
  <c r="L2907" i="7"/>
  <c r="P2848" i="7" l="1"/>
  <c r="N2848" i="7"/>
  <c r="O2849" i="7" s="1"/>
  <c r="M2907" i="7"/>
  <c r="L2908" i="7"/>
  <c r="P2849" i="7" l="1"/>
  <c r="N2849" i="7"/>
  <c r="O2850" i="7" s="1"/>
  <c r="M2908" i="7"/>
  <c r="L2909" i="7"/>
  <c r="N2850" i="7" l="1"/>
  <c r="O2851" i="7" s="1"/>
  <c r="P2850" i="7"/>
  <c r="M2909" i="7"/>
  <c r="L2910" i="7"/>
  <c r="P2851" i="7" l="1"/>
  <c r="N2851" i="7"/>
  <c r="O2852" i="7" s="1"/>
  <c r="M2910" i="7"/>
  <c r="L2911" i="7"/>
  <c r="N2852" i="7" l="1"/>
  <c r="O2853" i="7" s="1"/>
  <c r="P2852" i="7"/>
  <c r="M2911" i="7"/>
  <c r="L2912" i="7"/>
  <c r="N2853" i="7" l="1"/>
  <c r="O2854" i="7" s="1"/>
  <c r="P2853" i="7"/>
  <c r="M2912" i="7"/>
  <c r="L2913" i="7"/>
  <c r="N2854" i="7" l="1"/>
  <c r="O2855" i="7" s="1"/>
  <c r="P2854" i="7"/>
  <c r="M2913" i="7"/>
  <c r="L2914" i="7"/>
  <c r="P2855" i="7" l="1"/>
  <c r="N2855" i="7"/>
  <c r="O2856" i="7" s="1"/>
  <c r="M2914" i="7"/>
  <c r="L2915" i="7"/>
  <c r="N2856" i="7" l="1"/>
  <c r="O2857" i="7" s="1"/>
  <c r="P2856" i="7"/>
  <c r="M2915" i="7"/>
  <c r="L2916" i="7"/>
  <c r="N2857" i="7" l="1"/>
  <c r="O2858" i="7" s="1"/>
  <c r="P2857" i="7"/>
  <c r="M2916" i="7"/>
  <c r="L2917" i="7"/>
  <c r="P2858" i="7" l="1"/>
  <c r="N2858" i="7"/>
  <c r="O2859" i="7" s="1"/>
  <c r="M2917" i="7"/>
  <c r="L2918" i="7"/>
  <c r="N2859" i="7" l="1"/>
  <c r="O2860" i="7" s="1"/>
  <c r="P2859" i="7"/>
  <c r="M2918" i="7"/>
  <c r="L2919" i="7"/>
  <c r="N2860" i="7" l="1"/>
  <c r="O2861" i="7" s="1"/>
  <c r="P2860" i="7"/>
  <c r="M2919" i="7"/>
  <c r="L2920" i="7"/>
  <c r="N2861" i="7" l="1"/>
  <c r="O2862" i="7" s="1"/>
  <c r="P2861" i="7"/>
  <c r="M2920" i="7"/>
  <c r="L2921" i="7"/>
  <c r="N2862" i="7" l="1"/>
  <c r="O2863" i="7" s="1"/>
  <c r="P2862" i="7"/>
  <c r="M2921" i="7"/>
  <c r="L2922" i="7"/>
  <c r="N2863" i="7" l="1"/>
  <c r="O2864" i="7" s="1"/>
  <c r="P2863" i="7"/>
  <c r="M2922" i="7"/>
  <c r="L2923" i="7"/>
  <c r="N2864" i="7" l="1"/>
  <c r="O2865" i="7" s="1"/>
  <c r="P2864" i="7"/>
  <c r="M2923" i="7"/>
  <c r="L2924" i="7"/>
  <c r="N2865" i="7" l="1"/>
  <c r="O2866" i="7" s="1"/>
  <c r="P2865" i="7"/>
  <c r="M2924" i="7"/>
  <c r="L2925" i="7"/>
  <c r="N2866" i="7" l="1"/>
  <c r="O2867" i="7" s="1"/>
  <c r="P2866" i="7"/>
  <c r="M2925" i="7"/>
  <c r="L2926" i="7"/>
  <c r="P2867" i="7" l="1"/>
  <c r="N2867" i="7"/>
  <c r="O2868" i="7" s="1"/>
  <c r="M2926" i="7"/>
  <c r="L2927" i="7"/>
  <c r="P2868" i="7" l="1"/>
  <c r="N2868" i="7"/>
  <c r="O2869" i="7" s="1"/>
  <c r="M2927" i="7"/>
  <c r="L2928" i="7"/>
  <c r="N2869" i="7" l="1"/>
  <c r="O2870" i="7" s="1"/>
  <c r="P2869" i="7"/>
  <c r="M2928" i="7"/>
  <c r="L2929" i="7"/>
  <c r="P2870" i="7" l="1"/>
  <c r="N2870" i="7"/>
  <c r="O2871" i="7" s="1"/>
  <c r="M2929" i="7"/>
  <c r="L2930" i="7"/>
  <c r="P2871" i="7" l="1"/>
  <c r="N2871" i="7"/>
  <c r="O2872" i="7" s="1"/>
  <c r="M2930" i="7"/>
  <c r="L2931" i="7"/>
  <c r="N2872" i="7" l="1"/>
  <c r="O2873" i="7" s="1"/>
  <c r="P2872" i="7"/>
  <c r="M2931" i="7"/>
  <c r="L2932" i="7"/>
  <c r="P2873" i="7" l="1"/>
  <c r="N2873" i="7"/>
  <c r="O2874" i="7" s="1"/>
  <c r="M2932" i="7"/>
  <c r="L2933" i="7"/>
  <c r="N2874" i="7" l="1"/>
  <c r="O2875" i="7" s="1"/>
  <c r="P2874" i="7"/>
  <c r="M2933" i="7"/>
  <c r="L2934" i="7"/>
  <c r="N2875" i="7" l="1"/>
  <c r="O2876" i="7" s="1"/>
  <c r="P2875" i="7"/>
  <c r="M2934" i="7"/>
  <c r="L2935" i="7"/>
  <c r="N2876" i="7" l="1"/>
  <c r="O2877" i="7" s="1"/>
  <c r="P2876" i="7"/>
  <c r="M2935" i="7"/>
  <c r="L2936" i="7"/>
  <c r="N2877" i="7" l="1"/>
  <c r="O2878" i="7" s="1"/>
  <c r="P2877" i="7"/>
  <c r="M2936" i="7"/>
  <c r="L2937" i="7"/>
  <c r="N2878" i="7" l="1"/>
  <c r="O2879" i="7" s="1"/>
  <c r="P2878" i="7"/>
  <c r="M2937" i="7"/>
  <c r="L2938" i="7"/>
  <c r="P2879" i="7" l="1"/>
  <c r="N2879" i="7"/>
  <c r="O2880" i="7" s="1"/>
  <c r="M2938" i="7"/>
  <c r="L2939" i="7"/>
  <c r="P2880" i="7" l="1"/>
  <c r="N2880" i="7"/>
  <c r="O2881" i="7" s="1"/>
  <c r="M2939" i="7"/>
  <c r="L2940" i="7"/>
  <c r="P2881" i="7" l="1"/>
  <c r="N2881" i="7"/>
  <c r="O2882" i="7" s="1"/>
  <c r="M2940" i="7"/>
  <c r="L2941" i="7"/>
  <c r="N2882" i="7" l="1"/>
  <c r="O2883" i="7" s="1"/>
  <c r="P2882" i="7"/>
  <c r="M2941" i="7"/>
  <c r="L2942" i="7"/>
  <c r="P2883" i="7" l="1"/>
  <c r="N2883" i="7"/>
  <c r="O2884" i="7" s="1"/>
  <c r="M2942" i="7"/>
  <c r="L2943" i="7"/>
  <c r="N2884" i="7" l="1"/>
  <c r="O2885" i="7" s="1"/>
  <c r="P2884" i="7"/>
  <c r="M2943" i="7"/>
  <c r="L2944" i="7"/>
  <c r="N2885" i="7" l="1"/>
  <c r="O2886" i="7" s="1"/>
  <c r="P2885" i="7"/>
  <c r="M2944" i="7"/>
  <c r="L2945" i="7"/>
  <c r="N2886" i="7" l="1"/>
  <c r="O2887" i="7" s="1"/>
  <c r="P2886" i="7"/>
  <c r="M2945" i="7"/>
  <c r="L2946" i="7"/>
  <c r="N2887" i="7" l="1"/>
  <c r="O2888" i="7" s="1"/>
  <c r="P2887" i="7"/>
  <c r="M2946" i="7"/>
  <c r="L2947" i="7"/>
  <c r="N2888" i="7" l="1"/>
  <c r="O2889" i="7" s="1"/>
  <c r="P2888" i="7"/>
  <c r="M2947" i="7"/>
  <c r="L2948" i="7"/>
  <c r="P2889" i="7" l="1"/>
  <c r="N2889" i="7"/>
  <c r="O2890" i="7" s="1"/>
  <c r="M2948" i="7"/>
  <c r="L2949" i="7"/>
  <c r="N2890" i="7" l="1"/>
  <c r="O2891" i="7" s="1"/>
  <c r="P2890" i="7"/>
  <c r="M2949" i="7"/>
  <c r="L2950" i="7"/>
  <c r="P2891" i="7" l="1"/>
  <c r="N2891" i="7"/>
  <c r="O2892" i="7" s="1"/>
  <c r="M2950" i="7"/>
  <c r="L2951" i="7"/>
  <c r="P2892" i="7" l="1"/>
  <c r="N2892" i="7"/>
  <c r="O2893" i="7" s="1"/>
  <c r="M2951" i="7"/>
  <c r="L2952" i="7"/>
  <c r="P2893" i="7" l="1"/>
  <c r="N2893" i="7"/>
  <c r="O2894" i="7" s="1"/>
  <c r="M2952" i="7"/>
  <c r="L2953" i="7"/>
  <c r="N2894" i="7" l="1"/>
  <c r="O2895" i="7" s="1"/>
  <c r="P2894" i="7"/>
  <c r="M2953" i="7"/>
  <c r="L2954" i="7"/>
  <c r="N2895" i="7" l="1"/>
  <c r="O2896" i="7" s="1"/>
  <c r="P2895" i="7"/>
  <c r="M2954" i="7"/>
  <c r="L2955" i="7"/>
  <c r="N2896" i="7" l="1"/>
  <c r="O2897" i="7" s="1"/>
  <c r="P2896" i="7"/>
  <c r="M2955" i="7"/>
  <c r="L2956" i="7"/>
  <c r="N2897" i="7" l="1"/>
  <c r="O2898" i="7" s="1"/>
  <c r="P2897" i="7"/>
  <c r="M2956" i="7"/>
  <c r="L2957" i="7"/>
  <c r="N2898" i="7" l="1"/>
  <c r="O2899" i="7" s="1"/>
  <c r="P2898" i="7"/>
  <c r="M2957" i="7"/>
  <c r="L2958" i="7"/>
  <c r="N2899" i="7" l="1"/>
  <c r="O2900" i="7" s="1"/>
  <c r="P2899" i="7"/>
  <c r="M2958" i="7"/>
  <c r="L2959" i="7"/>
  <c r="N2900" i="7" l="1"/>
  <c r="O2901" i="7" s="1"/>
  <c r="P2900" i="7"/>
  <c r="M2959" i="7"/>
  <c r="L2960" i="7"/>
  <c r="N2901" i="7" l="1"/>
  <c r="O2902" i="7" s="1"/>
  <c r="P2901" i="7"/>
  <c r="M2960" i="7"/>
  <c r="L2961" i="7"/>
  <c r="N2902" i="7" l="1"/>
  <c r="O2903" i="7" s="1"/>
  <c r="P2902" i="7"/>
  <c r="M2961" i="7"/>
  <c r="L2962" i="7"/>
  <c r="N2903" i="7" l="1"/>
  <c r="O2904" i="7" s="1"/>
  <c r="P2903" i="7"/>
  <c r="M2962" i="7"/>
  <c r="L2963" i="7"/>
  <c r="P2904" i="7" l="1"/>
  <c r="N2904" i="7"/>
  <c r="O2905" i="7" s="1"/>
  <c r="M2963" i="7"/>
  <c r="L2964" i="7"/>
  <c r="P2905" i="7" l="1"/>
  <c r="N2905" i="7"/>
  <c r="O2906" i="7" s="1"/>
  <c r="M2964" i="7"/>
  <c r="L2965" i="7"/>
  <c r="P2906" i="7" l="1"/>
  <c r="N2906" i="7"/>
  <c r="O2907" i="7" s="1"/>
  <c r="M2965" i="7"/>
  <c r="L2966" i="7"/>
  <c r="N2907" i="7" l="1"/>
  <c r="O2908" i="7" s="1"/>
  <c r="P2907" i="7"/>
  <c r="M2966" i="7"/>
  <c r="L2967" i="7"/>
  <c r="P2908" i="7" l="1"/>
  <c r="N2908" i="7"/>
  <c r="O2909" i="7" s="1"/>
  <c r="M2967" i="7"/>
  <c r="L2968" i="7"/>
  <c r="N2909" i="7" l="1"/>
  <c r="O2910" i="7" s="1"/>
  <c r="P2909" i="7"/>
  <c r="M2968" i="7"/>
  <c r="L2969" i="7"/>
  <c r="N2910" i="7" l="1"/>
  <c r="O2911" i="7" s="1"/>
  <c r="P2910" i="7"/>
  <c r="M2969" i="7"/>
  <c r="L2970" i="7"/>
  <c r="N2911" i="7" l="1"/>
  <c r="O2912" i="7" s="1"/>
  <c r="P2911" i="7"/>
  <c r="M2970" i="7"/>
  <c r="L2971" i="7"/>
  <c r="N2912" i="7" l="1"/>
  <c r="O2913" i="7" s="1"/>
  <c r="P2912" i="7"/>
  <c r="M2971" i="7"/>
  <c r="L2972" i="7"/>
  <c r="N2913" i="7" l="1"/>
  <c r="O2914" i="7" s="1"/>
  <c r="P2913" i="7"/>
  <c r="M2972" i="7"/>
  <c r="L2973" i="7"/>
  <c r="N2914" i="7" l="1"/>
  <c r="O2915" i="7" s="1"/>
  <c r="P2914" i="7"/>
  <c r="M2973" i="7"/>
  <c r="L2974" i="7"/>
  <c r="N2915" i="7" l="1"/>
  <c r="O2916" i="7" s="1"/>
  <c r="P2915" i="7"/>
  <c r="M2974" i="7"/>
  <c r="L2975" i="7"/>
  <c r="N2916" i="7" l="1"/>
  <c r="O2917" i="7" s="1"/>
  <c r="P2916" i="7"/>
  <c r="M2975" i="7"/>
  <c r="L2976" i="7"/>
  <c r="P2917" i="7" l="1"/>
  <c r="N2917" i="7"/>
  <c r="O2918" i="7" s="1"/>
  <c r="M2976" i="7"/>
  <c r="L2977" i="7"/>
  <c r="P2918" i="7" l="1"/>
  <c r="N2918" i="7"/>
  <c r="O2919" i="7" s="1"/>
  <c r="M2977" i="7"/>
  <c r="L2978" i="7"/>
  <c r="N2919" i="7" l="1"/>
  <c r="O2920" i="7" s="1"/>
  <c r="P2919" i="7"/>
  <c r="M2978" i="7"/>
  <c r="L2979" i="7"/>
  <c r="P2920" i="7" l="1"/>
  <c r="N2920" i="7"/>
  <c r="O2921" i="7" s="1"/>
  <c r="M2979" i="7"/>
  <c r="L2980" i="7"/>
  <c r="P2921" i="7" l="1"/>
  <c r="N2921" i="7"/>
  <c r="O2922" i="7" s="1"/>
  <c r="M2980" i="7"/>
  <c r="L2981" i="7"/>
  <c r="N2922" i="7" l="1"/>
  <c r="O2923" i="7" s="1"/>
  <c r="P2922" i="7"/>
  <c r="M2981" i="7"/>
  <c r="L2982" i="7"/>
  <c r="N2923" i="7" l="1"/>
  <c r="O2924" i="7" s="1"/>
  <c r="P2923" i="7"/>
  <c r="M2982" i="7"/>
  <c r="L2983" i="7"/>
  <c r="N2924" i="7" l="1"/>
  <c r="O2925" i="7" s="1"/>
  <c r="P2924" i="7"/>
  <c r="M2983" i="7"/>
  <c r="L2984" i="7"/>
  <c r="P2925" i="7" l="1"/>
  <c r="N2925" i="7"/>
  <c r="O2926" i="7" s="1"/>
  <c r="M2984" i="7"/>
  <c r="L2985" i="7"/>
  <c r="P2926" i="7" l="1"/>
  <c r="N2926" i="7"/>
  <c r="O2927" i="7" s="1"/>
  <c r="M2985" i="7"/>
  <c r="L2986" i="7"/>
  <c r="N2927" i="7" l="1"/>
  <c r="O2928" i="7" s="1"/>
  <c r="P2927" i="7"/>
  <c r="M2986" i="7"/>
  <c r="L2987" i="7"/>
  <c r="P2928" i="7" l="1"/>
  <c r="N2928" i="7"/>
  <c r="O2929" i="7" s="1"/>
  <c r="M2987" i="7"/>
  <c r="L2988" i="7"/>
  <c r="P2929" i="7" l="1"/>
  <c r="N2929" i="7"/>
  <c r="O2930" i="7" s="1"/>
  <c r="M2988" i="7"/>
  <c r="L2989" i="7"/>
  <c r="N2930" i="7" l="1"/>
  <c r="O2931" i="7" s="1"/>
  <c r="P2930" i="7"/>
  <c r="M2989" i="7"/>
  <c r="L2990" i="7"/>
  <c r="P2931" i="7" l="1"/>
  <c r="N2931" i="7"/>
  <c r="O2932" i="7" s="1"/>
  <c r="M2990" i="7"/>
  <c r="L2991" i="7"/>
  <c r="N2932" i="7" l="1"/>
  <c r="O2933" i="7" s="1"/>
  <c r="P2932" i="7"/>
  <c r="M2991" i="7"/>
  <c r="L2992" i="7"/>
  <c r="N2933" i="7" l="1"/>
  <c r="O2934" i="7" s="1"/>
  <c r="P2933" i="7"/>
  <c r="M2992" i="7"/>
  <c r="L2993" i="7"/>
  <c r="P2934" i="7" l="1"/>
  <c r="N2934" i="7"/>
  <c r="O2935" i="7" s="1"/>
  <c r="M2993" i="7"/>
  <c r="L2994" i="7"/>
  <c r="N2935" i="7" l="1"/>
  <c r="O2936" i="7" s="1"/>
  <c r="P2935" i="7"/>
  <c r="M2994" i="7"/>
  <c r="L2995" i="7"/>
  <c r="N2936" i="7" l="1"/>
  <c r="O2937" i="7" s="1"/>
  <c r="P2936" i="7"/>
  <c r="M2995" i="7"/>
  <c r="L2996" i="7"/>
  <c r="N2937" i="7" l="1"/>
  <c r="O2938" i="7" s="1"/>
  <c r="P2937" i="7"/>
  <c r="M2996" i="7"/>
  <c r="L2997" i="7"/>
  <c r="P2938" i="7" l="1"/>
  <c r="N2938" i="7"/>
  <c r="O2939" i="7" s="1"/>
  <c r="M2997" i="7"/>
  <c r="L2998" i="7"/>
  <c r="P2939" i="7" l="1"/>
  <c r="N2939" i="7"/>
  <c r="O2940" i="7" s="1"/>
  <c r="M2998" i="7"/>
  <c r="L2999" i="7"/>
  <c r="P2940" i="7" l="1"/>
  <c r="N2940" i="7"/>
  <c r="O2941" i="7" s="1"/>
  <c r="M2999" i="7"/>
  <c r="L3000" i="7"/>
  <c r="N2941" i="7" l="1"/>
  <c r="O2942" i="7" s="1"/>
  <c r="P2941" i="7"/>
  <c r="M3000" i="7"/>
  <c r="L3001" i="7"/>
  <c r="P2942" i="7" l="1"/>
  <c r="N2942" i="7"/>
  <c r="O2943" i="7" s="1"/>
  <c r="M3001" i="7"/>
  <c r="L3002" i="7"/>
  <c r="P2943" i="7" l="1"/>
  <c r="N2943" i="7"/>
  <c r="O2944" i="7" s="1"/>
  <c r="M3002" i="7"/>
  <c r="L3003" i="7"/>
  <c r="P2944" i="7" l="1"/>
  <c r="N2944" i="7"/>
  <c r="O2945" i="7" s="1"/>
  <c r="M3003" i="7"/>
  <c r="L3004" i="7"/>
  <c r="P2945" i="7" l="1"/>
  <c r="N2945" i="7"/>
  <c r="O2946" i="7" s="1"/>
  <c r="M3004" i="7"/>
  <c r="L3005" i="7"/>
  <c r="N2946" i="7" l="1"/>
  <c r="O2947" i="7" s="1"/>
  <c r="P2946" i="7"/>
  <c r="M3005" i="7"/>
  <c r="L3006" i="7"/>
  <c r="P2947" i="7" l="1"/>
  <c r="N2947" i="7"/>
  <c r="O2948" i="7" s="1"/>
  <c r="M3006" i="7"/>
  <c r="L3007" i="7"/>
  <c r="N2948" i="7" l="1"/>
  <c r="O2949" i="7" s="1"/>
  <c r="P2948" i="7"/>
  <c r="M3007" i="7"/>
  <c r="L3008" i="7"/>
  <c r="N2949" i="7" l="1"/>
  <c r="O2950" i="7" s="1"/>
  <c r="P2949" i="7"/>
  <c r="M3008" i="7"/>
  <c r="L3009" i="7"/>
  <c r="N2950" i="7" l="1"/>
  <c r="O2951" i="7" s="1"/>
  <c r="P2950" i="7"/>
  <c r="M3009" i="7"/>
  <c r="L3010" i="7"/>
  <c r="N2951" i="7" l="1"/>
  <c r="O2952" i="7" s="1"/>
  <c r="P2951" i="7"/>
  <c r="M3010" i="7"/>
  <c r="L3011" i="7"/>
  <c r="N2952" i="7" l="1"/>
  <c r="O2953" i="7" s="1"/>
  <c r="P2952" i="7"/>
  <c r="M3011" i="7"/>
  <c r="L3012" i="7"/>
  <c r="N2953" i="7" l="1"/>
  <c r="O2954" i="7" s="1"/>
  <c r="P2953" i="7"/>
  <c r="M3012" i="7"/>
  <c r="L3013" i="7"/>
  <c r="N2954" i="7" l="1"/>
  <c r="O2955" i="7" s="1"/>
  <c r="P2954" i="7"/>
  <c r="M3013" i="7"/>
  <c r="L3014" i="7"/>
  <c r="P2955" i="7" l="1"/>
  <c r="N2955" i="7"/>
  <c r="O2956" i="7" s="1"/>
  <c r="M3014" i="7"/>
  <c r="L3015" i="7"/>
  <c r="P2956" i="7" l="1"/>
  <c r="N2956" i="7"/>
  <c r="O2957" i="7" s="1"/>
  <c r="M3015" i="7"/>
  <c r="L3016" i="7"/>
  <c r="P2957" i="7" l="1"/>
  <c r="N2957" i="7"/>
  <c r="O2958" i="7" s="1"/>
  <c r="M3016" i="7"/>
  <c r="L3017" i="7"/>
  <c r="P2958" i="7" l="1"/>
  <c r="N2958" i="7"/>
  <c r="O2959" i="7" s="1"/>
  <c r="M3017" i="7"/>
  <c r="L3018" i="7"/>
  <c r="N2959" i="7" l="1"/>
  <c r="O2960" i="7" s="1"/>
  <c r="P2959" i="7"/>
  <c r="M3018" i="7"/>
  <c r="L3019" i="7"/>
  <c r="N2960" i="7" l="1"/>
  <c r="O2961" i="7" s="1"/>
  <c r="P2960" i="7"/>
  <c r="M3019" i="7"/>
  <c r="L3020" i="7"/>
  <c r="N2961" i="7" l="1"/>
  <c r="O2962" i="7" s="1"/>
  <c r="P2961" i="7"/>
  <c r="M3020" i="7"/>
  <c r="L3021" i="7"/>
  <c r="P2962" i="7" l="1"/>
  <c r="N2962" i="7"/>
  <c r="O2963" i="7" s="1"/>
  <c r="M3021" i="7"/>
  <c r="L3022" i="7"/>
  <c r="N2963" i="7" l="1"/>
  <c r="O2964" i="7" s="1"/>
  <c r="P2963" i="7"/>
  <c r="M3022" i="7"/>
  <c r="L3023" i="7"/>
  <c r="N2964" i="7" l="1"/>
  <c r="O2965" i="7" s="1"/>
  <c r="P2964" i="7"/>
  <c r="M3023" i="7"/>
  <c r="L3024" i="7"/>
  <c r="N2965" i="7" l="1"/>
  <c r="O2966" i="7" s="1"/>
  <c r="P2965" i="7"/>
  <c r="M3024" i="7"/>
  <c r="L3025" i="7"/>
  <c r="N2966" i="7" l="1"/>
  <c r="O2967" i="7" s="1"/>
  <c r="P2966" i="7"/>
  <c r="M3025" i="7"/>
  <c r="L3026" i="7"/>
  <c r="N2967" i="7" l="1"/>
  <c r="O2968" i="7" s="1"/>
  <c r="P2967" i="7"/>
  <c r="M3026" i="7"/>
  <c r="L3027" i="7"/>
  <c r="N2968" i="7" l="1"/>
  <c r="O2969" i="7" s="1"/>
  <c r="P2968" i="7"/>
  <c r="M3027" i="7"/>
  <c r="L3028" i="7"/>
  <c r="N2969" i="7" l="1"/>
  <c r="O2970" i="7" s="1"/>
  <c r="P2969" i="7"/>
  <c r="M3028" i="7"/>
  <c r="L3029" i="7"/>
  <c r="N2970" i="7" l="1"/>
  <c r="O2971" i="7" s="1"/>
  <c r="P2970" i="7"/>
  <c r="M3029" i="7"/>
  <c r="L3030" i="7"/>
  <c r="N2971" i="7" l="1"/>
  <c r="O2972" i="7" s="1"/>
  <c r="P2971" i="7"/>
  <c r="M3030" i="7"/>
  <c r="L3031" i="7"/>
  <c r="P2972" i="7" l="1"/>
  <c r="N2972" i="7"/>
  <c r="O2973" i="7" s="1"/>
  <c r="M3031" i="7"/>
  <c r="L3032" i="7"/>
  <c r="N2973" i="7" l="1"/>
  <c r="O2974" i="7" s="1"/>
  <c r="P2973" i="7"/>
  <c r="M3032" i="7"/>
  <c r="L3033" i="7"/>
  <c r="N2974" i="7" l="1"/>
  <c r="O2975" i="7" s="1"/>
  <c r="P2974" i="7"/>
  <c r="M3033" i="7"/>
  <c r="L3034" i="7"/>
  <c r="N2975" i="7" l="1"/>
  <c r="O2976" i="7" s="1"/>
  <c r="P2975" i="7"/>
  <c r="M3034" i="7"/>
  <c r="L3035" i="7"/>
  <c r="N2976" i="7" l="1"/>
  <c r="O2977" i="7" s="1"/>
  <c r="P2976" i="7"/>
  <c r="M3035" i="7"/>
  <c r="L3036" i="7"/>
  <c r="P2977" i="7" l="1"/>
  <c r="N2977" i="7"/>
  <c r="O2978" i="7" s="1"/>
  <c r="M3036" i="7"/>
  <c r="L3037" i="7"/>
  <c r="P2978" i="7" l="1"/>
  <c r="N2978" i="7"/>
  <c r="O2979" i="7" s="1"/>
  <c r="M3037" i="7"/>
  <c r="L3038" i="7"/>
  <c r="N2979" i="7" l="1"/>
  <c r="O2980" i="7" s="1"/>
  <c r="P2979" i="7"/>
  <c r="M3038" i="7"/>
  <c r="L3039" i="7"/>
  <c r="N2980" i="7" l="1"/>
  <c r="O2981" i="7" s="1"/>
  <c r="P2980" i="7"/>
  <c r="M3039" i="7"/>
  <c r="L3040" i="7"/>
  <c r="N2981" i="7" l="1"/>
  <c r="O2982" i="7" s="1"/>
  <c r="P2981" i="7"/>
  <c r="M3040" i="7"/>
  <c r="L3041" i="7"/>
  <c r="P2982" i="7" l="1"/>
  <c r="N2982" i="7"/>
  <c r="O2983" i="7" s="1"/>
  <c r="M3041" i="7"/>
  <c r="L3042" i="7"/>
  <c r="N2983" i="7" l="1"/>
  <c r="O2984" i="7" s="1"/>
  <c r="P2983" i="7"/>
  <c r="M3042" i="7"/>
  <c r="L3043" i="7"/>
  <c r="N2984" i="7" l="1"/>
  <c r="O2985" i="7" s="1"/>
  <c r="P2984" i="7"/>
  <c r="M3043" i="7"/>
  <c r="L3044" i="7"/>
  <c r="N2985" i="7" l="1"/>
  <c r="O2986" i="7" s="1"/>
  <c r="P2985" i="7"/>
  <c r="M3044" i="7"/>
  <c r="L3045" i="7"/>
  <c r="P2986" i="7" l="1"/>
  <c r="N2986" i="7"/>
  <c r="O2987" i="7" s="1"/>
  <c r="M3045" i="7"/>
  <c r="L3046" i="7"/>
  <c r="N2987" i="7" l="1"/>
  <c r="O2988" i="7" s="1"/>
  <c r="P2987" i="7"/>
  <c r="M3046" i="7"/>
  <c r="L3047" i="7"/>
  <c r="N2988" i="7" l="1"/>
  <c r="O2989" i="7" s="1"/>
  <c r="P2988" i="7"/>
  <c r="M3047" i="7"/>
  <c r="L3048" i="7"/>
  <c r="P2989" i="7" l="1"/>
  <c r="N2989" i="7"/>
  <c r="O2990" i="7" s="1"/>
  <c r="M3048" i="7"/>
  <c r="L3049" i="7"/>
  <c r="N2990" i="7" l="1"/>
  <c r="O2991" i="7" s="1"/>
  <c r="P2990" i="7"/>
  <c r="M3049" i="7"/>
  <c r="L3050" i="7"/>
  <c r="N2991" i="7" l="1"/>
  <c r="O2992" i="7" s="1"/>
  <c r="P2991" i="7"/>
  <c r="M3050" i="7"/>
  <c r="L3051" i="7"/>
  <c r="N2992" i="7" l="1"/>
  <c r="O2993" i="7" s="1"/>
  <c r="P2992" i="7"/>
  <c r="M3051" i="7"/>
  <c r="L3052" i="7"/>
  <c r="P2993" i="7" l="1"/>
  <c r="N2993" i="7"/>
  <c r="O2994" i="7" s="1"/>
  <c r="M3052" i="7"/>
  <c r="L3053" i="7"/>
  <c r="P2994" i="7" l="1"/>
  <c r="N2994" i="7"/>
  <c r="O2995" i="7" s="1"/>
  <c r="M3053" i="7"/>
  <c r="L3054" i="7"/>
  <c r="N2995" i="7" l="1"/>
  <c r="O2996" i="7" s="1"/>
  <c r="P2995" i="7"/>
  <c r="M3054" i="7"/>
  <c r="L3055" i="7"/>
  <c r="N2996" i="7" l="1"/>
  <c r="O2997" i="7" s="1"/>
  <c r="P2996" i="7"/>
  <c r="M3055" i="7"/>
  <c r="L3056" i="7"/>
  <c r="P2997" i="7" l="1"/>
  <c r="N2997" i="7"/>
  <c r="O2998" i="7" s="1"/>
  <c r="M3056" i="7"/>
  <c r="L3057" i="7"/>
  <c r="N2998" i="7" l="1"/>
  <c r="O2999" i="7" s="1"/>
  <c r="P2998" i="7"/>
  <c r="M3057" i="7"/>
  <c r="L3058" i="7"/>
  <c r="P2999" i="7" l="1"/>
  <c r="N2999" i="7"/>
  <c r="O3000" i="7" s="1"/>
  <c r="M3058" i="7"/>
  <c r="L3059" i="7"/>
  <c r="P3000" i="7" l="1"/>
  <c r="N3000" i="7"/>
  <c r="O3001" i="7" s="1"/>
  <c r="M3059" i="7"/>
  <c r="L3060" i="7"/>
  <c r="N3001" i="7" l="1"/>
  <c r="O3002" i="7" s="1"/>
  <c r="P3001" i="7"/>
  <c r="M3060" i="7"/>
  <c r="L3061" i="7"/>
  <c r="P3002" i="7" l="1"/>
  <c r="N3002" i="7"/>
  <c r="O3003" i="7" s="1"/>
  <c r="M3061" i="7"/>
  <c r="L3062" i="7"/>
  <c r="P3003" i="7" l="1"/>
  <c r="N3003" i="7"/>
  <c r="O3004" i="7" s="1"/>
  <c r="M3062" i="7"/>
  <c r="L3063" i="7"/>
  <c r="N3004" i="7" l="1"/>
  <c r="O3005" i="7" s="1"/>
  <c r="P3004" i="7"/>
  <c r="M3063" i="7"/>
  <c r="L3064" i="7"/>
  <c r="P3005" i="7" l="1"/>
  <c r="N3005" i="7"/>
  <c r="O3006" i="7" s="1"/>
  <c r="M3064" i="7"/>
  <c r="L3065" i="7"/>
  <c r="N3006" i="7" l="1"/>
  <c r="O3007" i="7" s="1"/>
  <c r="P3006" i="7"/>
  <c r="M3065" i="7"/>
  <c r="L3066" i="7"/>
  <c r="P3007" i="7" l="1"/>
  <c r="N3007" i="7"/>
  <c r="O3008" i="7" s="1"/>
  <c r="M3066" i="7"/>
  <c r="L3067" i="7"/>
  <c r="P3008" i="7" l="1"/>
  <c r="N3008" i="7"/>
  <c r="O3009" i="7" s="1"/>
  <c r="M3067" i="7"/>
  <c r="L3068" i="7"/>
  <c r="N3009" i="7" l="1"/>
  <c r="O3010" i="7" s="1"/>
  <c r="P3009" i="7"/>
  <c r="M3068" i="7"/>
  <c r="L3069" i="7"/>
  <c r="P3010" i="7" l="1"/>
  <c r="N3010" i="7"/>
  <c r="O3011" i="7" s="1"/>
  <c r="M3069" i="7"/>
  <c r="L3070" i="7"/>
  <c r="P3011" i="7" l="1"/>
  <c r="N3011" i="7"/>
  <c r="O3012" i="7" s="1"/>
  <c r="M3070" i="7"/>
  <c r="L3071" i="7"/>
  <c r="N3012" i="7" l="1"/>
  <c r="O3013" i="7" s="1"/>
  <c r="P3012" i="7"/>
  <c r="M3071" i="7"/>
  <c r="L3072" i="7"/>
  <c r="P3013" i="7" l="1"/>
  <c r="N3013" i="7"/>
  <c r="O3014" i="7" s="1"/>
  <c r="M3072" i="7"/>
  <c r="L3073" i="7"/>
  <c r="N3014" i="7" l="1"/>
  <c r="O3015" i="7" s="1"/>
  <c r="P3014" i="7"/>
  <c r="M3073" i="7"/>
  <c r="L3074" i="7"/>
  <c r="N3015" i="7" l="1"/>
  <c r="O3016" i="7" s="1"/>
  <c r="P3015" i="7"/>
  <c r="M3074" i="7"/>
  <c r="L3075" i="7"/>
  <c r="P3016" i="7" l="1"/>
  <c r="N3016" i="7"/>
  <c r="O3017" i="7" s="1"/>
  <c r="M3075" i="7"/>
  <c r="L3076" i="7"/>
  <c r="N3017" i="7" l="1"/>
  <c r="O3018" i="7" s="1"/>
  <c r="P3017" i="7"/>
  <c r="M3076" i="7"/>
  <c r="L3077" i="7"/>
  <c r="N3018" i="7" l="1"/>
  <c r="O3019" i="7" s="1"/>
  <c r="P3018" i="7"/>
  <c r="M3077" i="7"/>
  <c r="L3078" i="7"/>
  <c r="N3019" i="7" l="1"/>
  <c r="O3020" i="7" s="1"/>
  <c r="P3019" i="7"/>
  <c r="M3078" i="7"/>
  <c r="L3079" i="7"/>
  <c r="P3020" i="7" l="1"/>
  <c r="N3020" i="7"/>
  <c r="O3021" i="7" s="1"/>
  <c r="M3079" i="7"/>
  <c r="L3080" i="7"/>
  <c r="P3021" i="7" l="1"/>
  <c r="N3021" i="7"/>
  <c r="O3022" i="7" s="1"/>
  <c r="M3080" i="7"/>
  <c r="L3081" i="7"/>
  <c r="P3022" i="7" l="1"/>
  <c r="N3022" i="7"/>
  <c r="O3023" i="7" s="1"/>
  <c r="M3081" i="7"/>
  <c r="L3082" i="7"/>
  <c r="P3023" i="7" l="1"/>
  <c r="N3023" i="7"/>
  <c r="O3024" i="7" s="1"/>
  <c r="M3082" i="7"/>
  <c r="L3083" i="7"/>
  <c r="P3024" i="7" l="1"/>
  <c r="N3024" i="7"/>
  <c r="O3025" i="7" s="1"/>
  <c r="M3083" i="7"/>
  <c r="L3084" i="7"/>
  <c r="N3025" i="7" l="1"/>
  <c r="O3026" i="7" s="1"/>
  <c r="P3025" i="7"/>
  <c r="M3084" i="7"/>
  <c r="L3085" i="7"/>
  <c r="N3026" i="7" l="1"/>
  <c r="O3027" i="7" s="1"/>
  <c r="P3026" i="7"/>
  <c r="M3085" i="7"/>
  <c r="L3086" i="7"/>
  <c r="P3027" i="7" l="1"/>
  <c r="N3027" i="7"/>
  <c r="O3028" i="7" s="1"/>
  <c r="M3086" i="7"/>
  <c r="L3087" i="7"/>
  <c r="N3028" i="7" l="1"/>
  <c r="O3029" i="7" s="1"/>
  <c r="P3028" i="7"/>
  <c r="M3087" i="7"/>
  <c r="L3088" i="7"/>
  <c r="P3029" i="7" l="1"/>
  <c r="N3029" i="7"/>
  <c r="O3030" i="7" s="1"/>
  <c r="M3088" i="7"/>
  <c r="L3089" i="7"/>
  <c r="N3030" i="7" l="1"/>
  <c r="O3031" i="7" s="1"/>
  <c r="P3030" i="7"/>
  <c r="M3089" i="7"/>
  <c r="L3090" i="7"/>
  <c r="N3031" i="7" l="1"/>
  <c r="O3032" i="7" s="1"/>
  <c r="P3031" i="7"/>
  <c r="M3090" i="7"/>
  <c r="L3091" i="7"/>
  <c r="P3032" i="7" l="1"/>
  <c r="N3032" i="7"/>
  <c r="O3033" i="7" s="1"/>
  <c r="M3091" i="7"/>
  <c r="L3092" i="7"/>
  <c r="N3033" i="7" l="1"/>
  <c r="O3034" i="7" s="1"/>
  <c r="P3033" i="7"/>
  <c r="M3092" i="7"/>
  <c r="L3093" i="7"/>
  <c r="P3034" i="7" l="1"/>
  <c r="N3034" i="7"/>
  <c r="O3035" i="7" s="1"/>
  <c r="M3093" i="7"/>
  <c r="L3094" i="7"/>
  <c r="N3035" i="7" l="1"/>
  <c r="O3036" i="7" s="1"/>
  <c r="P3035" i="7"/>
  <c r="M3094" i="7"/>
  <c r="L3095" i="7"/>
  <c r="P3036" i="7" l="1"/>
  <c r="N3036" i="7"/>
  <c r="O3037" i="7" s="1"/>
  <c r="M3095" i="7"/>
  <c r="L3096" i="7"/>
  <c r="N3037" i="7" l="1"/>
  <c r="O3038" i="7" s="1"/>
  <c r="P3037" i="7"/>
  <c r="M3096" i="7"/>
  <c r="L3097" i="7"/>
  <c r="N3038" i="7" l="1"/>
  <c r="O3039" i="7" s="1"/>
  <c r="P3038" i="7"/>
  <c r="M3097" i="7"/>
  <c r="L3098" i="7"/>
  <c r="N3039" i="7" l="1"/>
  <c r="O3040" i="7" s="1"/>
  <c r="P3039" i="7"/>
  <c r="M3098" i="7"/>
  <c r="L3099" i="7"/>
  <c r="N3040" i="7" l="1"/>
  <c r="O3041" i="7" s="1"/>
  <c r="P3040" i="7"/>
  <c r="M3099" i="7"/>
  <c r="L3100" i="7"/>
  <c r="N3041" i="7" l="1"/>
  <c r="O3042" i="7" s="1"/>
  <c r="P3041" i="7"/>
  <c r="M3100" i="7"/>
  <c r="L3101" i="7"/>
  <c r="N3042" i="7" l="1"/>
  <c r="O3043" i="7" s="1"/>
  <c r="P3042" i="7"/>
  <c r="M3101" i="7"/>
  <c r="L3102" i="7"/>
  <c r="P3043" i="7" l="1"/>
  <c r="N3043" i="7"/>
  <c r="O3044" i="7" s="1"/>
  <c r="M3102" i="7"/>
  <c r="L3103" i="7"/>
  <c r="P3044" i="7" l="1"/>
  <c r="N3044" i="7"/>
  <c r="O3045" i="7" s="1"/>
  <c r="M3103" i="7"/>
  <c r="L3104" i="7"/>
  <c r="P3045" i="7" l="1"/>
  <c r="N3045" i="7"/>
  <c r="O3046" i="7" s="1"/>
  <c r="M3104" i="7"/>
  <c r="L3105" i="7"/>
  <c r="P3046" i="7" l="1"/>
  <c r="N3046" i="7"/>
  <c r="O3047" i="7" s="1"/>
  <c r="M3105" i="7"/>
  <c r="L3106" i="7"/>
  <c r="N3047" i="7" l="1"/>
  <c r="O3048" i="7" s="1"/>
  <c r="P3047" i="7"/>
  <c r="M3106" i="7"/>
  <c r="L3107" i="7"/>
  <c r="N3048" i="7" l="1"/>
  <c r="O3049" i="7" s="1"/>
  <c r="P3048" i="7"/>
  <c r="M3107" i="7"/>
  <c r="L3108" i="7"/>
  <c r="N3049" i="7" l="1"/>
  <c r="O3050" i="7" s="1"/>
  <c r="P3049" i="7"/>
  <c r="M3108" i="7"/>
  <c r="L3109" i="7"/>
  <c r="P3050" i="7" l="1"/>
  <c r="N3050" i="7"/>
  <c r="O3051" i="7" s="1"/>
  <c r="M3109" i="7"/>
  <c r="L3110" i="7"/>
  <c r="P3051" i="7" l="1"/>
  <c r="N3051" i="7"/>
  <c r="O3052" i="7" s="1"/>
  <c r="M3110" i="7"/>
  <c r="L3111" i="7"/>
  <c r="P3052" i="7" l="1"/>
  <c r="N3052" i="7"/>
  <c r="O3053" i="7" s="1"/>
  <c r="M3111" i="7"/>
  <c r="L3112" i="7"/>
  <c r="N3053" i="7" l="1"/>
  <c r="O3054" i="7" s="1"/>
  <c r="P3053" i="7"/>
  <c r="M3112" i="7"/>
  <c r="L3113" i="7"/>
  <c r="P3054" i="7" l="1"/>
  <c r="N3054" i="7"/>
  <c r="O3055" i="7" s="1"/>
  <c r="M3113" i="7"/>
  <c r="L3114" i="7"/>
  <c r="N3055" i="7" l="1"/>
  <c r="O3056" i="7" s="1"/>
  <c r="P3055" i="7"/>
  <c r="M3114" i="7"/>
  <c r="L3115" i="7"/>
  <c r="P3056" i="7" l="1"/>
  <c r="N3056" i="7"/>
  <c r="O3057" i="7" s="1"/>
  <c r="M3115" i="7"/>
  <c r="L3116" i="7"/>
  <c r="P3057" i="7" l="1"/>
  <c r="N3057" i="7"/>
  <c r="O3058" i="7" s="1"/>
  <c r="M3116" i="7"/>
  <c r="L3117" i="7"/>
  <c r="P3058" i="7" l="1"/>
  <c r="N3058" i="7"/>
  <c r="O3059" i="7" s="1"/>
  <c r="M3117" i="7"/>
  <c r="L3118" i="7"/>
  <c r="N3059" i="7" l="1"/>
  <c r="O3060" i="7" s="1"/>
  <c r="P3059" i="7"/>
  <c r="M3118" i="7"/>
  <c r="L3119" i="7"/>
  <c r="P3060" i="7" l="1"/>
  <c r="N3060" i="7"/>
  <c r="O3061" i="7" s="1"/>
  <c r="M3119" i="7"/>
  <c r="L3120" i="7"/>
  <c r="N3061" i="7" l="1"/>
  <c r="O3062" i="7" s="1"/>
  <c r="P3061" i="7"/>
  <c r="M3120" i="7"/>
  <c r="L3121" i="7"/>
  <c r="P3062" i="7" l="1"/>
  <c r="N3062" i="7"/>
  <c r="O3063" i="7" s="1"/>
  <c r="M3121" i="7"/>
  <c r="L3122" i="7"/>
  <c r="N3063" i="7" l="1"/>
  <c r="O3064" i="7" s="1"/>
  <c r="P3063" i="7"/>
  <c r="M3122" i="7"/>
  <c r="L3123" i="7"/>
  <c r="P3064" i="7" l="1"/>
  <c r="N3064" i="7"/>
  <c r="O3065" i="7" s="1"/>
  <c r="M3123" i="7"/>
  <c r="L3124" i="7"/>
  <c r="N3065" i="7" l="1"/>
  <c r="O3066" i="7" s="1"/>
  <c r="P3065" i="7"/>
  <c r="M3124" i="7"/>
  <c r="L3125" i="7"/>
  <c r="P3066" i="7" l="1"/>
  <c r="N3066" i="7"/>
  <c r="O3067" i="7" s="1"/>
  <c r="M3125" i="7"/>
  <c r="L3126" i="7"/>
  <c r="N3067" i="7" l="1"/>
  <c r="O3068" i="7" s="1"/>
  <c r="P3067" i="7"/>
  <c r="M3126" i="7"/>
  <c r="L3127" i="7"/>
  <c r="P3068" i="7" l="1"/>
  <c r="N3068" i="7"/>
  <c r="O3069" i="7" s="1"/>
  <c r="M3127" i="7"/>
  <c r="L3128" i="7"/>
  <c r="P3069" i="7" l="1"/>
  <c r="N3069" i="7"/>
  <c r="O3070" i="7" s="1"/>
  <c r="M3128" i="7"/>
  <c r="L3129" i="7"/>
  <c r="P3070" i="7" l="1"/>
  <c r="N3070" i="7"/>
  <c r="O3071" i="7" s="1"/>
  <c r="M3129" i="7"/>
  <c r="L3130" i="7"/>
  <c r="P3071" i="7" l="1"/>
  <c r="N3071" i="7"/>
  <c r="O3072" i="7" s="1"/>
  <c r="M3130" i="7"/>
  <c r="L3131" i="7"/>
  <c r="P3072" i="7" l="1"/>
  <c r="N3072" i="7"/>
  <c r="O3073" i="7" s="1"/>
  <c r="M3131" i="7"/>
  <c r="L3132" i="7"/>
  <c r="P3073" i="7" l="1"/>
  <c r="N3073" i="7"/>
  <c r="O3074" i="7" s="1"/>
  <c r="M3132" i="7"/>
  <c r="L3133" i="7"/>
  <c r="N3074" i="7" l="1"/>
  <c r="O3075" i="7" s="1"/>
  <c r="P3074" i="7"/>
  <c r="M3133" i="7"/>
  <c r="L3134" i="7"/>
  <c r="P3075" i="7" l="1"/>
  <c r="N3075" i="7"/>
  <c r="O3076" i="7" s="1"/>
  <c r="M3134" i="7"/>
  <c r="L3135" i="7"/>
  <c r="P3076" i="7" l="1"/>
  <c r="N3076" i="7"/>
  <c r="O3077" i="7" s="1"/>
  <c r="M3135" i="7"/>
  <c r="L3136" i="7"/>
  <c r="N3077" i="7" l="1"/>
  <c r="O3078" i="7" s="1"/>
  <c r="P3077" i="7"/>
  <c r="M3136" i="7"/>
  <c r="L3137" i="7"/>
  <c r="P3078" i="7" l="1"/>
  <c r="N3078" i="7"/>
  <c r="O3079" i="7" s="1"/>
  <c r="M3137" i="7"/>
  <c r="L3138" i="7"/>
  <c r="N3079" i="7" l="1"/>
  <c r="O3080" i="7" s="1"/>
  <c r="P3079" i="7"/>
  <c r="M3138" i="7"/>
  <c r="L3139" i="7"/>
  <c r="P3080" i="7" l="1"/>
  <c r="N3080" i="7"/>
  <c r="O3081" i="7" s="1"/>
  <c r="M3139" i="7"/>
  <c r="L3140" i="7"/>
  <c r="N3081" i="7" l="1"/>
  <c r="O3082" i="7" s="1"/>
  <c r="P3081" i="7"/>
  <c r="M3140" i="7"/>
  <c r="L3141" i="7"/>
  <c r="P3082" i="7" l="1"/>
  <c r="N3082" i="7"/>
  <c r="O3083" i="7" s="1"/>
  <c r="M3141" i="7"/>
  <c r="L3142" i="7"/>
  <c r="P3083" i="7" l="1"/>
  <c r="N3083" i="7"/>
  <c r="O3084" i="7" s="1"/>
  <c r="M3142" i="7"/>
  <c r="L3143" i="7"/>
  <c r="P3084" i="7" l="1"/>
  <c r="N3084" i="7"/>
  <c r="O3085" i="7" s="1"/>
  <c r="M3143" i="7"/>
  <c r="L3144" i="7"/>
  <c r="N3085" i="7" l="1"/>
  <c r="O3086" i="7" s="1"/>
  <c r="P3085" i="7"/>
  <c r="M3144" i="7"/>
  <c r="L3145" i="7"/>
  <c r="N3086" i="7" l="1"/>
  <c r="O3087" i="7" s="1"/>
  <c r="P3086" i="7"/>
  <c r="M3145" i="7"/>
  <c r="L3146" i="7"/>
  <c r="N3087" i="7" l="1"/>
  <c r="O3088" i="7" s="1"/>
  <c r="P3087" i="7"/>
  <c r="M3146" i="7"/>
  <c r="L3147" i="7"/>
  <c r="N3088" i="7" l="1"/>
  <c r="O3089" i="7" s="1"/>
  <c r="P3088" i="7"/>
  <c r="M3147" i="7"/>
  <c r="L3148" i="7"/>
  <c r="N3089" i="7" l="1"/>
  <c r="O3090" i="7" s="1"/>
  <c r="P3089" i="7"/>
  <c r="M3148" i="7"/>
  <c r="L3149" i="7"/>
  <c r="P3090" i="7" l="1"/>
  <c r="N3090" i="7"/>
  <c r="O3091" i="7" s="1"/>
  <c r="M3149" i="7"/>
  <c r="L3150" i="7"/>
  <c r="N3091" i="7" l="1"/>
  <c r="O3092" i="7" s="1"/>
  <c r="P3091" i="7"/>
  <c r="M3150" i="7"/>
  <c r="L3151" i="7"/>
  <c r="N3092" i="7" l="1"/>
  <c r="O3093" i="7" s="1"/>
  <c r="P3092" i="7"/>
  <c r="M3151" i="7"/>
  <c r="L3152" i="7"/>
  <c r="N3093" i="7" l="1"/>
  <c r="O3094" i="7" s="1"/>
  <c r="P3093" i="7"/>
  <c r="M3152" i="7"/>
  <c r="L3153" i="7"/>
  <c r="P3094" i="7" l="1"/>
  <c r="N3094" i="7"/>
  <c r="O3095" i="7" s="1"/>
  <c r="M3153" i="7"/>
  <c r="L3154" i="7"/>
  <c r="P3095" i="7" l="1"/>
  <c r="N3095" i="7"/>
  <c r="O3096" i="7" s="1"/>
  <c r="M3154" i="7"/>
  <c r="L3155" i="7"/>
  <c r="P3096" i="7" l="1"/>
  <c r="N3096" i="7"/>
  <c r="O3097" i="7" s="1"/>
  <c r="M3155" i="7"/>
  <c r="L3156" i="7"/>
  <c r="N3097" i="7" l="1"/>
  <c r="O3098" i="7" s="1"/>
  <c r="P3097" i="7"/>
  <c r="M3156" i="7"/>
  <c r="L3157" i="7"/>
  <c r="N3098" i="7" l="1"/>
  <c r="O3099" i="7" s="1"/>
  <c r="P3098" i="7"/>
  <c r="M3157" i="7"/>
  <c r="L3158" i="7"/>
  <c r="P3099" i="7" l="1"/>
  <c r="N3099" i="7"/>
  <c r="O3100" i="7" s="1"/>
  <c r="M3158" i="7"/>
  <c r="L3159" i="7"/>
  <c r="N3100" i="7" l="1"/>
  <c r="O3101" i="7" s="1"/>
  <c r="P3100" i="7"/>
  <c r="M3159" i="7"/>
  <c r="L3160" i="7"/>
  <c r="N3101" i="7" l="1"/>
  <c r="O3102" i="7" s="1"/>
  <c r="P3101" i="7"/>
  <c r="M3160" i="7"/>
  <c r="L3161" i="7"/>
  <c r="P3102" i="7" l="1"/>
  <c r="N3102" i="7"/>
  <c r="O3103" i="7" s="1"/>
  <c r="M3161" i="7"/>
  <c r="L3162" i="7"/>
  <c r="P3103" i="7" l="1"/>
  <c r="N3103" i="7"/>
  <c r="O3104" i="7" s="1"/>
  <c r="M3162" i="7"/>
  <c r="L3163" i="7"/>
  <c r="P3104" i="7" l="1"/>
  <c r="N3104" i="7"/>
  <c r="O3105" i="7" s="1"/>
  <c r="M3163" i="7"/>
  <c r="L3164" i="7"/>
  <c r="N3105" i="7" l="1"/>
  <c r="O3106" i="7" s="1"/>
  <c r="P3105" i="7"/>
  <c r="M3164" i="7"/>
  <c r="L3165" i="7"/>
  <c r="N3106" i="7" l="1"/>
  <c r="O3107" i="7" s="1"/>
  <c r="P3106" i="7"/>
  <c r="M3165" i="7"/>
  <c r="L3166" i="7"/>
  <c r="P3107" i="7" l="1"/>
  <c r="N3107" i="7"/>
  <c r="O3108" i="7" s="1"/>
  <c r="M3166" i="7"/>
  <c r="L3167" i="7"/>
  <c r="P3108" i="7" l="1"/>
  <c r="N3108" i="7"/>
  <c r="O3109" i="7" s="1"/>
  <c r="M3167" i="7"/>
  <c r="L3168" i="7"/>
  <c r="P3109" i="7" l="1"/>
  <c r="N3109" i="7"/>
  <c r="O3110" i="7" s="1"/>
  <c r="M3168" i="7"/>
  <c r="L3169" i="7"/>
  <c r="N3110" i="7" l="1"/>
  <c r="O3111" i="7" s="1"/>
  <c r="P3110" i="7"/>
  <c r="M3169" i="7"/>
  <c r="L3170" i="7"/>
  <c r="P3111" i="7" l="1"/>
  <c r="N3111" i="7"/>
  <c r="O3112" i="7" s="1"/>
  <c r="M3170" i="7"/>
  <c r="L3171" i="7"/>
  <c r="P3112" i="7" l="1"/>
  <c r="N3112" i="7"/>
  <c r="O3113" i="7" s="1"/>
  <c r="M3171" i="7"/>
  <c r="L3172" i="7"/>
  <c r="P3113" i="7" l="1"/>
  <c r="N3113" i="7"/>
  <c r="O3114" i="7" s="1"/>
  <c r="M3172" i="7"/>
  <c r="L3173" i="7"/>
  <c r="N3114" i="7" l="1"/>
  <c r="O3115" i="7" s="1"/>
  <c r="P3114" i="7"/>
  <c r="M3173" i="7"/>
  <c r="L3174" i="7"/>
  <c r="N3115" i="7" l="1"/>
  <c r="O3116" i="7" s="1"/>
  <c r="P3115" i="7"/>
  <c r="M3174" i="7"/>
  <c r="L3175" i="7"/>
  <c r="P3116" i="7" l="1"/>
  <c r="N3116" i="7"/>
  <c r="O3117" i="7" s="1"/>
  <c r="M3175" i="7"/>
  <c r="L3176" i="7"/>
  <c r="N3117" i="7" l="1"/>
  <c r="O3118" i="7" s="1"/>
  <c r="P3117" i="7"/>
  <c r="M3176" i="7"/>
  <c r="L3177" i="7"/>
  <c r="P3118" i="7" l="1"/>
  <c r="N3118" i="7"/>
  <c r="O3119" i="7" s="1"/>
  <c r="M3177" i="7"/>
  <c r="L3178" i="7"/>
  <c r="P3119" i="7" l="1"/>
  <c r="N3119" i="7"/>
  <c r="O3120" i="7" s="1"/>
  <c r="M3178" i="7"/>
  <c r="L3179" i="7"/>
  <c r="P3120" i="7" l="1"/>
  <c r="N3120" i="7"/>
  <c r="O3121" i="7" s="1"/>
  <c r="M3179" i="7"/>
  <c r="L3180" i="7"/>
  <c r="P3121" i="7" l="1"/>
  <c r="N3121" i="7"/>
  <c r="O3122" i="7" s="1"/>
  <c r="M3180" i="7"/>
  <c r="L3181" i="7"/>
  <c r="N3122" i="7" l="1"/>
  <c r="O3123" i="7" s="1"/>
  <c r="P3122" i="7"/>
  <c r="M3181" i="7"/>
  <c r="L3182" i="7"/>
  <c r="N3123" i="7" l="1"/>
  <c r="O3124" i="7" s="1"/>
  <c r="P3123" i="7"/>
  <c r="M3182" i="7"/>
  <c r="L3183" i="7"/>
  <c r="N3124" i="7" l="1"/>
  <c r="O3125" i="7" s="1"/>
  <c r="P3124" i="7"/>
  <c r="M3183" i="7"/>
  <c r="L3184" i="7"/>
  <c r="P3125" i="7" l="1"/>
  <c r="N3125" i="7"/>
  <c r="O3126" i="7" s="1"/>
  <c r="M3184" i="7"/>
  <c r="L3185" i="7"/>
  <c r="N3126" i="7" l="1"/>
  <c r="O3127" i="7" s="1"/>
  <c r="P3126" i="7"/>
  <c r="M3185" i="7"/>
  <c r="L3186" i="7"/>
  <c r="N3127" i="7" l="1"/>
  <c r="O3128" i="7" s="1"/>
  <c r="P3127" i="7"/>
  <c r="M3186" i="7"/>
  <c r="L3187" i="7"/>
  <c r="P3128" i="7" l="1"/>
  <c r="N3128" i="7"/>
  <c r="O3129" i="7" s="1"/>
  <c r="M3187" i="7"/>
  <c r="L3188" i="7"/>
  <c r="N3129" i="7" l="1"/>
  <c r="O3130" i="7" s="1"/>
  <c r="P3129" i="7"/>
  <c r="M3188" i="7"/>
  <c r="L3189" i="7"/>
  <c r="N3130" i="7" l="1"/>
  <c r="O3131" i="7" s="1"/>
  <c r="P3130" i="7"/>
  <c r="M3189" i="7"/>
  <c r="L3190" i="7"/>
  <c r="P3131" i="7" l="1"/>
  <c r="N3131" i="7"/>
  <c r="O3132" i="7" s="1"/>
  <c r="M3190" i="7"/>
  <c r="L3191" i="7"/>
  <c r="P3132" i="7" l="1"/>
  <c r="N3132" i="7"/>
  <c r="O3133" i="7" s="1"/>
  <c r="M3191" i="7"/>
  <c r="L3192" i="7"/>
  <c r="N3133" i="7" l="1"/>
  <c r="O3134" i="7" s="1"/>
  <c r="P3133" i="7"/>
  <c r="M3192" i="7"/>
  <c r="L3193" i="7"/>
  <c r="P3134" i="7" l="1"/>
  <c r="N3134" i="7"/>
  <c r="O3135" i="7" s="1"/>
  <c r="M3193" i="7"/>
  <c r="L3194" i="7"/>
  <c r="P3135" i="7" l="1"/>
  <c r="N3135" i="7"/>
  <c r="O3136" i="7" s="1"/>
  <c r="M3194" i="7"/>
  <c r="L3195" i="7"/>
  <c r="P3136" i="7" l="1"/>
  <c r="N3136" i="7"/>
  <c r="O3137" i="7" s="1"/>
  <c r="M3195" i="7"/>
  <c r="L3196" i="7"/>
  <c r="P3137" i="7" l="1"/>
  <c r="N3137" i="7"/>
  <c r="O3138" i="7" s="1"/>
  <c r="M3196" i="7"/>
  <c r="L3197" i="7"/>
  <c r="N3138" i="7" l="1"/>
  <c r="O3139" i="7" s="1"/>
  <c r="P3138" i="7"/>
  <c r="M3197" i="7"/>
  <c r="L3198" i="7"/>
  <c r="N3139" i="7" l="1"/>
  <c r="O3140" i="7" s="1"/>
  <c r="P3139" i="7"/>
  <c r="M3198" i="7"/>
  <c r="L3199" i="7"/>
  <c r="P3140" i="7" l="1"/>
  <c r="N3140" i="7"/>
  <c r="O3141" i="7" s="1"/>
  <c r="M3199" i="7"/>
  <c r="L3200" i="7"/>
  <c r="P3141" i="7" l="1"/>
  <c r="N3141" i="7"/>
  <c r="O3142" i="7" s="1"/>
  <c r="M3200" i="7"/>
  <c r="L3201" i="7"/>
  <c r="P3142" i="7" l="1"/>
  <c r="N3142" i="7"/>
  <c r="O3143" i="7" s="1"/>
  <c r="M3201" i="7"/>
  <c r="L3202" i="7"/>
  <c r="P3143" i="7" l="1"/>
  <c r="N3143" i="7"/>
  <c r="O3144" i="7" s="1"/>
  <c r="M3202" i="7"/>
  <c r="L3203" i="7"/>
  <c r="P3144" i="7" l="1"/>
  <c r="N3144" i="7"/>
  <c r="O3145" i="7" s="1"/>
  <c r="M3203" i="7"/>
  <c r="L3204" i="7"/>
  <c r="P3145" i="7" l="1"/>
  <c r="N3145" i="7"/>
  <c r="O3146" i="7" s="1"/>
  <c r="M3204" i="7"/>
  <c r="L3205" i="7"/>
  <c r="P3146" i="7" l="1"/>
  <c r="N3146" i="7"/>
  <c r="O3147" i="7" s="1"/>
  <c r="M3205" i="7"/>
  <c r="L3206" i="7"/>
  <c r="P3147" i="7" l="1"/>
  <c r="N3147" i="7"/>
  <c r="O3148" i="7" s="1"/>
  <c r="M3206" i="7"/>
  <c r="L3207" i="7"/>
  <c r="N3148" i="7" l="1"/>
  <c r="O3149" i="7" s="1"/>
  <c r="P3148" i="7"/>
  <c r="M3207" i="7"/>
  <c r="L3208" i="7"/>
  <c r="N3149" i="7" l="1"/>
  <c r="O3150" i="7" s="1"/>
  <c r="P3149" i="7"/>
  <c r="M3208" i="7"/>
  <c r="L3209" i="7"/>
  <c r="N3150" i="7" l="1"/>
  <c r="O3151" i="7" s="1"/>
  <c r="P3150" i="7"/>
  <c r="M3209" i="7"/>
  <c r="L3210" i="7"/>
  <c r="P3151" i="7" l="1"/>
  <c r="N3151" i="7"/>
  <c r="O3152" i="7" s="1"/>
  <c r="M3210" i="7"/>
  <c r="L3211" i="7"/>
  <c r="N3152" i="7" l="1"/>
  <c r="O3153" i="7" s="1"/>
  <c r="P3152" i="7"/>
  <c r="M3211" i="7"/>
  <c r="L3212" i="7"/>
  <c r="N3153" i="7" l="1"/>
  <c r="O3154" i="7" s="1"/>
  <c r="P3153" i="7"/>
  <c r="M3212" i="7"/>
  <c r="L3213" i="7"/>
  <c r="N3154" i="7" l="1"/>
  <c r="O3155" i="7" s="1"/>
  <c r="P3154" i="7"/>
  <c r="M3213" i="7"/>
  <c r="L3214" i="7"/>
  <c r="N3155" i="7" l="1"/>
  <c r="O3156" i="7" s="1"/>
  <c r="P3155" i="7"/>
  <c r="M3214" i="7"/>
  <c r="L3215" i="7"/>
  <c r="N3156" i="7" l="1"/>
  <c r="O3157" i="7" s="1"/>
  <c r="P3156" i="7"/>
  <c r="M3215" i="7"/>
  <c r="L3216" i="7"/>
  <c r="P3157" i="7" l="1"/>
  <c r="N3157" i="7"/>
  <c r="O3158" i="7" s="1"/>
  <c r="M3216" i="7"/>
  <c r="L3217" i="7"/>
  <c r="P3158" i="7" l="1"/>
  <c r="N3158" i="7"/>
  <c r="O3159" i="7" s="1"/>
  <c r="M3217" i="7"/>
  <c r="L3218" i="7"/>
  <c r="P3159" i="7" l="1"/>
  <c r="N3159" i="7"/>
  <c r="O3160" i="7" s="1"/>
  <c r="M3218" i="7"/>
  <c r="L3219" i="7"/>
  <c r="N3160" i="7" l="1"/>
  <c r="O3161" i="7" s="1"/>
  <c r="P3160" i="7"/>
  <c r="M3219" i="7"/>
  <c r="L3220" i="7"/>
  <c r="P3161" i="7" l="1"/>
  <c r="N3161" i="7"/>
  <c r="O3162" i="7" s="1"/>
  <c r="M3220" i="7"/>
  <c r="L3221" i="7"/>
  <c r="P3162" i="7" l="1"/>
  <c r="N3162" i="7"/>
  <c r="O3163" i="7" s="1"/>
  <c r="M3221" i="7"/>
  <c r="L3222" i="7"/>
  <c r="N3163" i="7" l="1"/>
  <c r="O3164" i="7" s="1"/>
  <c r="P3163" i="7"/>
  <c r="M3222" i="7"/>
  <c r="L3223" i="7"/>
  <c r="P3164" i="7" l="1"/>
  <c r="N3164" i="7"/>
  <c r="O3165" i="7" s="1"/>
  <c r="M3223" i="7"/>
  <c r="L3224" i="7"/>
  <c r="P3165" i="7" l="1"/>
  <c r="N3165" i="7"/>
  <c r="O3166" i="7" s="1"/>
  <c r="M3224" i="7"/>
  <c r="L3225" i="7"/>
  <c r="P3166" i="7" l="1"/>
  <c r="N3166" i="7"/>
  <c r="O3167" i="7" s="1"/>
  <c r="M3225" i="7"/>
  <c r="L3226" i="7"/>
  <c r="N3167" i="7" l="1"/>
  <c r="O3168" i="7" s="1"/>
  <c r="P3167" i="7"/>
  <c r="M3226" i="7"/>
  <c r="L3227" i="7"/>
  <c r="P3168" i="7" l="1"/>
  <c r="N3168" i="7"/>
  <c r="O3169" i="7" s="1"/>
  <c r="M3227" i="7"/>
  <c r="L3228" i="7"/>
  <c r="N3169" i="7" l="1"/>
  <c r="O3170" i="7" s="1"/>
  <c r="P3169" i="7"/>
  <c r="M3228" i="7"/>
  <c r="L3229" i="7"/>
  <c r="N3170" i="7" l="1"/>
  <c r="O3171" i="7" s="1"/>
  <c r="P3170" i="7"/>
  <c r="M3229" i="7"/>
  <c r="L3230" i="7"/>
  <c r="P3171" i="7" l="1"/>
  <c r="N3171" i="7"/>
  <c r="O3172" i="7" s="1"/>
  <c r="M3230" i="7"/>
  <c r="L3231" i="7"/>
  <c r="P3172" i="7" l="1"/>
  <c r="N3172" i="7"/>
  <c r="O3173" i="7" s="1"/>
  <c r="M3231" i="7"/>
  <c r="L3232" i="7"/>
  <c r="N3173" i="7" l="1"/>
  <c r="O3174" i="7" s="1"/>
  <c r="P3173" i="7"/>
  <c r="M3232" i="7"/>
  <c r="L3233" i="7"/>
  <c r="P3174" i="7" l="1"/>
  <c r="N3174" i="7"/>
  <c r="O3175" i="7" s="1"/>
  <c r="M3233" i="7"/>
  <c r="L3234" i="7"/>
  <c r="N3175" i="7" l="1"/>
  <c r="O3176" i="7" s="1"/>
  <c r="P3175" i="7"/>
  <c r="M3234" i="7"/>
  <c r="L3235" i="7"/>
  <c r="N3176" i="7" l="1"/>
  <c r="O3177" i="7" s="1"/>
  <c r="P3176" i="7"/>
  <c r="M3235" i="7"/>
  <c r="L3236" i="7"/>
  <c r="N3177" i="7" l="1"/>
  <c r="O3178" i="7" s="1"/>
  <c r="P3177" i="7"/>
  <c r="M3236" i="7"/>
  <c r="L3237" i="7"/>
  <c r="P3178" i="7" l="1"/>
  <c r="N3178" i="7"/>
  <c r="O3179" i="7" s="1"/>
  <c r="M3237" i="7"/>
  <c r="L3238" i="7"/>
  <c r="N3179" i="7" l="1"/>
  <c r="O3180" i="7" s="1"/>
  <c r="P3179" i="7"/>
  <c r="M3238" i="7"/>
  <c r="L3239" i="7"/>
  <c r="N3180" i="7" l="1"/>
  <c r="O3181" i="7" s="1"/>
  <c r="P3180" i="7"/>
  <c r="M3239" i="7"/>
  <c r="L3240" i="7"/>
  <c r="P3181" i="7" l="1"/>
  <c r="N3181" i="7"/>
  <c r="O3182" i="7" s="1"/>
  <c r="M3240" i="7"/>
  <c r="L3241" i="7"/>
  <c r="P3182" i="7" l="1"/>
  <c r="N3182" i="7"/>
  <c r="O3183" i="7" s="1"/>
  <c r="M3241" i="7"/>
  <c r="L3242" i="7"/>
  <c r="P3183" i="7" l="1"/>
  <c r="N3183" i="7"/>
  <c r="O3184" i="7" s="1"/>
  <c r="M3242" i="7"/>
  <c r="L3243" i="7"/>
  <c r="N3184" i="7" l="1"/>
  <c r="O3185" i="7" s="1"/>
  <c r="P3184" i="7"/>
  <c r="M3243" i="7"/>
  <c r="L3244" i="7"/>
  <c r="N3185" i="7" l="1"/>
  <c r="O3186" i="7" s="1"/>
  <c r="P3185" i="7"/>
  <c r="M3244" i="7"/>
  <c r="L3245" i="7"/>
  <c r="N3186" i="7" l="1"/>
  <c r="O3187" i="7" s="1"/>
  <c r="P3186" i="7"/>
  <c r="M3245" i="7"/>
  <c r="L3246" i="7"/>
  <c r="N3187" i="7" l="1"/>
  <c r="O3188" i="7" s="1"/>
  <c r="P3187" i="7"/>
  <c r="M3246" i="7"/>
  <c r="L3247" i="7"/>
  <c r="N3188" i="7" l="1"/>
  <c r="O3189" i="7" s="1"/>
  <c r="P3188" i="7"/>
  <c r="M3247" i="7"/>
  <c r="L3248" i="7"/>
  <c r="P3189" i="7" l="1"/>
  <c r="N3189" i="7"/>
  <c r="O3190" i="7" s="1"/>
  <c r="M3248" i="7"/>
  <c r="L3249" i="7"/>
  <c r="P3190" i="7" l="1"/>
  <c r="N3190" i="7"/>
  <c r="O3191" i="7" s="1"/>
  <c r="M3249" i="7"/>
  <c r="L3250" i="7"/>
  <c r="N3191" i="7" l="1"/>
  <c r="O3192" i="7" s="1"/>
  <c r="P3191" i="7"/>
  <c r="M3250" i="7"/>
  <c r="L3251" i="7"/>
  <c r="N3192" i="7" l="1"/>
  <c r="O3193" i="7" s="1"/>
  <c r="P3192" i="7"/>
  <c r="M3251" i="7"/>
  <c r="L3252" i="7"/>
  <c r="N3193" i="7" l="1"/>
  <c r="O3194" i="7" s="1"/>
  <c r="P3193" i="7"/>
  <c r="M3252" i="7"/>
  <c r="L3253" i="7"/>
  <c r="N3194" i="7" l="1"/>
  <c r="O3195" i="7" s="1"/>
  <c r="P3194" i="7"/>
  <c r="M3253" i="7"/>
  <c r="L3254" i="7"/>
  <c r="N3195" i="7" l="1"/>
  <c r="O3196" i="7" s="1"/>
  <c r="P3195" i="7"/>
  <c r="M3254" i="7"/>
  <c r="L3255" i="7"/>
  <c r="P3196" i="7" l="1"/>
  <c r="N3196" i="7"/>
  <c r="O3197" i="7" s="1"/>
  <c r="M3255" i="7"/>
  <c r="L3256" i="7"/>
  <c r="P3197" i="7" l="1"/>
  <c r="N3197" i="7"/>
  <c r="O3198" i="7" s="1"/>
  <c r="M3256" i="7"/>
  <c r="L3257" i="7"/>
  <c r="N3198" i="7" l="1"/>
  <c r="O3199" i="7" s="1"/>
  <c r="P3198" i="7"/>
  <c r="M3257" i="7"/>
  <c r="L3258" i="7"/>
  <c r="P3199" i="7" l="1"/>
  <c r="N3199" i="7"/>
  <c r="O3200" i="7" s="1"/>
  <c r="M3258" i="7"/>
  <c r="L3259" i="7"/>
  <c r="N3200" i="7" l="1"/>
  <c r="O3201" i="7" s="1"/>
  <c r="P3200" i="7"/>
  <c r="M3259" i="7"/>
  <c r="L3260" i="7"/>
  <c r="P3201" i="7" l="1"/>
  <c r="N3201" i="7"/>
  <c r="O3202" i="7" s="1"/>
  <c r="M3260" i="7"/>
  <c r="L3261" i="7"/>
  <c r="P3202" i="7" l="1"/>
  <c r="N3202" i="7"/>
  <c r="O3203" i="7" s="1"/>
  <c r="M3261" i="7"/>
  <c r="L3262" i="7"/>
  <c r="P3203" i="7" l="1"/>
  <c r="N3203" i="7"/>
  <c r="O3204" i="7" s="1"/>
  <c r="M3262" i="7"/>
  <c r="L3263" i="7"/>
  <c r="N3204" i="7" l="1"/>
  <c r="O3205" i="7" s="1"/>
  <c r="P3204" i="7"/>
  <c r="M3263" i="7"/>
  <c r="L3264" i="7"/>
  <c r="N3205" i="7" l="1"/>
  <c r="O3206" i="7" s="1"/>
  <c r="P3205" i="7"/>
  <c r="M3264" i="7"/>
  <c r="L3265" i="7"/>
  <c r="N3206" i="7" l="1"/>
  <c r="O3207" i="7" s="1"/>
  <c r="P3206" i="7"/>
  <c r="M3265" i="7"/>
  <c r="L3266" i="7"/>
  <c r="P3207" i="7" l="1"/>
  <c r="N3207" i="7"/>
  <c r="O3208" i="7" s="1"/>
  <c r="M3266" i="7"/>
  <c r="L3267" i="7"/>
  <c r="P3208" i="7" l="1"/>
  <c r="N3208" i="7"/>
  <c r="O3209" i="7" s="1"/>
  <c r="M3267" i="7"/>
  <c r="L3268" i="7"/>
  <c r="N3209" i="7" l="1"/>
  <c r="O3210" i="7" s="1"/>
  <c r="P3209" i="7"/>
  <c r="M3268" i="7"/>
  <c r="L3269" i="7"/>
  <c r="P3210" i="7" l="1"/>
  <c r="N3210" i="7"/>
  <c r="O3211" i="7" s="1"/>
  <c r="M3269" i="7"/>
  <c r="L3270" i="7"/>
  <c r="N3211" i="7" l="1"/>
  <c r="O3212" i="7" s="1"/>
  <c r="P3211" i="7"/>
  <c r="M3270" i="7"/>
  <c r="L3271" i="7"/>
  <c r="N3212" i="7" l="1"/>
  <c r="O3213" i="7" s="1"/>
  <c r="P3212" i="7"/>
  <c r="M3271" i="7"/>
  <c r="L3272" i="7"/>
  <c r="P3213" i="7" l="1"/>
  <c r="N3213" i="7"/>
  <c r="O3214" i="7" s="1"/>
  <c r="M3272" i="7"/>
  <c r="L3273" i="7"/>
  <c r="P3214" i="7" l="1"/>
  <c r="N3214" i="7"/>
  <c r="O3215" i="7" s="1"/>
  <c r="M3273" i="7"/>
  <c r="L3274" i="7"/>
  <c r="N3215" i="7" l="1"/>
  <c r="O3216" i="7" s="1"/>
  <c r="P3215" i="7"/>
  <c r="M3274" i="7"/>
  <c r="L3275" i="7"/>
  <c r="P3216" i="7" l="1"/>
  <c r="N3216" i="7"/>
  <c r="O3217" i="7" s="1"/>
  <c r="M3275" i="7"/>
  <c r="L3276" i="7"/>
  <c r="P3217" i="7" l="1"/>
  <c r="N3217" i="7"/>
  <c r="O3218" i="7" s="1"/>
  <c r="M3276" i="7"/>
  <c r="L3277" i="7"/>
  <c r="P3218" i="7" l="1"/>
  <c r="N3218" i="7"/>
  <c r="O3219" i="7" s="1"/>
  <c r="M3277" i="7"/>
  <c r="L3278" i="7"/>
  <c r="N3219" i="7" l="1"/>
  <c r="O3220" i="7" s="1"/>
  <c r="P3219" i="7"/>
  <c r="M3278" i="7"/>
  <c r="L3279" i="7"/>
  <c r="N3220" i="7" l="1"/>
  <c r="O3221" i="7" s="1"/>
  <c r="P3220" i="7"/>
  <c r="M3279" i="7"/>
  <c r="L3280" i="7"/>
  <c r="N3221" i="7" l="1"/>
  <c r="O3222" i="7" s="1"/>
  <c r="P3221" i="7"/>
  <c r="M3280" i="7"/>
  <c r="L3281" i="7"/>
  <c r="P3222" i="7" l="1"/>
  <c r="N3222" i="7"/>
  <c r="O3223" i="7" s="1"/>
  <c r="M3281" i="7"/>
  <c r="L3282" i="7"/>
  <c r="P3223" i="7" l="1"/>
  <c r="N3223" i="7"/>
  <c r="O3224" i="7" s="1"/>
  <c r="M3282" i="7"/>
  <c r="L3283" i="7"/>
  <c r="N3224" i="7" l="1"/>
  <c r="O3225" i="7" s="1"/>
  <c r="P3224" i="7"/>
  <c r="M3283" i="7"/>
  <c r="L3284" i="7"/>
  <c r="P3225" i="7" l="1"/>
  <c r="N3225" i="7"/>
  <c r="O3226" i="7" s="1"/>
  <c r="M3284" i="7"/>
  <c r="L3285" i="7"/>
  <c r="N3226" i="7" l="1"/>
  <c r="O3227" i="7" s="1"/>
  <c r="P3226" i="7"/>
  <c r="M3285" i="7"/>
  <c r="L3286" i="7"/>
  <c r="P3227" i="7" l="1"/>
  <c r="N3227" i="7"/>
  <c r="O3228" i="7" s="1"/>
  <c r="M3286" i="7"/>
  <c r="L3287" i="7"/>
  <c r="N3228" i="7" l="1"/>
  <c r="O3229" i="7" s="1"/>
  <c r="P3228" i="7"/>
  <c r="M3287" i="7"/>
  <c r="L3288" i="7"/>
  <c r="P3229" i="7" l="1"/>
  <c r="N3229" i="7"/>
  <c r="O3230" i="7" s="1"/>
  <c r="M3288" i="7"/>
  <c r="L3289" i="7"/>
  <c r="P3230" i="7" l="1"/>
  <c r="N3230" i="7"/>
  <c r="O3231" i="7" s="1"/>
  <c r="M3289" i="7"/>
  <c r="L3290" i="7"/>
  <c r="P3231" i="7" l="1"/>
  <c r="N3231" i="7"/>
  <c r="O3232" i="7" s="1"/>
  <c r="M3290" i="7"/>
  <c r="L3291" i="7"/>
  <c r="P3232" i="7" l="1"/>
  <c r="N3232" i="7"/>
  <c r="O3233" i="7" s="1"/>
  <c r="M3291" i="7"/>
  <c r="L3292" i="7"/>
  <c r="P3233" i="7" l="1"/>
  <c r="N3233" i="7"/>
  <c r="O3234" i="7" s="1"/>
  <c r="M3292" i="7"/>
  <c r="L3293" i="7"/>
  <c r="P3234" i="7" l="1"/>
  <c r="N3234" i="7"/>
  <c r="O3235" i="7" s="1"/>
  <c r="M3293" i="7"/>
  <c r="L3294" i="7"/>
  <c r="N3235" i="7" l="1"/>
  <c r="O3236" i="7" s="1"/>
  <c r="P3235" i="7"/>
  <c r="M3294" i="7"/>
  <c r="L3295" i="7"/>
  <c r="P3236" i="7" l="1"/>
  <c r="N3236" i="7"/>
  <c r="O3237" i="7" s="1"/>
  <c r="M3295" i="7"/>
  <c r="L3296" i="7"/>
  <c r="N3237" i="7" l="1"/>
  <c r="O3238" i="7" s="1"/>
  <c r="P3237" i="7"/>
  <c r="M3296" i="7"/>
  <c r="L3297" i="7"/>
  <c r="N3238" i="7" l="1"/>
  <c r="O3239" i="7" s="1"/>
  <c r="P3238" i="7"/>
  <c r="M3297" i="7"/>
  <c r="L3298" i="7"/>
  <c r="N3239" i="7" l="1"/>
  <c r="O3240" i="7" s="1"/>
  <c r="P3239" i="7"/>
  <c r="M3298" i="7"/>
  <c r="L3299" i="7"/>
  <c r="N3240" i="7" l="1"/>
  <c r="O3241" i="7" s="1"/>
  <c r="P3240" i="7"/>
  <c r="M3299" i="7"/>
  <c r="L3300" i="7"/>
  <c r="P3241" i="7" l="1"/>
  <c r="N3241" i="7"/>
  <c r="O3242" i="7" s="1"/>
  <c r="M3300" i="7"/>
  <c r="L3301" i="7"/>
  <c r="N3242" i="7" l="1"/>
  <c r="O3243" i="7" s="1"/>
  <c r="P3242" i="7"/>
  <c r="M3301" i="7"/>
  <c r="L3302" i="7"/>
  <c r="P3243" i="7" l="1"/>
  <c r="N3243" i="7"/>
  <c r="O3244" i="7" s="1"/>
  <c r="M3302" i="7"/>
  <c r="L3303" i="7"/>
  <c r="N3244" i="7" l="1"/>
  <c r="O3245" i="7" s="1"/>
  <c r="P3244" i="7"/>
  <c r="M3303" i="7"/>
  <c r="L3304" i="7"/>
  <c r="P3245" i="7" l="1"/>
  <c r="N3245" i="7"/>
  <c r="O3246" i="7" s="1"/>
  <c r="M3304" i="7"/>
  <c r="L3305" i="7"/>
  <c r="N3246" i="7" l="1"/>
  <c r="O3247" i="7" s="1"/>
  <c r="P3246" i="7"/>
  <c r="M3305" i="7"/>
  <c r="L3306" i="7"/>
  <c r="P3247" i="7" l="1"/>
  <c r="N3247" i="7"/>
  <c r="O3248" i="7" s="1"/>
  <c r="M3306" i="7"/>
  <c r="L3307" i="7"/>
  <c r="N3248" i="7" l="1"/>
  <c r="O3249" i="7" s="1"/>
  <c r="P3248" i="7"/>
  <c r="M3307" i="7"/>
  <c r="L3308" i="7"/>
  <c r="N3249" i="7" l="1"/>
  <c r="O3250" i="7" s="1"/>
  <c r="P3249" i="7"/>
  <c r="M3308" i="7"/>
  <c r="L3309" i="7"/>
  <c r="N3250" i="7" l="1"/>
  <c r="O3251" i="7" s="1"/>
  <c r="P3250" i="7"/>
  <c r="M3309" i="7"/>
  <c r="L3310" i="7"/>
  <c r="N3251" i="7" l="1"/>
  <c r="O3252" i="7" s="1"/>
  <c r="P3251" i="7"/>
  <c r="M3310" i="7"/>
  <c r="L3311" i="7"/>
  <c r="N3252" i="7" l="1"/>
  <c r="O3253" i="7" s="1"/>
  <c r="P3252" i="7"/>
  <c r="M3311" i="7"/>
  <c r="L3312" i="7"/>
  <c r="N3253" i="7" l="1"/>
  <c r="O3254" i="7" s="1"/>
  <c r="P3253" i="7"/>
  <c r="M3312" i="7"/>
  <c r="L3313" i="7"/>
  <c r="N3254" i="7" l="1"/>
  <c r="O3255" i="7" s="1"/>
  <c r="P3254" i="7"/>
  <c r="M3313" i="7"/>
  <c r="L3314" i="7"/>
  <c r="P3255" i="7" l="1"/>
  <c r="N3255" i="7"/>
  <c r="O3256" i="7" s="1"/>
  <c r="M3314" i="7"/>
  <c r="L3315" i="7"/>
  <c r="N3256" i="7" l="1"/>
  <c r="O3257" i="7" s="1"/>
  <c r="P3256" i="7"/>
  <c r="M3315" i="7"/>
  <c r="L3316" i="7"/>
  <c r="P3257" i="7" l="1"/>
  <c r="N3257" i="7"/>
  <c r="O3258" i="7" s="1"/>
  <c r="M3316" i="7"/>
  <c r="L3317" i="7"/>
  <c r="P3258" i="7" l="1"/>
  <c r="N3258" i="7"/>
  <c r="O3259" i="7" s="1"/>
  <c r="M3317" i="7"/>
  <c r="L3318" i="7"/>
  <c r="N3259" i="7" l="1"/>
  <c r="O3260" i="7" s="1"/>
  <c r="P3259" i="7"/>
  <c r="M3318" i="7"/>
  <c r="L3319" i="7"/>
  <c r="N3260" i="7" l="1"/>
  <c r="O3261" i="7" s="1"/>
  <c r="P3260" i="7"/>
  <c r="M3319" i="7"/>
  <c r="L3320" i="7"/>
  <c r="N3261" i="7" l="1"/>
  <c r="O3262" i="7" s="1"/>
  <c r="P3261" i="7"/>
  <c r="M3320" i="7"/>
  <c r="L3321" i="7"/>
  <c r="P3262" i="7" l="1"/>
  <c r="N3262" i="7"/>
  <c r="O3263" i="7" s="1"/>
  <c r="M3321" i="7"/>
  <c r="L3322" i="7"/>
  <c r="P3263" i="7" l="1"/>
  <c r="N3263" i="7"/>
  <c r="O3264" i="7" s="1"/>
  <c r="M3322" i="7"/>
  <c r="L3323" i="7"/>
  <c r="P3264" i="7" l="1"/>
  <c r="N3264" i="7"/>
  <c r="O3265" i="7" s="1"/>
  <c r="M3323" i="7"/>
  <c r="L3324" i="7"/>
  <c r="P3265" i="7" l="1"/>
  <c r="N3265" i="7"/>
  <c r="O3266" i="7" s="1"/>
  <c r="M3324" i="7"/>
  <c r="L3325" i="7"/>
  <c r="P3266" i="7" l="1"/>
  <c r="N3266" i="7"/>
  <c r="O3267" i="7" s="1"/>
  <c r="M3325" i="7"/>
  <c r="L3326" i="7"/>
  <c r="N3267" i="7" l="1"/>
  <c r="O3268" i="7" s="1"/>
  <c r="P3267" i="7"/>
  <c r="M3326" i="7"/>
  <c r="L3327" i="7"/>
  <c r="P3268" i="7" l="1"/>
  <c r="N3268" i="7"/>
  <c r="O3269" i="7" s="1"/>
  <c r="M3327" i="7"/>
  <c r="L3328" i="7"/>
  <c r="P3269" i="7" l="1"/>
  <c r="N3269" i="7"/>
  <c r="O3270" i="7" s="1"/>
  <c r="M3328" i="7"/>
  <c r="L3329" i="7"/>
  <c r="N3270" i="7" l="1"/>
  <c r="O3271" i="7" s="1"/>
  <c r="P3270" i="7"/>
  <c r="M3329" i="7"/>
  <c r="L3330" i="7"/>
  <c r="N3271" i="7" l="1"/>
  <c r="O3272" i="7" s="1"/>
  <c r="P3271" i="7"/>
  <c r="M3330" i="7"/>
  <c r="L3331" i="7"/>
  <c r="P3272" i="7" l="1"/>
  <c r="N3272" i="7"/>
  <c r="O3273" i="7" s="1"/>
  <c r="M3331" i="7"/>
  <c r="L3332" i="7"/>
  <c r="N3273" i="7" l="1"/>
  <c r="O3274" i="7" s="1"/>
  <c r="P3273" i="7"/>
  <c r="M3332" i="7"/>
  <c r="L3333" i="7"/>
  <c r="N3274" i="7" l="1"/>
  <c r="O3275" i="7" s="1"/>
  <c r="P3274" i="7"/>
  <c r="M3333" i="7"/>
  <c r="L3334" i="7"/>
  <c r="N3275" i="7" l="1"/>
  <c r="O3276" i="7" s="1"/>
  <c r="P3275" i="7"/>
  <c r="M3334" i="7"/>
  <c r="L3335" i="7"/>
  <c r="P3276" i="7" l="1"/>
  <c r="N3276" i="7"/>
  <c r="O3277" i="7" s="1"/>
  <c r="M3335" i="7"/>
  <c r="L3336" i="7"/>
  <c r="N3277" i="7" l="1"/>
  <c r="O3278" i="7" s="1"/>
  <c r="P3277" i="7"/>
  <c r="M3336" i="7"/>
  <c r="L3337" i="7"/>
  <c r="P3278" i="7" l="1"/>
  <c r="N3278" i="7"/>
  <c r="O3279" i="7" s="1"/>
  <c r="M3337" i="7"/>
  <c r="L3338" i="7"/>
  <c r="P3279" i="7" l="1"/>
  <c r="N3279" i="7"/>
  <c r="O3280" i="7" s="1"/>
  <c r="M3338" i="7"/>
  <c r="L3339" i="7"/>
  <c r="P3280" i="7" l="1"/>
  <c r="N3280" i="7"/>
  <c r="O3281" i="7" s="1"/>
  <c r="M3339" i="7"/>
  <c r="L3340" i="7"/>
  <c r="P3281" i="7" l="1"/>
  <c r="N3281" i="7"/>
  <c r="O3282" i="7" s="1"/>
  <c r="M3340" i="7"/>
  <c r="L3341" i="7"/>
  <c r="N3282" i="7" l="1"/>
  <c r="O3283" i="7" s="1"/>
  <c r="P3282" i="7"/>
  <c r="M3341" i="7"/>
  <c r="L3342" i="7"/>
  <c r="P3283" i="7" l="1"/>
  <c r="N3283" i="7"/>
  <c r="O3284" i="7" s="1"/>
  <c r="M3342" i="7"/>
  <c r="L3343" i="7"/>
  <c r="P3284" i="7" l="1"/>
  <c r="N3284" i="7"/>
  <c r="O3285" i="7" s="1"/>
  <c r="M3343" i="7"/>
  <c r="L3344" i="7"/>
  <c r="N3285" i="7" l="1"/>
  <c r="O3286" i="7" s="1"/>
  <c r="P3285" i="7"/>
  <c r="M3344" i="7"/>
  <c r="L3345" i="7"/>
  <c r="N3286" i="7" l="1"/>
  <c r="O3287" i="7" s="1"/>
  <c r="P3286" i="7"/>
  <c r="M3345" i="7"/>
  <c r="L3346" i="7"/>
  <c r="P3287" i="7" l="1"/>
  <c r="N3287" i="7"/>
  <c r="O3288" i="7" s="1"/>
  <c r="M3346" i="7"/>
  <c r="L3347" i="7"/>
  <c r="N3288" i="7" l="1"/>
  <c r="O3289" i="7" s="1"/>
  <c r="P3288" i="7"/>
  <c r="M3347" i="7"/>
  <c r="L3348" i="7"/>
  <c r="P3289" i="7" l="1"/>
  <c r="N3289" i="7"/>
  <c r="O3290" i="7" s="1"/>
  <c r="M3348" i="7"/>
  <c r="L3349" i="7"/>
  <c r="N3290" i="7" l="1"/>
  <c r="O3291" i="7" s="1"/>
  <c r="P3290" i="7"/>
  <c r="M3349" i="7"/>
  <c r="L3350" i="7"/>
  <c r="N3291" i="7" l="1"/>
  <c r="O3292" i="7" s="1"/>
  <c r="P3291" i="7"/>
  <c r="M3350" i="7"/>
  <c r="L3351" i="7"/>
  <c r="P3292" i="7" l="1"/>
  <c r="N3292" i="7"/>
  <c r="O3293" i="7" s="1"/>
  <c r="M3351" i="7"/>
  <c r="L3352" i="7"/>
  <c r="N3293" i="7" l="1"/>
  <c r="O3294" i="7" s="1"/>
  <c r="P3293" i="7"/>
  <c r="M3352" i="7"/>
  <c r="L3353" i="7"/>
  <c r="N3294" i="7" l="1"/>
  <c r="O3295" i="7" s="1"/>
  <c r="P3294" i="7"/>
  <c r="M3353" i="7"/>
  <c r="L3354" i="7"/>
  <c r="N3295" i="7" l="1"/>
  <c r="O3296" i="7" s="1"/>
  <c r="P3295" i="7"/>
  <c r="M3354" i="7"/>
  <c r="L3355" i="7"/>
  <c r="P3296" i="7" l="1"/>
  <c r="N3296" i="7"/>
  <c r="O3297" i="7" s="1"/>
  <c r="M3355" i="7"/>
  <c r="L3356" i="7"/>
  <c r="N3297" i="7" l="1"/>
  <c r="O3298" i="7" s="1"/>
  <c r="P3297" i="7"/>
  <c r="M3356" i="7"/>
  <c r="L3357" i="7"/>
  <c r="N3298" i="7" l="1"/>
  <c r="O3299" i="7" s="1"/>
  <c r="P3298" i="7"/>
  <c r="M3357" i="7"/>
  <c r="L3358" i="7"/>
  <c r="P3299" i="7" l="1"/>
  <c r="N3299" i="7"/>
  <c r="O3300" i="7" s="1"/>
  <c r="M3358" i="7"/>
  <c r="L3359" i="7"/>
  <c r="P3300" i="7" l="1"/>
  <c r="N3300" i="7"/>
  <c r="O3301" i="7" s="1"/>
  <c r="M3359" i="7"/>
  <c r="L3360" i="7"/>
  <c r="N3301" i="7" l="1"/>
  <c r="O3302" i="7" s="1"/>
  <c r="P3301" i="7"/>
  <c r="M3360" i="7"/>
  <c r="L3361" i="7"/>
  <c r="N3302" i="7" l="1"/>
  <c r="O3303" i="7" s="1"/>
  <c r="P3302" i="7"/>
  <c r="M3361" i="7"/>
  <c r="L3362" i="7"/>
  <c r="P3303" i="7" l="1"/>
  <c r="N3303" i="7"/>
  <c r="O3304" i="7" s="1"/>
  <c r="M3362" i="7"/>
  <c r="L3363" i="7"/>
  <c r="P3304" i="7" l="1"/>
  <c r="N3304" i="7"/>
  <c r="O3305" i="7" s="1"/>
  <c r="M3363" i="7"/>
  <c r="L3364" i="7"/>
  <c r="P3305" i="7" l="1"/>
  <c r="N3305" i="7"/>
  <c r="O3306" i="7" s="1"/>
  <c r="M3364" i="7"/>
  <c r="L3365" i="7"/>
  <c r="N3306" i="7" l="1"/>
  <c r="O3307" i="7" s="1"/>
  <c r="P3306" i="7"/>
  <c r="M3365" i="7"/>
  <c r="L3366" i="7"/>
  <c r="P3307" i="7" l="1"/>
  <c r="N3307" i="7"/>
  <c r="O3308" i="7" s="1"/>
  <c r="M3366" i="7"/>
  <c r="L3367" i="7"/>
  <c r="N3308" i="7" l="1"/>
  <c r="O3309" i="7" s="1"/>
  <c r="P3308" i="7"/>
  <c r="M3367" i="7"/>
  <c r="L3368" i="7"/>
  <c r="N3309" i="7" l="1"/>
  <c r="O3310" i="7" s="1"/>
  <c r="P3309" i="7"/>
  <c r="M3368" i="7"/>
  <c r="L3369" i="7"/>
  <c r="P3310" i="7" l="1"/>
  <c r="N3310" i="7"/>
  <c r="O3311" i="7" s="1"/>
  <c r="M3369" i="7"/>
  <c r="L3370" i="7"/>
  <c r="N3311" i="7" l="1"/>
  <c r="O3312" i="7" s="1"/>
  <c r="P3311" i="7"/>
  <c r="M3370" i="7"/>
  <c r="L3371" i="7"/>
  <c r="N3312" i="7" l="1"/>
  <c r="O3313" i="7" s="1"/>
  <c r="P3312" i="7"/>
  <c r="M3371" i="7"/>
  <c r="L3372" i="7"/>
  <c r="N3313" i="7" l="1"/>
  <c r="O3314" i="7" s="1"/>
  <c r="P3313" i="7"/>
  <c r="M3372" i="7"/>
  <c r="L3373" i="7"/>
  <c r="P3314" i="7" l="1"/>
  <c r="N3314" i="7"/>
  <c r="O3315" i="7" s="1"/>
  <c r="M3373" i="7"/>
  <c r="L3374" i="7"/>
  <c r="N3315" i="7" l="1"/>
  <c r="O3316" i="7" s="1"/>
  <c r="P3315" i="7"/>
  <c r="M3374" i="7"/>
  <c r="L3375" i="7"/>
  <c r="N3316" i="7" l="1"/>
  <c r="O3317" i="7" s="1"/>
  <c r="P3316" i="7"/>
  <c r="M3375" i="7"/>
  <c r="L3376" i="7"/>
  <c r="N3317" i="7" l="1"/>
  <c r="O3318" i="7" s="1"/>
  <c r="P3317" i="7"/>
  <c r="M3376" i="7"/>
  <c r="L3377" i="7"/>
  <c r="N3318" i="7" l="1"/>
  <c r="O3319" i="7" s="1"/>
  <c r="P3318" i="7"/>
  <c r="M3377" i="7"/>
  <c r="L3378" i="7"/>
  <c r="P3319" i="7" l="1"/>
  <c r="N3319" i="7"/>
  <c r="O3320" i="7" s="1"/>
  <c r="M3378" i="7"/>
  <c r="L3379" i="7"/>
  <c r="P3320" i="7" l="1"/>
  <c r="N3320" i="7"/>
  <c r="O3321" i="7" s="1"/>
  <c r="M3379" i="7"/>
  <c r="L3380" i="7"/>
  <c r="N3321" i="7" l="1"/>
  <c r="O3322" i="7" s="1"/>
  <c r="P3321" i="7"/>
  <c r="M3380" i="7"/>
  <c r="L3381" i="7"/>
  <c r="N3322" i="7" l="1"/>
  <c r="O3323" i="7" s="1"/>
  <c r="P3322" i="7"/>
  <c r="M3381" i="7"/>
  <c r="L3382" i="7"/>
  <c r="P3323" i="7" l="1"/>
  <c r="N3323" i="7"/>
  <c r="O3324" i="7" s="1"/>
  <c r="M3382" i="7"/>
  <c r="L3383" i="7"/>
  <c r="P3324" i="7" l="1"/>
  <c r="N3324" i="7"/>
  <c r="O3325" i="7" s="1"/>
  <c r="M3383" i="7"/>
  <c r="L3384" i="7"/>
  <c r="P3325" i="7" l="1"/>
  <c r="N3325" i="7"/>
  <c r="O3326" i="7" s="1"/>
  <c r="M3384" i="7"/>
  <c r="L3385" i="7"/>
  <c r="P3326" i="7" l="1"/>
  <c r="N3326" i="7"/>
  <c r="O3327" i="7" s="1"/>
  <c r="M3385" i="7"/>
  <c r="L3386" i="7"/>
  <c r="P3327" i="7" l="1"/>
  <c r="N3327" i="7"/>
  <c r="O3328" i="7" s="1"/>
  <c r="M3386" i="7"/>
  <c r="L3387" i="7"/>
  <c r="P3328" i="7" l="1"/>
  <c r="N3328" i="7"/>
  <c r="O3329" i="7" s="1"/>
  <c r="M3387" i="7"/>
  <c r="L3388" i="7"/>
  <c r="P3329" i="7" l="1"/>
  <c r="N3329" i="7"/>
  <c r="O3330" i="7" s="1"/>
  <c r="M3388" i="7"/>
  <c r="L3389" i="7"/>
  <c r="P3330" i="7" l="1"/>
  <c r="N3330" i="7"/>
  <c r="O3331" i="7" s="1"/>
  <c r="M3389" i="7"/>
  <c r="L3390" i="7"/>
  <c r="P3331" i="7" l="1"/>
  <c r="N3331" i="7"/>
  <c r="O3332" i="7" s="1"/>
  <c r="M3390" i="7"/>
  <c r="L3391" i="7"/>
  <c r="P3332" i="7" l="1"/>
  <c r="N3332" i="7"/>
  <c r="O3333" i="7" s="1"/>
  <c r="M3391" i="7"/>
  <c r="L3392" i="7"/>
  <c r="N3333" i="7" l="1"/>
  <c r="O3334" i="7" s="1"/>
  <c r="P3333" i="7"/>
  <c r="M3392" i="7"/>
  <c r="L3393" i="7"/>
  <c r="N3334" i="7" l="1"/>
  <c r="O3335" i="7" s="1"/>
  <c r="P3334" i="7"/>
  <c r="M3393" i="7"/>
  <c r="L3394" i="7"/>
  <c r="P3335" i="7" l="1"/>
  <c r="N3335" i="7"/>
  <c r="O3336" i="7" s="1"/>
  <c r="M3394" i="7"/>
  <c r="L3395" i="7"/>
  <c r="N3336" i="7" l="1"/>
  <c r="O3337" i="7" s="1"/>
  <c r="P3336" i="7"/>
  <c r="M3395" i="7"/>
  <c r="L3396" i="7"/>
  <c r="N3337" i="7" l="1"/>
  <c r="O3338" i="7" s="1"/>
  <c r="P3337" i="7"/>
  <c r="M3396" i="7"/>
  <c r="L3397" i="7"/>
  <c r="N3338" i="7" l="1"/>
  <c r="O3339" i="7" s="1"/>
  <c r="P3338" i="7"/>
  <c r="M3397" i="7"/>
  <c r="L3398" i="7"/>
  <c r="N3339" i="7" l="1"/>
  <c r="O3340" i="7" s="1"/>
  <c r="P3339" i="7"/>
  <c r="M3398" i="7"/>
  <c r="L3399" i="7"/>
  <c r="P3340" i="7" l="1"/>
  <c r="N3340" i="7"/>
  <c r="O3341" i="7" s="1"/>
  <c r="M3399" i="7"/>
  <c r="L3400" i="7"/>
  <c r="N3341" i="7" l="1"/>
  <c r="O3342" i="7" s="1"/>
  <c r="P3341" i="7"/>
  <c r="M3400" i="7"/>
  <c r="L3401" i="7"/>
  <c r="P3342" i="7" l="1"/>
  <c r="N3342" i="7"/>
  <c r="O3343" i="7" s="1"/>
  <c r="M3401" i="7"/>
  <c r="L3402" i="7"/>
  <c r="P3343" i="7" l="1"/>
  <c r="N3343" i="7"/>
  <c r="O3344" i="7" s="1"/>
  <c r="M3402" i="7"/>
  <c r="L3403" i="7"/>
  <c r="N3344" i="7" l="1"/>
  <c r="O3345" i="7" s="1"/>
  <c r="P3344" i="7"/>
  <c r="M3403" i="7"/>
  <c r="L3404" i="7"/>
  <c r="N3345" i="7" l="1"/>
  <c r="O3346" i="7" s="1"/>
  <c r="P3345" i="7"/>
  <c r="M3404" i="7"/>
  <c r="L3405" i="7"/>
  <c r="P3346" i="7" l="1"/>
  <c r="N3346" i="7"/>
  <c r="O3347" i="7" s="1"/>
  <c r="M3405" i="7"/>
  <c r="L3406" i="7"/>
  <c r="N3347" i="7" l="1"/>
  <c r="O3348" i="7" s="1"/>
  <c r="P3347" i="7"/>
  <c r="M3406" i="7"/>
  <c r="L3407" i="7"/>
  <c r="P3348" i="7" l="1"/>
  <c r="N3348" i="7"/>
  <c r="O3349" i="7" s="1"/>
  <c r="M3407" i="7"/>
  <c r="L3408" i="7"/>
  <c r="N3349" i="7" l="1"/>
  <c r="O3350" i="7" s="1"/>
  <c r="P3349" i="7"/>
  <c r="M3408" i="7"/>
  <c r="L3409" i="7"/>
  <c r="P3350" i="7" l="1"/>
  <c r="N3350" i="7"/>
  <c r="O3351" i="7" s="1"/>
  <c r="M3409" i="7"/>
  <c r="L3410" i="7"/>
  <c r="N3351" i="7" l="1"/>
  <c r="O3352" i="7" s="1"/>
  <c r="P3351" i="7"/>
  <c r="M3410" i="7"/>
  <c r="L3411" i="7"/>
  <c r="N3352" i="7" l="1"/>
  <c r="O3353" i="7" s="1"/>
  <c r="P3352" i="7"/>
  <c r="M3411" i="7"/>
  <c r="L3412" i="7"/>
  <c r="P3353" i="7" l="1"/>
  <c r="N3353" i="7"/>
  <c r="O3354" i="7" s="1"/>
  <c r="M3412" i="7"/>
  <c r="L3413" i="7"/>
  <c r="P3354" i="7" l="1"/>
  <c r="N3354" i="7"/>
  <c r="O3355" i="7" s="1"/>
  <c r="M3413" i="7"/>
  <c r="L3414" i="7"/>
  <c r="N3355" i="7" l="1"/>
  <c r="O3356" i="7" s="1"/>
  <c r="P3355" i="7"/>
  <c r="M3414" i="7"/>
  <c r="L3415" i="7"/>
  <c r="P3356" i="7" l="1"/>
  <c r="N3356" i="7"/>
  <c r="O3357" i="7" s="1"/>
  <c r="M3415" i="7"/>
  <c r="L3416" i="7"/>
  <c r="N3357" i="7" l="1"/>
  <c r="O3358" i="7" s="1"/>
  <c r="P3357" i="7"/>
  <c r="M3416" i="7"/>
  <c r="L3417" i="7"/>
  <c r="P3358" i="7" l="1"/>
  <c r="N3358" i="7"/>
  <c r="O3359" i="7" s="1"/>
  <c r="M3417" i="7"/>
  <c r="L3418" i="7"/>
  <c r="N3359" i="7" l="1"/>
  <c r="O3360" i="7" s="1"/>
  <c r="P3359" i="7"/>
  <c r="M3418" i="7"/>
  <c r="L3419" i="7"/>
  <c r="N3360" i="7" l="1"/>
  <c r="O3361" i="7" s="1"/>
  <c r="P3360" i="7"/>
  <c r="M3419" i="7"/>
  <c r="L3420" i="7"/>
  <c r="N3361" i="7" l="1"/>
  <c r="O3362" i="7" s="1"/>
  <c r="P3361" i="7"/>
  <c r="M3420" i="7"/>
  <c r="L3421" i="7"/>
  <c r="N3362" i="7" l="1"/>
  <c r="O3363" i="7" s="1"/>
  <c r="P3362" i="7"/>
  <c r="M3421" i="7"/>
  <c r="L3422" i="7"/>
  <c r="P3363" i="7" l="1"/>
  <c r="N3363" i="7"/>
  <c r="O3364" i="7" s="1"/>
  <c r="M3422" i="7"/>
  <c r="L3423" i="7"/>
  <c r="N3364" i="7" l="1"/>
  <c r="O3365" i="7" s="1"/>
  <c r="P3364" i="7"/>
  <c r="M3423" i="7"/>
  <c r="L3424" i="7"/>
  <c r="P3365" i="7" l="1"/>
  <c r="N3365" i="7"/>
  <c r="O3366" i="7" s="1"/>
  <c r="M3424" i="7"/>
  <c r="L3425" i="7"/>
  <c r="N3366" i="7" l="1"/>
  <c r="O3367" i="7" s="1"/>
  <c r="P3366" i="7"/>
  <c r="M3425" i="7"/>
  <c r="L3426" i="7"/>
  <c r="P3367" i="7" l="1"/>
  <c r="N3367" i="7"/>
  <c r="O3368" i="7" s="1"/>
  <c r="M3426" i="7"/>
  <c r="L3427" i="7"/>
  <c r="P3368" i="7" l="1"/>
  <c r="N3368" i="7"/>
  <c r="O3369" i="7" s="1"/>
  <c r="M3427" i="7"/>
  <c r="L3428" i="7"/>
  <c r="N3369" i="7" l="1"/>
  <c r="O3370" i="7" s="1"/>
  <c r="P3369" i="7"/>
  <c r="M3428" i="7"/>
  <c r="L3429" i="7"/>
  <c r="N3370" i="7" l="1"/>
  <c r="O3371" i="7" s="1"/>
  <c r="P3370" i="7"/>
  <c r="M3429" i="7"/>
  <c r="L3430" i="7"/>
  <c r="P3371" i="7" l="1"/>
  <c r="N3371" i="7"/>
  <c r="O3372" i="7" s="1"/>
  <c r="M3430" i="7"/>
  <c r="L3431" i="7"/>
  <c r="N3372" i="7" l="1"/>
  <c r="O3373" i="7" s="1"/>
  <c r="P3372" i="7"/>
  <c r="M3431" i="7"/>
  <c r="L3432" i="7"/>
  <c r="N3373" i="7" l="1"/>
  <c r="O3374" i="7" s="1"/>
  <c r="P3373" i="7"/>
  <c r="M3432" i="7"/>
  <c r="L3433" i="7"/>
  <c r="P3374" i="7" l="1"/>
  <c r="N3374" i="7"/>
  <c r="O3375" i="7" s="1"/>
  <c r="M3433" i="7"/>
  <c r="L3434" i="7"/>
  <c r="N3375" i="7" l="1"/>
  <c r="O3376" i="7" s="1"/>
  <c r="P3375" i="7"/>
  <c r="M3434" i="7"/>
  <c r="L3435" i="7"/>
  <c r="N3376" i="7" l="1"/>
  <c r="O3377" i="7" s="1"/>
  <c r="P3376" i="7"/>
  <c r="M3435" i="7"/>
  <c r="L3436" i="7"/>
  <c r="P3377" i="7" l="1"/>
  <c r="N3377" i="7"/>
  <c r="O3378" i="7" s="1"/>
  <c r="M3436" i="7"/>
  <c r="L3437" i="7"/>
  <c r="P3378" i="7" l="1"/>
  <c r="N3378" i="7"/>
  <c r="O3379" i="7" s="1"/>
  <c r="M3437" i="7"/>
  <c r="L3438" i="7"/>
  <c r="P3379" i="7" l="1"/>
  <c r="N3379" i="7"/>
  <c r="O3380" i="7" s="1"/>
  <c r="M3438" i="7"/>
  <c r="L3439" i="7"/>
  <c r="P3380" i="7" l="1"/>
  <c r="N3380" i="7"/>
  <c r="O3381" i="7" s="1"/>
  <c r="M3439" i="7"/>
  <c r="L3440" i="7"/>
  <c r="N3381" i="7" l="1"/>
  <c r="O3382" i="7" s="1"/>
  <c r="P3381" i="7"/>
  <c r="M3440" i="7"/>
  <c r="L3441" i="7"/>
  <c r="N3382" i="7" l="1"/>
  <c r="O3383" i="7" s="1"/>
  <c r="P3382" i="7"/>
  <c r="M3441" i="7"/>
  <c r="L3442" i="7"/>
  <c r="N3383" i="7" l="1"/>
  <c r="O3384" i="7" s="1"/>
  <c r="P3383" i="7"/>
  <c r="M3442" i="7"/>
  <c r="L3443" i="7"/>
  <c r="N3384" i="7" l="1"/>
  <c r="O3385" i="7" s="1"/>
  <c r="P3384" i="7"/>
  <c r="M3443" i="7"/>
  <c r="L3444" i="7"/>
  <c r="P3385" i="7" l="1"/>
  <c r="N3385" i="7"/>
  <c r="O3386" i="7" s="1"/>
  <c r="M3444" i="7"/>
  <c r="L3445" i="7"/>
  <c r="N3386" i="7" l="1"/>
  <c r="O3387" i="7" s="1"/>
  <c r="P3386" i="7"/>
  <c r="M3445" i="7"/>
  <c r="L3446" i="7"/>
  <c r="N3387" i="7" l="1"/>
  <c r="O3388" i="7" s="1"/>
  <c r="P3387" i="7"/>
  <c r="M3446" i="7"/>
  <c r="L3447" i="7"/>
  <c r="P3388" i="7" l="1"/>
  <c r="N3388" i="7"/>
  <c r="O3389" i="7" s="1"/>
  <c r="M3447" i="7"/>
  <c r="L3448" i="7"/>
  <c r="N3389" i="7" l="1"/>
  <c r="O3390" i="7" s="1"/>
  <c r="P3389" i="7"/>
  <c r="M3448" i="7"/>
  <c r="L3449" i="7"/>
  <c r="N3390" i="7" l="1"/>
  <c r="O3391" i="7" s="1"/>
  <c r="P3390" i="7"/>
  <c r="M3449" i="7"/>
  <c r="L3450" i="7"/>
  <c r="P3391" i="7" l="1"/>
  <c r="N3391" i="7"/>
  <c r="O3392" i="7" s="1"/>
  <c r="M3450" i="7"/>
  <c r="L3451" i="7"/>
  <c r="P3392" i="7" l="1"/>
  <c r="N3392" i="7"/>
  <c r="O3393" i="7" s="1"/>
  <c r="L3452" i="7"/>
  <c r="M3451" i="7"/>
  <c r="N3393" i="7" l="1"/>
  <c r="O3394" i="7" s="1"/>
  <c r="P3393" i="7"/>
  <c r="M3452" i="7"/>
  <c r="L3453" i="7"/>
  <c r="P3394" i="7" l="1"/>
  <c r="N3394" i="7"/>
  <c r="O3395" i="7" s="1"/>
  <c r="M3453" i="7"/>
  <c r="L3454" i="7"/>
  <c r="N3395" i="7" l="1"/>
  <c r="O3396" i="7" s="1"/>
  <c r="P3395" i="7"/>
  <c r="M3454" i="7"/>
  <c r="L3455" i="7"/>
  <c r="P3396" i="7" l="1"/>
  <c r="N3396" i="7"/>
  <c r="O3397" i="7" s="1"/>
  <c r="M3455" i="7"/>
  <c r="L3456" i="7"/>
  <c r="N3397" i="7" l="1"/>
  <c r="O3398" i="7" s="1"/>
  <c r="P3397" i="7"/>
  <c r="M3456" i="7"/>
  <c r="L3457" i="7"/>
  <c r="N3398" i="7" l="1"/>
  <c r="O3399" i="7" s="1"/>
  <c r="P3398" i="7"/>
  <c r="M3457" i="7"/>
  <c r="L3458" i="7"/>
  <c r="P3399" i="7" l="1"/>
  <c r="N3399" i="7"/>
  <c r="O3400" i="7" s="1"/>
  <c r="M3458" i="7"/>
  <c r="L3459" i="7"/>
  <c r="N3400" i="7" l="1"/>
  <c r="O3401" i="7" s="1"/>
  <c r="P3400" i="7"/>
  <c r="M3459" i="7"/>
  <c r="L3460" i="7"/>
  <c r="P3401" i="7" l="1"/>
  <c r="N3401" i="7"/>
  <c r="O3402" i="7" s="1"/>
  <c r="M3460" i="7"/>
  <c r="L3461" i="7"/>
  <c r="P3402" i="7" l="1"/>
  <c r="N3402" i="7"/>
  <c r="O3403" i="7" s="1"/>
  <c r="M3461" i="7"/>
  <c r="L3462" i="7"/>
  <c r="P3403" i="7" l="1"/>
  <c r="N3403" i="7"/>
  <c r="O3404" i="7" s="1"/>
  <c r="M3462" i="7"/>
  <c r="L3463" i="7"/>
  <c r="N3404" i="7" l="1"/>
  <c r="O3405" i="7" s="1"/>
  <c r="P3404" i="7"/>
  <c r="M3463" i="7"/>
  <c r="L3464" i="7"/>
  <c r="P3405" i="7" l="1"/>
  <c r="N3405" i="7"/>
  <c r="O3406" i="7" s="1"/>
  <c r="M3464" i="7"/>
  <c r="L3465" i="7"/>
  <c r="N3406" i="7" l="1"/>
  <c r="O3407" i="7" s="1"/>
  <c r="P3406" i="7"/>
  <c r="M3465" i="7"/>
  <c r="L3466" i="7"/>
  <c r="N3407" i="7" l="1"/>
  <c r="O3408" i="7" s="1"/>
  <c r="P3407" i="7"/>
  <c r="M3466" i="7"/>
  <c r="L3467" i="7"/>
  <c r="P3408" i="7" l="1"/>
  <c r="N3408" i="7"/>
  <c r="O3409" i="7" s="1"/>
  <c r="M3467" i="7"/>
  <c r="L3468" i="7"/>
  <c r="P3409" i="7" l="1"/>
  <c r="N3409" i="7"/>
  <c r="O3410" i="7" s="1"/>
  <c r="M3468" i="7"/>
  <c r="L3469" i="7"/>
  <c r="N3410" i="7" l="1"/>
  <c r="O3411" i="7" s="1"/>
  <c r="P3410" i="7"/>
  <c r="M3469" i="7"/>
  <c r="L3470" i="7"/>
  <c r="P3411" i="7" l="1"/>
  <c r="N3411" i="7"/>
  <c r="O3412" i="7" s="1"/>
  <c r="M3470" i="7"/>
  <c r="L3471" i="7"/>
  <c r="P3412" i="7" l="1"/>
  <c r="N3412" i="7"/>
  <c r="O3413" i="7" s="1"/>
  <c r="M3471" i="7"/>
  <c r="L3472" i="7"/>
  <c r="P3413" i="7" l="1"/>
  <c r="N3413" i="7"/>
  <c r="O3414" i="7" s="1"/>
  <c r="M3472" i="7"/>
  <c r="L3473" i="7"/>
  <c r="N3414" i="7" l="1"/>
  <c r="O3415" i="7" s="1"/>
  <c r="P3414" i="7"/>
  <c r="M3473" i="7"/>
  <c r="L3474" i="7"/>
  <c r="N3415" i="7" l="1"/>
  <c r="O3416" i="7" s="1"/>
  <c r="P3415" i="7"/>
  <c r="M3474" i="7"/>
  <c r="L3475" i="7"/>
  <c r="N3416" i="7" l="1"/>
  <c r="O3417" i="7" s="1"/>
  <c r="P3416" i="7"/>
  <c r="M3475" i="7"/>
  <c r="L3476" i="7"/>
  <c r="N3417" i="7" l="1"/>
  <c r="O3418" i="7" s="1"/>
  <c r="P3417" i="7"/>
  <c r="M3476" i="7"/>
  <c r="L3477" i="7"/>
  <c r="P3418" i="7" l="1"/>
  <c r="N3418" i="7"/>
  <c r="O3419" i="7" s="1"/>
  <c r="M3477" i="7"/>
  <c r="L3478" i="7"/>
  <c r="P3419" i="7" l="1"/>
  <c r="N3419" i="7"/>
  <c r="O3420" i="7" s="1"/>
  <c r="M3478" i="7"/>
  <c r="L3479" i="7"/>
  <c r="P3420" i="7" l="1"/>
  <c r="N3420" i="7"/>
  <c r="O3421" i="7" s="1"/>
  <c r="M3479" i="7"/>
  <c r="L3480" i="7"/>
  <c r="P3421" i="7" l="1"/>
  <c r="N3421" i="7"/>
  <c r="O3422" i="7" s="1"/>
  <c r="M3480" i="7"/>
  <c r="L3481" i="7"/>
  <c r="P3422" i="7" l="1"/>
  <c r="N3422" i="7"/>
  <c r="O3423" i="7" s="1"/>
  <c r="M3481" i="7"/>
  <c r="L3482" i="7"/>
  <c r="P3423" i="7" l="1"/>
  <c r="N3423" i="7"/>
  <c r="O3424" i="7" s="1"/>
  <c r="M3482" i="7"/>
  <c r="L3483" i="7"/>
  <c r="P3424" i="7" l="1"/>
  <c r="N3424" i="7"/>
  <c r="O3425" i="7" s="1"/>
  <c r="M3483" i="7"/>
  <c r="L3484" i="7"/>
  <c r="P3425" i="7" l="1"/>
  <c r="N3425" i="7"/>
  <c r="O3426" i="7" s="1"/>
  <c r="M3484" i="7"/>
  <c r="L3485" i="7"/>
  <c r="P3426" i="7" l="1"/>
  <c r="N3426" i="7"/>
  <c r="O3427" i="7" s="1"/>
  <c r="M3485" i="7"/>
  <c r="L3486" i="7"/>
  <c r="P3427" i="7" l="1"/>
  <c r="N3427" i="7"/>
  <c r="O3428" i="7" s="1"/>
  <c r="M3486" i="7"/>
  <c r="L3487" i="7"/>
  <c r="P3428" i="7" l="1"/>
  <c r="N3428" i="7"/>
  <c r="O3429" i="7" s="1"/>
  <c r="M3487" i="7"/>
  <c r="L3488" i="7"/>
  <c r="P3429" i="7" l="1"/>
  <c r="N3429" i="7"/>
  <c r="O3430" i="7" s="1"/>
  <c r="M3488" i="7"/>
  <c r="L3489" i="7"/>
  <c r="P3430" i="7" l="1"/>
  <c r="N3430" i="7"/>
  <c r="O3431" i="7" s="1"/>
  <c r="M3489" i="7"/>
  <c r="L3490" i="7"/>
  <c r="N3431" i="7" l="1"/>
  <c r="O3432" i="7" s="1"/>
  <c r="P3431" i="7"/>
  <c r="M3490" i="7"/>
  <c r="L3491" i="7"/>
  <c r="N3432" i="7" l="1"/>
  <c r="O3433" i="7" s="1"/>
  <c r="P3432" i="7"/>
  <c r="M3491" i="7"/>
  <c r="L3492" i="7"/>
  <c r="N3433" i="7" l="1"/>
  <c r="O3434" i="7" s="1"/>
  <c r="P3433" i="7"/>
  <c r="M3492" i="7"/>
  <c r="L3493" i="7"/>
  <c r="P3434" i="7" l="1"/>
  <c r="N3434" i="7"/>
  <c r="O3435" i="7" s="1"/>
  <c r="M3493" i="7"/>
  <c r="L3494" i="7"/>
  <c r="N3435" i="7" l="1"/>
  <c r="O3436" i="7" s="1"/>
  <c r="P3435" i="7"/>
  <c r="M3494" i="7"/>
  <c r="L3495" i="7"/>
  <c r="P3436" i="7" l="1"/>
  <c r="N3436" i="7"/>
  <c r="O3437" i="7" s="1"/>
  <c r="M3495" i="7"/>
  <c r="L3496" i="7"/>
  <c r="N3437" i="7" l="1"/>
  <c r="O3438" i="7" s="1"/>
  <c r="P3437" i="7"/>
  <c r="M3496" i="7"/>
  <c r="L3497" i="7"/>
  <c r="N3438" i="7" l="1"/>
  <c r="O3439" i="7" s="1"/>
  <c r="P3438" i="7"/>
  <c r="M3497" i="7"/>
  <c r="L3498" i="7"/>
  <c r="P3439" i="7" l="1"/>
  <c r="N3439" i="7"/>
  <c r="O3440" i="7" s="1"/>
  <c r="M3498" i="7"/>
  <c r="L3499" i="7"/>
  <c r="N3440" i="7" l="1"/>
  <c r="O3441" i="7" s="1"/>
  <c r="P3440" i="7"/>
  <c r="M3499" i="7"/>
  <c r="L3500" i="7"/>
  <c r="N3441" i="7" l="1"/>
  <c r="O3442" i="7" s="1"/>
  <c r="P3441" i="7"/>
  <c r="M3500" i="7"/>
  <c r="L3501" i="7"/>
  <c r="P3442" i="7" l="1"/>
  <c r="N3442" i="7"/>
  <c r="O3443" i="7" s="1"/>
  <c r="M3501" i="7"/>
  <c r="L3502" i="7"/>
  <c r="P3443" i="7" l="1"/>
  <c r="N3443" i="7"/>
  <c r="O3444" i="7" s="1"/>
  <c r="M3502" i="7"/>
  <c r="L3503" i="7"/>
  <c r="P3444" i="7" l="1"/>
  <c r="N3444" i="7"/>
  <c r="O3445" i="7" s="1"/>
  <c r="M3503" i="7"/>
  <c r="L3504" i="7"/>
  <c r="P3445" i="7" l="1"/>
  <c r="N3445" i="7"/>
  <c r="O3446" i="7" s="1"/>
  <c r="M3504" i="7"/>
  <c r="L3505" i="7"/>
  <c r="P3446" i="7" l="1"/>
  <c r="N3446" i="7"/>
  <c r="O3447" i="7" s="1"/>
  <c r="M3505" i="7"/>
  <c r="L3506" i="7"/>
  <c r="P3447" i="7" l="1"/>
  <c r="N3447" i="7"/>
  <c r="O3448" i="7" s="1"/>
  <c r="M3506" i="7"/>
  <c r="L3507" i="7"/>
  <c r="N3448" i="7" l="1"/>
  <c r="O3449" i="7" s="1"/>
  <c r="P3448" i="7"/>
  <c r="M3507" i="7"/>
  <c r="L3508" i="7"/>
  <c r="N3449" i="7" l="1"/>
  <c r="O3450" i="7" s="1"/>
  <c r="P3449" i="7"/>
  <c r="M3508" i="7"/>
  <c r="L3509" i="7"/>
  <c r="N3450" i="7" l="1"/>
  <c r="O3451" i="7" s="1"/>
  <c r="P3450" i="7"/>
  <c r="M3509" i="7"/>
  <c r="L3510" i="7"/>
  <c r="P3451" i="7" l="1"/>
  <c r="N3451" i="7"/>
  <c r="O3452" i="7" s="1"/>
  <c r="M3510" i="7"/>
  <c r="L3511" i="7"/>
  <c r="N3452" i="7" l="1"/>
  <c r="O3453" i="7" s="1"/>
  <c r="P3452" i="7"/>
  <c r="M3511" i="7"/>
  <c r="L3512" i="7"/>
  <c r="P3453" i="7" l="1"/>
  <c r="N3453" i="7"/>
  <c r="O3454" i="7" s="1"/>
  <c r="M3512" i="7"/>
  <c r="L3513" i="7"/>
  <c r="P3454" i="7" l="1"/>
  <c r="N3454" i="7"/>
  <c r="O3455" i="7" s="1"/>
  <c r="M3513" i="7"/>
  <c r="L3514" i="7"/>
  <c r="N3455" i="7" l="1"/>
  <c r="O3456" i="7" s="1"/>
  <c r="P3455" i="7"/>
  <c r="M3514" i="7"/>
  <c r="L3515" i="7"/>
  <c r="N3456" i="7" l="1"/>
  <c r="O3457" i="7" s="1"/>
  <c r="P3456" i="7"/>
  <c r="M3515" i="7"/>
  <c r="L3516" i="7"/>
  <c r="N3457" i="7" l="1"/>
  <c r="O3458" i="7" s="1"/>
  <c r="P3457" i="7"/>
  <c r="M3516" i="7"/>
  <c r="L3517" i="7"/>
  <c r="N3458" i="7" l="1"/>
  <c r="O3459" i="7" s="1"/>
  <c r="P3458" i="7"/>
  <c r="M3517" i="7"/>
  <c r="L3518" i="7"/>
  <c r="N3459" i="7" l="1"/>
  <c r="O3460" i="7" s="1"/>
  <c r="P3459" i="7"/>
  <c r="M3518" i="7"/>
  <c r="L3519" i="7"/>
  <c r="N3460" i="7" l="1"/>
  <c r="O3461" i="7" s="1"/>
  <c r="P3460" i="7"/>
  <c r="M3519" i="7"/>
  <c r="L3520" i="7"/>
  <c r="N3461" i="7" l="1"/>
  <c r="O3462" i="7" s="1"/>
  <c r="P3461" i="7"/>
  <c r="M3520" i="7"/>
  <c r="L3521" i="7"/>
  <c r="N3462" i="7" l="1"/>
  <c r="O3463" i="7" s="1"/>
  <c r="P3462" i="7"/>
  <c r="M3521" i="7"/>
  <c r="L3522" i="7"/>
  <c r="N3463" i="7" l="1"/>
  <c r="O3464" i="7" s="1"/>
  <c r="P3463" i="7"/>
  <c r="M3522" i="7"/>
  <c r="L3523" i="7"/>
  <c r="N3464" i="7" l="1"/>
  <c r="O3465" i="7" s="1"/>
  <c r="P3464" i="7"/>
  <c r="M3523" i="7"/>
  <c r="L3524" i="7"/>
  <c r="N3465" i="7" l="1"/>
  <c r="O3466" i="7" s="1"/>
  <c r="P3465" i="7"/>
  <c r="M3524" i="7"/>
  <c r="L3525" i="7"/>
  <c r="N3466" i="7" l="1"/>
  <c r="O3467" i="7" s="1"/>
  <c r="P3466" i="7"/>
  <c r="M3525" i="7"/>
  <c r="L3526" i="7"/>
  <c r="P3467" i="7" l="1"/>
  <c r="N3467" i="7"/>
  <c r="O3468" i="7" s="1"/>
  <c r="M3526" i="7"/>
  <c r="L3527" i="7"/>
  <c r="P3468" i="7" l="1"/>
  <c r="N3468" i="7"/>
  <c r="O3469" i="7" s="1"/>
  <c r="M3527" i="7"/>
  <c r="L3528" i="7"/>
  <c r="N3469" i="7" l="1"/>
  <c r="O3470" i="7" s="1"/>
  <c r="P3469" i="7"/>
  <c r="M3528" i="7"/>
  <c r="L3529" i="7"/>
  <c r="P3470" i="7" l="1"/>
  <c r="N3470" i="7"/>
  <c r="O3471" i="7" s="1"/>
  <c r="M3529" i="7"/>
  <c r="L3530" i="7"/>
  <c r="N3471" i="7" l="1"/>
  <c r="O3472" i="7" s="1"/>
  <c r="P3471" i="7"/>
  <c r="M3530" i="7"/>
  <c r="L3531" i="7"/>
  <c r="P3472" i="7" l="1"/>
  <c r="N3472" i="7"/>
  <c r="O3473" i="7" s="1"/>
  <c r="M3531" i="7"/>
  <c r="L3532" i="7"/>
  <c r="N3473" i="7" l="1"/>
  <c r="O3474" i="7" s="1"/>
  <c r="P3473" i="7"/>
  <c r="M3532" i="7"/>
  <c r="L3533" i="7"/>
  <c r="P3474" i="7" l="1"/>
  <c r="N3474" i="7"/>
  <c r="O3475" i="7" s="1"/>
  <c r="M3533" i="7"/>
  <c r="L3534" i="7"/>
  <c r="P3475" i="7" l="1"/>
  <c r="N3475" i="7"/>
  <c r="O3476" i="7" s="1"/>
  <c r="M3534" i="7"/>
  <c r="L3535" i="7"/>
  <c r="N3476" i="7" l="1"/>
  <c r="O3477" i="7" s="1"/>
  <c r="P3476" i="7"/>
  <c r="M3535" i="7"/>
  <c r="L3536" i="7"/>
  <c r="N3477" i="7" l="1"/>
  <c r="O3478" i="7" s="1"/>
  <c r="P3477" i="7"/>
  <c r="M3536" i="7"/>
  <c r="L3537" i="7"/>
  <c r="N3478" i="7" l="1"/>
  <c r="O3479" i="7" s="1"/>
  <c r="P3478" i="7"/>
  <c r="M3537" i="7"/>
  <c r="L3538" i="7"/>
  <c r="P3479" i="7" l="1"/>
  <c r="N3479" i="7"/>
  <c r="O3480" i="7" s="1"/>
  <c r="M3538" i="7"/>
  <c r="L3539" i="7"/>
  <c r="P3480" i="7" l="1"/>
  <c r="N3480" i="7"/>
  <c r="O3481" i="7" s="1"/>
  <c r="M3539" i="7"/>
  <c r="L3540" i="7"/>
  <c r="P3481" i="7" l="1"/>
  <c r="N3481" i="7"/>
  <c r="O3482" i="7" s="1"/>
  <c r="M3540" i="7"/>
  <c r="L3541" i="7"/>
  <c r="N3482" i="7" l="1"/>
  <c r="O3483" i="7" s="1"/>
  <c r="P3482" i="7"/>
  <c r="M3541" i="7"/>
  <c r="L3542" i="7"/>
  <c r="N3483" i="7" l="1"/>
  <c r="O3484" i="7" s="1"/>
  <c r="P3483" i="7"/>
  <c r="M3542" i="7"/>
  <c r="L3543" i="7"/>
  <c r="N3484" i="7" l="1"/>
  <c r="O3485" i="7" s="1"/>
  <c r="P3484" i="7"/>
  <c r="M3543" i="7"/>
  <c r="L3544" i="7"/>
  <c r="P3485" i="7" l="1"/>
  <c r="N3485" i="7"/>
  <c r="O3486" i="7" s="1"/>
  <c r="M3544" i="7"/>
  <c r="L3545" i="7"/>
  <c r="N3486" i="7" l="1"/>
  <c r="O3487" i="7" s="1"/>
  <c r="P3486" i="7"/>
  <c r="M3545" i="7"/>
  <c r="L3546" i="7"/>
  <c r="P3487" i="7" l="1"/>
  <c r="N3487" i="7"/>
  <c r="O3488" i="7" s="1"/>
  <c r="M3546" i="7"/>
  <c r="L3547" i="7"/>
  <c r="P3488" i="7" l="1"/>
  <c r="N3488" i="7"/>
  <c r="O3489" i="7" s="1"/>
  <c r="M3547" i="7"/>
  <c r="L3548" i="7"/>
  <c r="N3489" i="7" l="1"/>
  <c r="O3490" i="7" s="1"/>
  <c r="P3489" i="7"/>
  <c r="M3548" i="7"/>
  <c r="L3549" i="7"/>
  <c r="N3490" i="7" l="1"/>
  <c r="O3491" i="7" s="1"/>
  <c r="P3490" i="7"/>
  <c r="M3549" i="7"/>
  <c r="L3550" i="7"/>
  <c r="N3491" i="7" l="1"/>
  <c r="O3492" i="7" s="1"/>
  <c r="P3491" i="7"/>
  <c r="M3550" i="7"/>
  <c r="L3551" i="7"/>
  <c r="P3492" i="7" l="1"/>
  <c r="N3492" i="7"/>
  <c r="O3493" i="7" s="1"/>
  <c r="M3551" i="7"/>
  <c r="L3552" i="7"/>
  <c r="N3493" i="7" l="1"/>
  <c r="O3494" i="7" s="1"/>
  <c r="P3493" i="7"/>
  <c r="M3552" i="7"/>
  <c r="L3553" i="7"/>
  <c r="N3494" i="7" l="1"/>
  <c r="O3495" i="7" s="1"/>
  <c r="P3494" i="7"/>
  <c r="M3553" i="7"/>
  <c r="L3554" i="7"/>
  <c r="N3495" i="7" l="1"/>
  <c r="O3496" i="7" s="1"/>
  <c r="P3495" i="7"/>
  <c r="M3554" i="7"/>
  <c r="L3555" i="7"/>
  <c r="P3496" i="7" l="1"/>
  <c r="N3496" i="7"/>
  <c r="O3497" i="7" s="1"/>
  <c r="M3555" i="7"/>
  <c r="L3556" i="7"/>
  <c r="P3497" i="7" l="1"/>
  <c r="N3497" i="7"/>
  <c r="O3498" i="7" s="1"/>
  <c r="M3556" i="7"/>
  <c r="L3557" i="7"/>
  <c r="P3498" i="7" l="1"/>
  <c r="N3498" i="7"/>
  <c r="O3499" i="7" s="1"/>
  <c r="M3557" i="7"/>
  <c r="L3558" i="7"/>
  <c r="P3499" i="7" l="1"/>
  <c r="N3499" i="7"/>
  <c r="O3500" i="7" s="1"/>
  <c r="M3558" i="7"/>
  <c r="L3559" i="7"/>
  <c r="P3500" i="7" l="1"/>
  <c r="N3500" i="7"/>
  <c r="O3501" i="7" s="1"/>
  <c r="M3559" i="7"/>
  <c r="L3560" i="7"/>
  <c r="N3501" i="7" l="1"/>
  <c r="O3502" i="7" s="1"/>
  <c r="P3501" i="7"/>
  <c r="M3560" i="7"/>
  <c r="L3561" i="7"/>
  <c r="P3502" i="7" l="1"/>
  <c r="N3502" i="7"/>
  <c r="O3503" i="7" s="1"/>
  <c r="M3561" i="7"/>
  <c r="L3562" i="7"/>
  <c r="P3503" i="7" l="1"/>
  <c r="N3503" i="7"/>
  <c r="O3504" i="7" s="1"/>
  <c r="M3562" i="7"/>
  <c r="L3563" i="7"/>
  <c r="P3504" i="7" l="1"/>
  <c r="N3504" i="7"/>
  <c r="O3505" i="7" s="1"/>
  <c r="M3563" i="7"/>
  <c r="L3564" i="7"/>
  <c r="P3505" i="7" l="1"/>
  <c r="N3505" i="7"/>
  <c r="O3506" i="7" s="1"/>
  <c r="M3564" i="7"/>
  <c r="L3565" i="7"/>
  <c r="N3506" i="7" l="1"/>
  <c r="O3507" i="7" s="1"/>
  <c r="P3506" i="7"/>
  <c r="M3565" i="7"/>
  <c r="L3566" i="7"/>
  <c r="N3507" i="7" l="1"/>
  <c r="O3508" i="7" s="1"/>
  <c r="P3507" i="7"/>
  <c r="M3566" i="7"/>
  <c r="L3567" i="7"/>
  <c r="P3508" i="7" l="1"/>
  <c r="N3508" i="7"/>
  <c r="O3509" i="7" s="1"/>
  <c r="M3567" i="7"/>
  <c r="L3568" i="7"/>
  <c r="N3509" i="7" l="1"/>
  <c r="O3510" i="7" s="1"/>
  <c r="P3509" i="7"/>
  <c r="M3568" i="7"/>
  <c r="L3569" i="7"/>
  <c r="N3510" i="7" l="1"/>
  <c r="O3511" i="7" s="1"/>
  <c r="P3510" i="7"/>
  <c r="M3569" i="7"/>
  <c r="L3570" i="7"/>
  <c r="N3511" i="7" l="1"/>
  <c r="O3512" i="7" s="1"/>
  <c r="P3511" i="7"/>
  <c r="M3570" i="7"/>
  <c r="L3571" i="7"/>
  <c r="P3512" i="7" l="1"/>
  <c r="N3512" i="7"/>
  <c r="O3513" i="7" s="1"/>
  <c r="M3571" i="7"/>
  <c r="L3572" i="7"/>
  <c r="P3513" i="7" l="1"/>
  <c r="N3513" i="7"/>
  <c r="O3514" i="7" s="1"/>
  <c r="M3572" i="7"/>
  <c r="L3573" i="7"/>
  <c r="N3514" i="7" l="1"/>
  <c r="O3515" i="7" s="1"/>
  <c r="P3514" i="7"/>
  <c r="M3573" i="7"/>
  <c r="L3574" i="7"/>
  <c r="P3515" i="7" l="1"/>
  <c r="N3515" i="7"/>
  <c r="O3516" i="7" s="1"/>
  <c r="M3574" i="7"/>
  <c r="L3575" i="7"/>
  <c r="P3516" i="7" l="1"/>
  <c r="N3516" i="7"/>
  <c r="O3517" i="7" s="1"/>
  <c r="M3575" i="7"/>
  <c r="L3576" i="7"/>
  <c r="P3517" i="7" l="1"/>
  <c r="N3517" i="7"/>
  <c r="O3518" i="7" s="1"/>
  <c r="M3576" i="7"/>
  <c r="L3577" i="7"/>
  <c r="P3518" i="7" l="1"/>
  <c r="N3518" i="7"/>
  <c r="O3519" i="7" s="1"/>
  <c r="M3577" i="7"/>
  <c r="L3578" i="7"/>
  <c r="N3519" i="7" l="1"/>
  <c r="O3520" i="7" s="1"/>
  <c r="P3519" i="7"/>
  <c r="M3578" i="7"/>
  <c r="L3579" i="7"/>
  <c r="P3520" i="7" l="1"/>
  <c r="N3520" i="7"/>
  <c r="O3521" i="7" s="1"/>
  <c r="M3579" i="7"/>
  <c r="L3580" i="7"/>
  <c r="N3521" i="7" l="1"/>
  <c r="O3522" i="7" s="1"/>
  <c r="P3521" i="7"/>
  <c r="M3580" i="7"/>
  <c r="L3581" i="7"/>
  <c r="P3522" i="7" l="1"/>
  <c r="N3522" i="7"/>
  <c r="O3523" i="7" s="1"/>
  <c r="M3581" i="7"/>
  <c r="L3582" i="7"/>
  <c r="P3523" i="7" l="1"/>
  <c r="N3523" i="7"/>
  <c r="O3524" i="7" s="1"/>
  <c r="M3582" i="7"/>
  <c r="L3583" i="7"/>
  <c r="N3524" i="7" l="1"/>
  <c r="O3525" i="7" s="1"/>
  <c r="P3524" i="7"/>
  <c r="M3583" i="7"/>
  <c r="L3584" i="7"/>
  <c r="P3525" i="7" l="1"/>
  <c r="N3525" i="7"/>
  <c r="O3526" i="7" s="1"/>
  <c r="M3584" i="7"/>
  <c r="L3585" i="7"/>
  <c r="N3526" i="7" l="1"/>
  <c r="O3527" i="7" s="1"/>
  <c r="P3526" i="7"/>
  <c r="M3585" i="7"/>
  <c r="L3586" i="7"/>
  <c r="P3527" i="7" l="1"/>
  <c r="N3527" i="7"/>
  <c r="O3528" i="7" s="1"/>
  <c r="M3586" i="7"/>
  <c r="L3587" i="7"/>
  <c r="P3528" i="7" l="1"/>
  <c r="N3528" i="7"/>
  <c r="O3529" i="7" s="1"/>
  <c r="M3587" i="7"/>
  <c r="L3588" i="7"/>
  <c r="N3529" i="7" l="1"/>
  <c r="O3530" i="7" s="1"/>
  <c r="P3529" i="7"/>
  <c r="M3588" i="7"/>
  <c r="L3589" i="7"/>
  <c r="P3530" i="7" l="1"/>
  <c r="N3530" i="7"/>
  <c r="O3531" i="7" s="1"/>
  <c r="M3589" i="7"/>
  <c r="L3590" i="7"/>
  <c r="P3531" i="7" l="1"/>
  <c r="N3531" i="7"/>
  <c r="O3532" i="7" s="1"/>
  <c r="M3590" i="7"/>
  <c r="L3591" i="7"/>
  <c r="N3532" i="7" l="1"/>
  <c r="O3533" i="7" s="1"/>
  <c r="P3532" i="7"/>
  <c r="M3591" i="7"/>
  <c r="L3592" i="7"/>
  <c r="P3533" i="7" l="1"/>
  <c r="N3533" i="7"/>
  <c r="O3534" i="7" s="1"/>
  <c r="M3592" i="7"/>
  <c r="L3593" i="7"/>
  <c r="P3534" i="7" l="1"/>
  <c r="N3534" i="7"/>
  <c r="O3535" i="7" s="1"/>
  <c r="M3593" i="7"/>
  <c r="L3594" i="7"/>
  <c r="P3535" i="7" l="1"/>
  <c r="N3535" i="7"/>
  <c r="O3536" i="7" s="1"/>
  <c r="M3594" i="7"/>
  <c r="L3595" i="7"/>
  <c r="N3536" i="7" l="1"/>
  <c r="O3537" i="7" s="1"/>
  <c r="P3536" i="7"/>
  <c r="M3595" i="7"/>
  <c r="L3596" i="7"/>
  <c r="N3537" i="7" l="1"/>
  <c r="O3538" i="7" s="1"/>
  <c r="P3537" i="7"/>
  <c r="M3596" i="7"/>
  <c r="L3597" i="7"/>
  <c r="P3538" i="7" l="1"/>
  <c r="N3538" i="7"/>
  <c r="O3539" i="7" s="1"/>
  <c r="M3597" i="7"/>
  <c r="L3598" i="7"/>
  <c r="P3539" i="7" l="1"/>
  <c r="N3539" i="7"/>
  <c r="O3540" i="7" s="1"/>
  <c r="M3598" i="7"/>
  <c r="L3599" i="7"/>
  <c r="P3540" i="7" l="1"/>
  <c r="N3540" i="7"/>
  <c r="O3541" i="7" s="1"/>
  <c r="M3599" i="7"/>
  <c r="L3600" i="7"/>
  <c r="P3541" i="7" l="1"/>
  <c r="N3541" i="7"/>
  <c r="O3542" i="7" s="1"/>
  <c r="M3600" i="7"/>
  <c r="L3601" i="7"/>
  <c r="P3542" i="7" l="1"/>
  <c r="N3542" i="7"/>
  <c r="O3543" i="7" s="1"/>
  <c r="M3601" i="7"/>
  <c r="L3602" i="7"/>
  <c r="N3543" i="7" l="1"/>
  <c r="O3544" i="7" s="1"/>
  <c r="P3543" i="7"/>
  <c r="M3602" i="7"/>
  <c r="L3603" i="7"/>
  <c r="N3544" i="7" l="1"/>
  <c r="O3545" i="7" s="1"/>
  <c r="P3544" i="7"/>
  <c r="M3603" i="7"/>
  <c r="L3604" i="7"/>
  <c r="P3545" i="7" l="1"/>
  <c r="N3545" i="7"/>
  <c r="O3546" i="7" s="1"/>
  <c r="M3604" i="7"/>
  <c r="L3605" i="7"/>
  <c r="N3546" i="7" l="1"/>
  <c r="O3547" i="7" s="1"/>
  <c r="P3546" i="7"/>
  <c r="M3605" i="7"/>
  <c r="L3606" i="7"/>
  <c r="N3547" i="7" l="1"/>
  <c r="O3548" i="7" s="1"/>
  <c r="P3547" i="7"/>
  <c r="M3606" i="7"/>
  <c r="L3607" i="7"/>
  <c r="P3548" i="7" l="1"/>
  <c r="N3548" i="7"/>
  <c r="O3549" i="7" s="1"/>
  <c r="M3607" i="7"/>
  <c r="L3608" i="7"/>
  <c r="P3549" i="7" l="1"/>
  <c r="N3549" i="7"/>
  <c r="O3550" i="7" s="1"/>
  <c r="M3608" i="7"/>
  <c r="L3609" i="7"/>
  <c r="N3550" i="7" l="1"/>
  <c r="O3551" i="7" s="1"/>
  <c r="P3550" i="7"/>
  <c r="M3609" i="7"/>
  <c r="L3610" i="7"/>
  <c r="N3551" i="7" l="1"/>
  <c r="O3552" i="7" s="1"/>
  <c r="P3551" i="7"/>
  <c r="M3610" i="7"/>
  <c r="L3611" i="7"/>
  <c r="P3552" i="7" l="1"/>
  <c r="N3552" i="7"/>
  <c r="O3553" i="7" s="1"/>
  <c r="M3611" i="7"/>
  <c r="L3612" i="7"/>
  <c r="P3553" i="7" l="1"/>
  <c r="N3553" i="7"/>
  <c r="O3554" i="7" s="1"/>
  <c r="M3612" i="7"/>
  <c r="L3613" i="7"/>
  <c r="N3554" i="7" l="1"/>
  <c r="O3555" i="7" s="1"/>
  <c r="P3554" i="7"/>
  <c r="M3613" i="7"/>
  <c r="L3614" i="7"/>
  <c r="N3555" i="7" l="1"/>
  <c r="O3556" i="7" s="1"/>
  <c r="P3555" i="7"/>
  <c r="M3614" i="7"/>
  <c r="L3615" i="7"/>
  <c r="P3556" i="7" l="1"/>
  <c r="N3556" i="7"/>
  <c r="O3557" i="7" s="1"/>
  <c r="M3615" i="7"/>
  <c r="L3616" i="7"/>
  <c r="P3557" i="7" l="1"/>
  <c r="N3557" i="7"/>
  <c r="O3558" i="7" s="1"/>
  <c r="M3616" i="7"/>
  <c r="L3617" i="7"/>
  <c r="P3558" i="7" l="1"/>
  <c r="N3558" i="7"/>
  <c r="O3559" i="7" s="1"/>
  <c r="M3617" i="7"/>
  <c r="L3618" i="7"/>
  <c r="P3559" i="7" l="1"/>
  <c r="N3559" i="7"/>
  <c r="O3560" i="7" s="1"/>
  <c r="M3618" i="7"/>
  <c r="L3619" i="7"/>
  <c r="N3560" i="7" l="1"/>
  <c r="O3561" i="7" s="1"/>
  <c r="P3560" i="7"/>
  <c r="M3619" i="7"/>
  <c r="L3620" i="7"/>
  <c r="P3561" i="7" l="1"/>
  <c r="N3561" i="7"/>
  <c r="O3562" i="7" s="1"/>
  <c r="M3620" i="7"/>
  <c r="L3621" i="7"/>
  <c r="N3562" i="7" l="1"/>
  <c r="O3563" i="7" s="1"/>
  <c r="P3562" i="7"/>
  <c r="M3621" i="7"/>
  <c r="L3622" i="7"/>
  <c r="N3563" i="7" l="1"/>
  <c r="O3564" i="7" s="1"/>
  <c r="P3563" i="7"/>
  <c r="M3622" i="7"/>
  <c r="L3623" i="7"/>
  <c r="P3564" i="7" l="1"/>
  <c r="N3564" i="7"/>
  <c r="O3565" i="7" s="1"/>
  <c r="M3623" i="7"/>
  <c r="L3624" i="7"/>
  <c r="P3565" i="7" l="1"/>
  <c r="N3565" i="7"/>
  <c r="O3566" i="7" s="1"/>
  <c r="M3624" i="7"/>
  <c r="L3625" i="7"/>
  <c r="P3566" i="7" l="1"/>
  <c r="N3566" i="7"/>
  <c r="O3567" i="7" s="1"/>
  <c r="M3625" i="7"/>
  <c r="L3626" i="7"/>
  <c r="P3567" i="7" l="1"/>
  <c r="N3567" i="7"/>
  <c r="O3568" i="7" s="1"/>
  <c r="M3626" i="7"/>
  <c r="L3627" i="7"/>
  <c r="N3568" i="7" l="1"/>
  <c r="O3569" i="7" s="1"/>
  <c r="P3568" i="7"/>
  <c r="M3627" i="7"/>
  <c r="L3628" i="7"/>
  <c r="N3569" i="7" l="1"/>
  <c r="O3570" i="7" s="1"/>
  <c r="P3569" i="7"/>
  <c r="M3628" i="7"/>
  <c r="L3629" i="7"/>
  <c r="P3570" i="7" l="1"/>
  <c r="N3570" i="7"/>
  <c r="O3571" i="7" s="1"/>
  <c r="M3629" i="7"/>
  <c r="L3630" i="7"/>
  <c r="P3571" i="7" l="1"/>
  <c r="N3571" i="7"/>
  <c r="O3572" i="7" s="1"/>
  <c r="M3630" i="7"/>
  <c r="L3631" i="7"/>
  <c r="N3572" i="7" l="1"/>
  <c r="O3573" i="7" s="1"/>
  <c r="P3572" i="7"/>
  <c r="M3631" i="7"/>
  <c r="L3632" i="7"/>
  <c r="P3573" i="7" l="1"/>
  <c r="N3573" i="7"/>
  <c r="O3574" i="7" s="1"/>
  <c r="M3632" i="7"/>
  <c r="L3633" i="7"/>
  <c r="P3574" i="7" l="1"/>
  <c r="N3574" i="7"/>
  <c r="O3575" i="7" s="1"/>
  <c r="M3633" i="7"/>
  <c r="L3634" i="7"/>
  <c r="N3575" i="7" l="1"/>
  <c r="O3576" i="7" s="1"/>
  <c r="P3575" i="7"/>
  <c r="M3634" i="7"/>
  <c r="L3635" i="7"/>
  <c r="P3576" i="7" l="1"/>
  <c r="N3576" i="7"/>
  <c r="O3577" i="7" s="1"/>
  <c r="M3635" i="7"/>
  <c r="L3636" i="7"/>
  <c r="P3577" i="7" l="1"/>
  <c r="N3577" i="7"/>
  <c r="O3578" i="7" s="1"/>
  <c r="M3636" i="7"/>
  <c r="L3637" i="7"/>
  <c r="N3578" i="7" l="1"/>
  <c r="O3579" i="7" s="1"/>
  <c r="P3578" i="7"/>
  <c r="M3637" i="7"/>
  <c r="L3638" i="7"/>
  <c r="P3579" i="7" l="1"/>
  <c r="N3579" i="7"/>
  <c r="O3580" i="7" s="1"/>
  <c r="M3638" i="7"/>
  <c r="L3639" i="7"/>
  <c r="N3580" i="7" l="1"/>
  <c r="O3581" i="7" s="1"/>
  <c r="P3580" i="7"/>
  <c r="M3639" i="7"/>
  <c r="L3640" i="7"/>
  <c r="P3581" i="7" l="1"/>
  <c r="N3581" i="7"/>
  <c r="O3582" i="7" s="1"/>
  <c r="M3640" i="7"/>
  <c r="L3641" i="7"/>
  <c r="P3582" i="7" l="1"/>
  <c r="N3582" i="7"/>
  <c r="O3583" i="7" s="1"/>
  <c r="M3641" i="7"/>
  <c r="L3642" i="7"/>
  <c r="P3583" i="7" l="1"/>
  <c r="N3583" i="7"/>
  <c r="O3584" i="7" s="1"/>
  <c r="M3642" i="7"/>
  <c r="L3643" i="7"/>
  <c r="N3584" i="7" l="1"/>
  <c r="O3585" i="7" s="1"/>
  <c r="P3584" i="7"/>
  <c r="M3643" i="7"/>
  <c r="L3644" i="7"/>
  <c r="N3585" i="7" l="1"/>
  <c r="O3586" i="7" s="1"/>
  <c r="P3585" i="7"/>
  <c r="M3644" i="7"/>
  <c r="L3645" i="7"/>
  <c r="P3586" i="7" l="1"/>
  <c r="N3586" i="7"/>
  <c r="O3587" i="7" s="1"/>
  <c r="M3645" i="7"/>
  <c r="L3646" i="7"/>
  <c r="P3587" i="7" l="1"/>
  <c r="N3587" i="7"/>
  <c r="O3588" i="7" s="1"/>
  <c r="M3646" i="7"/>
  <c r="L3647" i="7"/>
  <c r="P3588" i="7" l="1"/>
  <c r="N3588" i="7"/>
  <c r="O3589" i="7" s="1"/>
  <c r="M3647" i="7"/>
  <c r="L3648" i="7"/>
  <c r="N3589" i="7" l="1"/>
  <c r="O3590" i="7" s="1"/>
  <c r="P3589" i="7"/>
  <c r="M3648" i="7"/>
  <c r="L3649" i="7"/>
  <c r="P3590" i="7" l="1"/>
  <c r="N3590" i="7"/>
  <c r="O3591" i="7" s="1"/>
  <c r="M3649" i="7"/>
  <c r="L3650" i="7"/>
  <c r="P3591" i="7" l="1"/>
  <c r="N3591" i="7"/>
  <c r="O3592" i="7" s="1"/>
  <c r="M3650" i="7"/>
  <c r="L3651" i="7"/>
  <c r="N3592" i="7" l="1"/>
  <c r="O3593" i="7" s="1"/>
  <c r="P3592" i="7"/>
  <c r="M3651" i="7"/>
  <c r="L3652" i="7"/>
  <c r="N3593" i="7" l="1"/>
  <c r="O3594" i="7" s="1"/>
  <c r="P3593" i="7"/>
  <c r="M3652" i="7"/>
  <c r="L3653" i="7"/>
  <c r="N3594" i="7" l="1"/>
  <c r="O3595" i="7" s="1"/>
  <c r="P3594" i="7"/>
  <c r="M3653" i="7"/>
  <c r="L3654" i="7"/>
  <c r="P3595" i="7" l="1"/>
  <c r="N3595" i="7"/>
  <c r="O3596" i="7" s="1"/>
  <c r="M3654" i="7"/>
  <c r="L3655" i="7"/>
  <c r="P3596" i="7" l="1"/>
  <c r="N3596" i="7"/>
  <c r="O3597" i="7" s="1"/>
  <c r="M3655" i="7"/>
  <c r="L3656" i="7"/>
  <c r="P3597" i="7" l="1"/>
  <c r="N3597" i="7"/>
  <c r="O3598" i="7" s="1"/>
  <c r="M3656" i="7"/>
  <c r="L3657" i="7"/>
  <c r="P3598" i="7" l="1"/>
  <c r="N3598" i="7"/>
  <c r="O3599" i="7" s="1"/>
  <c r="M3657" i="7"/>
  <c r="L3658" i="7"/>
  <c r="N3599" i="7" l="1"/>
  <c r="O3600" i="7" s="1"/>
  <c r="P3599" i="7"/>
  <c r="M3658" i="7"/>
  <c r="L3659" i="7"/>
  <c r="P3600" i="7" l="1"/>
  <c r="N3600" i="7"/>
  <c r="O3601" i="7" s="1"/>
  <c r="M3659" i="7"/>
  <c r="L3660" i="7"/>
  <c r="P3601" i="7" l="1"/>
  <c r="N3601" i="7"/>
  <c r="O3602" i="7" s="1"/>
  <c r="M3660" i="7"/>
  <c r="L3661" i="7"/>
  <c r="N3602" i="7" l="1"/>
  <c r="O3603" i="7" s="1"/>
  <c r="P3602" i="7"/>
  <c r="M3661" i="7"/>
  <c r="L3662" i="7"/>
  <c r="P3603" i="7" l="1"/>
  <c r="N3603" i="7"/>
  <c r="O3604" i="7" s="1"/>
  <c r="M3662" i="7"/>
  <c r="L3663" i="7"/>
  <c r="N3604" i="7" l="1"/>
  <c r="O3605" i="7" s="1"/>
  <c r="P3604" i="7"/>
  <c r="M3663" i="7"/>
  <c r="L3664" i="7"/>
  <c r="N3605" i="7" l="1"/>
  <c r="O3606" i="7" s="1"/>
  <c r="P3605" i="7"/>
  <c r="M3664" i="7"/>
  <c r="L3665" i="7"/>
  <c r="P3606" i="7" l="1"/>
  <c r="N3606" i="7"/>
  <c r="O3607" i="7" s="1"/>
  <c r="M3665" i="7"/>
  <c r="L3666" i="7"/>
  <c r="N3607" i="7" l="1"/>
  <c r="O3608" i="7" s="1"/>
  <c r="P3607" i="7"/>
  <c r="M3666" i="7"/>
  <c r="L3667" i="7"/>
  <c r="N3608" i="7" l="1"/>
  <c r="O3609" i="7" s="1"/>
  <c r="P3608" i="7"/>
  <c r="M3667" i="7"/>
  <c r="L3668" i="7"/>
  <c r="N3609" i="7" l="1"/>
  <c r="O3610" i="7" s="1"/>
  <c r="P3609" i="7"/>
  <c r="M3668" i="7"/>
  <c r="L3669" i="7"/>
  <c r="N3610" i="7" l="1"/>
  <c r="O3611" i="7" s="1"/>
  <c r="P3610" i="7"/>
  <c r="M3669" i="7"/>
  <c r="L3670" i="7"/>
  <c r="N3611" i="7" l="1"/>
  <c r="O3612" i="7" s="1"/>
  <c r="P3611" i="7"/>
  <c r="M3670" i="7"/>
  <c r="L3671" i="7"/>
  <c r="N3612" i="7" l="1"/>
  <c r="O3613" i="7" s="1"/>
  <c r="P3612" i="7"/>
  <c r="M3671" i="7"/>
  <c r="L3672" i="7"/>
  <c r="N3613" i="7" l="1"/>
  <c r="O3614" i="7" s="1"/>
  <c r="P3613" i="7"/>
  <c r="M3672" i="7"/>
  <c r="L3673" i="7"/>
  <c r="N3614" i="7" l="1"/>
  <c r="O3615" i="7" s="1"/>
  <c r="P3614" i="7"/>
  <c r="M3673" i="7"/>
  <c r="L3674" i="7"/>
  <c r="P3615" i="7" l="1"/>
  <c r="N3615" i="7"/>
  <c r="O3616" i="7" s="1"/>
  <c r="M3674" i="7"/>
  <c r="L3675" i="7"/>
  <c r="N3616" i="7" l="1"/>
  <c r="O3617" i="7" s="1"/>
  <c r="P3616" i="7"/>
  <c r="M3675" i="7"/>
  <c r="L3676" i="7"/>
  <c r="P3617" i="7" l="1"/>
  <c r="N3617" i="7"/>
  <c r="O3618" i="7" s="1"/>
  <c r="M3676" i="7"/>
  <c r="L3677" i="7"/>
  <c r="N3618" i="7" l="1"/>
  <c r="O3619" i="7" s="1"/>
  <c r="P3618" i="7"/>
  <c r="M3677" i="7"/>
  <c r="L3678" i="7"/>
  <c r="N3619" i="7" l="1"/>
  <c r="O3620" i="7" s="1"/>
  <c r="P3619" i="7"/>
  <c r="M3678" i="7"/>
  <c r="L3679" i="7"/>
  <c r="P3620" i="7" l="1"/>
  <c r="N3620" i="7"/>
  <c r="O3621" i="7" s="1"/>
  <c r="M3679" i="7"/>
  <c r="L3680" i="7"/>
  <c r="N3621" i="7" l="1"/>
  <c r="O3622" i="7" s="1"/>
  <c r="P3621" i="7"/>
  <c r="M3680" i="7"/>
  <c r="L3681" i="7"/>
  <c r="P3622" i="7" l="1"/>
  <c r="N3622" i="7"/>
  <c r="O3623" i="7" s="1"/>
  <c r="M3681" i="7"/>
  <c r="L3682" i="7"/>
  <c r="P3623" i="7" l="1"/>
  <c r="N3623" i="7"/>
  <c r="O3624" i="7" s="1"/>
  <c r="M3682" i="7"/>
  <c r="L3683" i="7"/>
  <c r="N3624" i="7" l="1"/>
  <c r="O3625" i="7" s="1"/>
  <c r="P3624" i="7"/>
  <c r="M3683" i="7"/>
  <c r="L3684" i="7"/>
  <c r="P3625" i="7" l="1"/>
  <c r="N3625" i="7"/>
  <c r="O3626" i="7" s="1"/>
  <c r="M3684" i="7"/>
  <c r="L3685" i="7"/>
  <c r="N3626" i="7" l="1"/>
  <c r="O3627" i="7" s="1"/>
  <c r="P3626" i="7"/>
  <c r="M3685" i="7"/>
  <c r="L3686" i="7"/>
  <c r="N3627" i="7" l="1"/>
  <c r="O3628" i="7" s="1"/>
  <c r="P3627" i="7"/>
  <c r="M3686" i="7"/>
  <c r="L3687" i="7"/>
  <c r="P3628" i="7" l="1"/>
  <c r="N3628" i="7"/>
  <c r="O3629" i="7" s="1"/>
  <c r="M3687" i="7"/>
  <c r="L3688" i="7"/>
  <c r="N3629" i="7" l="1"/>
  <c r="O3630" i="7" s="1"/>
  <c r="P3629" i="7"/>
  <c r="M3688" i="7"/>
  <c r="L3689" i="7"/>
  <c r="P3630" i="7" l="1"/>
  <c r="N3630" i="7"/>
  <c r="O3631" i="7" s="1"/>
  <c r="M3689" i="7"/>
  <c r="L3690" i="7"/>
  <c r="P3631" i="7" l="1"/>
  <c r="N3631" i="7"/>
  <c r="O3632" i="7" s="1"/>
  <c r="M3690" i="7"/>
  <c r="L3691" i="7"/>
  <c r="N3632" i="7" l="1"/>
  <c r="O3633" i="7" s="1"/>
  <c r="P3632" i="7"/>
  <c r="M3691" i="7"/>
  <c r="L3692" i="7"/>
  <c r="N3633" i="7" l="1"/>
  <c r="O3634" i="7" s="1"/>
  <c r="P3633" i="7"/>
  <c r="M3692" i="7"/>
  <c r="L3693" i="7"/>
  <c r="N3634" i="7" l="1"/>
  <c r="O3635" i="7" s="1"/>
  <c r="P3634" i="7"/>
  <c r="M3693" i="7"/>
  <c r="L3694" i="7"/>
  <c r="N3635" i="7" l="1"/>
  <c r="O3636" i="7" s="1"/>
  <c r="P3635" i="7"/>
  <c r="M3694" i="7"/>
  <c r="L3695" i="7"/>
  <c r="P3636" i="7" l="1"/>
  <c r="N3636" i="7"/>
  <c r="O3637" i="7" s="1"/>
  <c r="M3695" i="7"/>
  <c r="L3696" i="7"/>
  <c r="P3637" i="7" l="1"/>
  <c r="N3637" i="7"/>
  <c r="O3638" i="7" s="1"/>
  <c r="M3696" i="7"/>
  <c r="L3697" i="7"/>
  <c r="P3638" i="7" l="1"/>
  <c r="N3638" i="7"/>
  <c r="O3639" i="7" s="1"/>
  <c r="M3697" i="7"/>
  <c r="L3698" i="7"/>
  <c r="P3639" i="7" l="1"/>
  <c r="N3639" i="7"/>
  <c r="O3640" i="7" s="1"/>
  <c r="M3698" i="7"/>
  <c r="L3699" i="7"/>
  <c r="N3640" i="7" l="1"/>
  <c r="O3641" i="7" s="1"/>
  <c r="P3640" i="7"/>
  <c r="M3699" i="7"/>
  <c r="L3700" i="7"/>
  <c r="P3641" i="7" l="1"/>
  <c r="N3641" i="7"/>
  <c r="O3642" i="7" s="1"/>
  <c r="M3700" i="7"/>
  <c r="L3701" i="7"/>
  <c r="P3642" i="7" l="1"/>
  <c r="N3642" i="7"/>
  <c r="O3643" i="7" s="1"/>
  <c r="M3701" i="7"/>
  <c r="L3702" i="7"/>
  <c r="P3643" i="7" l="1"/>
  <c r="N3643" i="7"/>
  <c r="O3644" i="7" s="1"/>
  <c r="M3702" i="7"/>
  <c r="L3703" i="7"/>
  <c r="N3644" i="7" l="1"/>
  <c r="O3645" i="7" s="1"/>
  <c r="P3644" i="7"/>
  <c r="M3703" i="7"/>
  <c r="L3704" i="7"/>
  <c r="P3645" i="7" l="1"/>
  <c r="N3645" i="7"/>
  <c r="O3646" i="7" s="1"/>
  <c r="M3704" i="7"/>
  <c r="L3705" i="7"/>
  <c r="P3646" i="7" l="1"/>
  <c r="N3646" i="7"/>
  <c r="O3647" i="7" s="1"/>
  <c r="M3705" i="7"/>
  <c r="L3706" i="7"/>
  <c r="P3647" i="7" l="1"/>
  <c r="N3647" i="7"/>
  <c r="O3648" i="7" s="1"/>
  <c r="M3706" i="7"/>
  <c r="L3707" i="7"/>
  <c r="P3648" i="7" l="1"/>
  <c r="N3648" i="7"/>
  <c r="O3649" i="7" s="1"/>
  <c r="M3707" i="7"/>
  <c r="L3708" i="7"/>
  <c r="N3649" i="7" l="1"/>
  <c r="O3650" i="7" s="1"/>
  <c r="P3649" i="7"/>
  <c r="M3708" i="7"/>
  <c r="L3709" i="7"/>
  <c r="P3650" i="7" l="1"/>
  <c r="N3650" i="7"/>
  <c r="O3651" i="7" s="1"/>
  <c r="M3709" i="7"/>
  <c r="L3710" i="7"/>
  <c r="N3651" i="7" l="1"/>
  <c r="O3652" i="7" s="1"/>
  <c r="P3651" i="7"/>
  <c r="M3710" i="7"/>
  <c r="L3711" i="7"/>
  <c r="P3652" i="7" l="1"/>
  <c r="N3652" i="7"/>
  <c r="O3653" i="7" s="1"/>
  <c r="M3711" i="7"/>
  <c r="L3712" i="7"/>
  <c r="N3653" i="7" l="1"/>
  <c r="O3654" i="7" s="1"/>
  <c r="P3653" i="7"/>
  <c r="M3712" i="7"/>
  <c r="L3713" i="7"/>
  <c r="P3654" i="7" l="1"/>
  <c r="N3654" i="7"/>
  <c r="O3655" i="7" s="1"/>
  <c r="M3713" i="7"/>
  <c r="L3714" i="7"/>
  <c r="P3655" i="7" l="1"/>
  <c r="N3655" i="7"/>
  <c r="O3656" i="7" s="1"/>
  <c r="M3714" i="7"/>
  <c r="L3715" i="7"/>
  <c r="N3656" i="7" l="1"/>
  <c r="O3657" i="7" s="1"/>
  <c r="P3656" i="7"/>
  <c r="M3715" i="7"/>
  <c r="L3716" i="7"/>
  <c r="P3657" i="7" l="1"/>
  <c r="N3657" i="7"/>
  <c r="O3658" i="7" s="1"/>
  <c r="M3716" i="7"/>
  <c r="L3717" i="7"/>
  <c r="P3658" i="7" l="1"/>
  <c r="N3658" i="7"/>
  <c r="O3659" i="7" s="1"/>
  <c r="M3717" i="7"/>
  <c r="L3718" i="7"/>
  <c r="N3659" i="7" l="1"/>
  <c r="O3660" i="7" s="1"/>
  <c r="P3659" i="7"/>
  <c r="M3718" i="7"/>
  <c r="L3719" i="7"/>
  <c r="N3660" i="7" l="1"/>
  <c r="O3661" i="7" s="1"/>
  <c r="P3660" i="7"/>
  <c r="M3719" i="7"/>
  <c r="L3720" i="7"/>
  <c r="P3661" i="7" l="1"/>
  <c r="N3661" i="7"/>
  <c r="O3662" i="7" s="1"/>
  <c r="M3720" i="7"/>
  <c r="L3721" i="7"/>
  <c r="P3662" i="7" l="1"/>
  <c r="N3662" i="7"/>
  <c r="O3663" i="7" s="1"/>
  <c r="M3721" i="7"/>
  <c r="L3722" i="7"/>
  <c r="P3663" i="7" l="1"/>
  <c r="N3663" i="7"/>
  <c r="O3664" i="7" s="1"/>
  <c r="M3722" i="7"/>
  <c r="L3723" i="7"/>
  <c r="N3664" i="7" l="1"/>
  <c r="O3665" i="7" s="1"/>
  <c r="P3664" i="7"/>
  <c r="M3723" i="7"/>
  <c r="L3724" i="7"/>
  <c r="N3665" i="7" l="1"/>
  <c r="O3666" i="7" s="1"/>
  <c r="P3665" i="7"/>
  <c r="M3724" i="7"/>
  <c r="L3725" i="7"/>
  <c r="P3666" i="7" l="1"/>
  <c r="N3666" i="7"/>
  <c r="O3667" i="7" s="1"/>
  <c r="M3725" i="7"/>
  <c r="L3726" i="7"/>
  <c r="P3667" i="7" l="1"/>
  <c r="N3667" i="7"/>
  <c r="O3668" i="7" s="1"/>
  <c r="M3726" i="7"/>
  <c r="L3727" i="7"/>
  <c r="N3668" i="7" l="1"/>
  <c r="O3669" i="7" s="1"/>
  <c r="P3668" i="7"/>
  <c r="M3727" i="7"/>
  <c r="L3728" i="7"/>
  <c r="N3669" i="7" l="1"/>
  <c r="O3670" i="7" s="1"/>
  <c r="P3669" i="7"/>
  <c r="M3728" i="7"/>
  <c r="L3729" i="7"/>
  <c r="N3670" i="7" l="1"/>
  <c r="O3671" i="7" s="1"/>
  <c r="P3670" i="7"/>
  <c r="M3729" i="7"/>
  <c r="L3730" i="7"/>
  <c r="N3671" i="7" l="1"/>
  <c r="O3672" i="7" s="1"/>
  <c r="P3671" i="7"/>
  <c r="M3730" i="7"/>
  <c r="L3731" i="7"/>
  <c r="P3672" i="7" l="1"/>
  <c r="N3672" i="7"/>
  <c r="O3673" i="7" s="1"/>
  <c r="M3731" i="7"/>
  <c r="L3732" i="7"/>
  <c r="N3673" i="7" l="1"/>
  <c r="O3674" i="7" s="1"/>
  <c r="P3673" i="7"/>
  <c r="M3732" i="7"/>
  <c r="L3733" i="7"/>
  <c r="P3674" i="7" l="1"/>
  <c r="N3674" i="7"/>
  <c r="O3675" i="7" s="1"/>
  <c r="M3733" i="7"/>
  <c r="L3734" i="7"/>
  <c r="N3675" i="7" l="1"/>
  <c r="O3676" i="7" s="1"/>
  <c r="P3675" i="7"/>
  <c r="M3734" i="7"/>
  <c r="L3735" i="7"/>
  <c r="N3676" i="7" l="1"/>
  <c r="O3677" i="7" s="1"/>
  <c r="P3676" i="7"/>
  <c r="M3735" i="7"/>
  <c r="L3736" i="7"/>
  <c r="N3677" i="7" l="1"/>
  <c r="O3678" i="7" s="1"/>
  <c r="P3677" i="7"/>
  <c r="M3736" i="7"/>
  <c r="L3737" i="7"/>
  <c r="N3678" i="7" l="1"/>
  <c r="O3679" i="7" s="1"/>
  <c r="P3678" i="7"/>
  <c r="M3737" i="7"/>
  <c r="L3738" i="7"/>
  <c r="P3679" i="7" l="1"/>
  <c r="N3679" i="7"/>
  <c r="O3680" i="7" s="1"/>
  <c r="M3738" i="7"/>
  <c r="L3739" i="7"/>
  <c r="N3680" i="7" l="1"/>
  <c r="O3681" i="7" s="1"/>
  <c r="P3680" i="7"/>
  <c r="M3739" i="7"/>
  <c r="L3740" i="7"/>
  <c r="N3681" i="7" l="1"/>
  <c r="O3682" i="7" s="1"/>
  <c r="P3681" i="7"/>
  <c r="M3740" i="7"/>
  <c r="L3741" i="7"/>
  <c r="P3682" i="7" l="1"/>
  <c r="N3682" i="7"/>
  <c r="O3683" i="7" s="1"/>
  <c r="M3741" i="7"/>
  <c r="L3742" i="7"/>
  <c r="N3683" i="7" l="1"/>
  <c r="O3684" i="7" s="1"/>
  <c r="P3683" i="7"/>
  <c r="M3742" i="7"/>
  <c r="L3743" i="7"/>
  <c r="P3684" i="7" l="1"/>
  <c r="N3684" i="7"/>
  <c r="O3685" i="7" s="1"/>
  <c r="M3743" i="7"/>
  <c r="L3744" i="7"/>
  <c r="N3685" i="7" l="1"/>
  <c r="O3686" i="7" s="1"/>
  <c r="P3685" i="7"/>
  <c r="M3744" i="7"/>
  <c r="L3745" i="7"/>
  <c r="N3686" i="7" l="1"/>
  <c r="O3687" i="7" s="1"/>
  <c r="P3686" i="7"/>
  <c r="M3745" i="7"/>
  <c r="L3746" i="7"/>
  <c r="N3687" i="7" l="1"/>
  <c r="O3688" i="7" s="1"/>
  <c r="P3687" i="7"/>
  <c r="M3746" i="7"/>
  <c r="L3747" i="7"/>
  <c r="N3688" i="7" l="1"/>
  <c r="O3689" i="7" s="1"/>
  <c r="P3688" i="7"/>
  <c r="M3747" i="7"/>
  <c r="L3748" i="7"/>
  <c r="P3689" i="7" l="1"/>
  <c r="N3689" i="7"/>
  <c r="O3690" i="7" s="1"/>
  <c r="M3748" i="7"/>
  <c r="L3749" i="7"/>
  <c r="N3690" i="7" l="1"/>
  <c r="O3691" i="7" s="1"/>
  <c r="P3690" i="7"/>
  <c r="M3749" i="7"/>
  <c r="L3750" i="7"/>
  <c r="P3691" i="7" l="1"/>
  <c r="N3691" i="7"/>
  <c r="O3692" i="7" s="1"/>
  <c r="M3750" i="7"/>
  <c r="L3751" i="7"/>
  <c r="N3692" i="7" l="1"/>
  <c r="O3693" i="7" s="1"/>
  <c r="P3692" i="7"/>
  <c r="M3751" i="7"/>
  <c r="L3752" i="7"/>
  <c r="N3693" i="7" l="1"/>
  <c r="O3694" i="7" s="1"/>
  <c r="P3693" i="7"/>
  <c r="M3752" i="7"/>
  <c r="L3753" i="7"/>
  <c r="N3694" i="7" l="1"/>
  <c r="O3695" i="7" s="1"/>
  <c r="P3694" i="7"/>
  <c r="M3753" i="7"/>
  <c r="L3754" i="7"/>
  <c r="P3695" i="7" l="1"/>
  <c r="N3695" i="7"/>
  <c r="O3696" i="7" s="1"/>
  <c r="M3754" i="7"/>
  <c r="L3755" i="7"/>
  <c r="P3696" i="7" l="1"/>
  <c r="N3696" i="7"/>
  <c r="O3697" i="7" s="1"/>
  <c r="M3755" i="7"/>
  <c r="L3756" i="7"/>
  <c r="N3697" i="7" l="1"/>
  <c r="O3698" i="7" s="1"/>
  <c r="P3697" i="7"/>
  <c r="M3756" i="7"/>
  <c r="L3757" i="7"/>
  <c r="N3698" i="7" l="1"/>
  <c r="O3699" i="7" s="1"/>
  <c r="P3698" i="7"/>
  <c r="M3757" i="7"/>
  <c r="L3758" i="7"/>
  <c r="P3699" i="7" l="1"/>
  <c r="N3699" i="7"/>
  <c r="O3700" i="7" s="1"/>
  <c r="M3758" i="7"/>
  <c r="L3759" i="7"/>
  <c r="N3700" i="7" l="1"/>
  <c r="O3701" i="7" s="1"/>
  <c r="P3700" i="7"/>
  <c r="M3759" i="7"/>
  <c r="L3760" i="7"/>
  <c r="P3701" i="7" l="1"/>
  <c r="N3701" i="7"/>
  <c r="O3702" i="7" s="1"/>
  <c r="M3760" i="7"/>
  <c r="L3761" i="7"/>
  <c r="N3702" i="7" l="1"/>
  <c r="O3703" i="7" s="1"/>
  <c r="P3702" i="7"/>
  <c r="M3761" i="7"/>
  <c r="L3762" i="7"/>
  <c r="P3703" i="7" l="1"/>
  <c r="N3703" i="7"/>
  <c r="O3704" i="7" s="1"/>
  <c r="M3762" i="7"/>
  <c r="L3763" i="7"/>
  <c r="P3704" i="7" l="1"/>
  <c r="N3704" i="7"/>
  <c r="O3705" i="7" s="1"/>
  <c r="M3763" i="7"/>
  <c r="L3764" i="7"/>
  <c r="N3705" i="7" l="1"/>
  <c r="O3706" i="7" s="1"/>
  <c r="P3705" i="7"/>
  <c r="M3764" i="7"/>
  <c r="L3765" i="7"/>
  <c r="P3706" i="7" l="1"/>
  <c r="N3706" i="7"/>
  <c r="O3707" i="7" s="1"/>
  <c r="M3765" i="7"/>
  <c r="L3766" i="7"/>
  <c r="P3707" i="7" l="1"/>
  <c r="N3707" i="7"/>
  <c r="O3708" i="7" s="1"/>
  <c r="M3766" i="7"/>
  <c r="L3767" i="7"/>
  <c r="N3708" i="7" l="1"/>
  <c r="O3709" i="7" s="1"/>
  <c r="P3708" i="7"/>
  <c r="M3767" i="7"/>
  <c r="L3768" i="7"/>
  <c r="N3709" i="7" l="1"/>
  <c r="O3710" i="7" s="1"/>
  <c r="P3709" i="7"/>
  <c r="M3768" i="7"/>
  <c r="L3769" i="7"/>
  <c r="P3710" i="7" l="1"/>
  <c r="N3710" i="7"/>
  <c r="O3711" i="7" s="1"/>
  <c r="M3769" i="7"/>
  <c r="L3770" i="7"/>
  <c r="N3711" i="7" l="1"/>
  <c r="O3712" i="7" s="1"/>
  <c r="P3711" i="7"/>
  <c r="M3770" i="7"/>
  <c r="L3771" i="7"/>
  <c r="N3712" i="7" l="1"/>
  <c r="O3713" i="7" s="1"/>
  <c r="P3712" i="7"/>
  <c r="M3771" i="7"/>
  <c r="L3772" i="7"/>
  <c r="P3713" i="7" l="1"/>
  <c r="N3713" i="7"/>
  <c r="O3714" i="7" s="1"/>
  <c r="M3772" i="7"/>
  <c r="L3773" i="7"/>
  <c r="N3714" i="7" l="1"/>
  <c r="O3715" i="7" s="1"/>
  <c r="P3714" i="7"/>
  <c r="M3773" i="7"/>
  <c r="L3774" i="7"/>
  <c r="P3715" i="7" l="1"/>
  <c r="N3715" i="7"/>
  <c r="O3716" i="7" s="1"/>
  <c r="M3774" i="7"/>
  <c r="L3775" i="7"/>
  <c r="P3716" i="7" l="1"/>
  <c r="N3716" i="7"/>
  <c r="O3717" i="7" s="1"/>
  <c r="M3775" i="7"/>
  <c r="L3776" i="7"/>
  <c r="P3717" i="7" l="1"/>
  <c r="N3717" i="7"/>
  <c r="O3718" i="7" s="1"/>
  <c r="M3776" i="7"/>
  <c r="L3777" i="7"/>
  <c r="P3718" i="7" l="1"/>
  <c r="N3718" i="7"/>
  <c r="O3719" i="7" s="1"/>
  <c r="M3777" i="7"/>
  <c r="L3778" i="7"/>
  <c r="P3719" i="7" l="1"/>
  <c r="N3719" i="7"/>
  <c r="O3720" i="7" s="1"/>
  <c r="M3778" i="7"/>
  <c r="L3779" i="7"/>
  <c r="N3720" i="7" l="1"/>
  <c r="O3721" i="7" s="1"/>
  <c r="P3720" i="7"/>
  <c r="M3779" i="7"/>
  <c r="L3780" i="7"/>
  <c r="P3721" i="7" l="1"/>
  <c r="N3721" i="7"/>
  <c r="O3722" i="7" s="1"/>
  <c r="M3780" i="7"/>
  <c r="L3781" i="7"/>
  <c r="N3722" i="7" l="1"/>
  <c r="O3723" i="7" s="1"/>
  <c r="P3722" i="7"/>
  <c r="M3781" i="7"/>
  <c r="L3782" i="7"/>
  <c r="N3723" i="7" l="1"/>
  <c r="O3724" i="7" s="1"/>
  <c r="P3723" i="7"/>
  <c r="M3782" i="7"/>
  <c r="L3783" i="7"/>
  <c r="P3724" i="7" l="1"/>
  <c r="N3724" i="7"/>
  <c r="O3725" i="7" s="1"/>
  <c r="M3783" i="7"/>
  <c r="L3784" i="7"/>
  <c r="N3725" i="7" l="1"/>
  <c r="O3726" i="7" s="1"/>
  <c r="P3725" i="7"/>
  <c r="M3784" i="7"/>
  <c r="L3785" i="7"/>
  <c r="N3726" i="7" l="1"/>
  <c r="O3727" i="7" s="1"/>
  <c r="P3726" i="7"/>
  <c r="M3785" i="7"/>
  <c r="L3786" i="7"/>
  <c r="N3727" i="7" l="1"/>
  <c r="O3728" i="7" s="1"/>
  <c r="P3727" i="7"/>
  <c r="M3786" i="7"/>
  <c r="L3787" i="7"/>
  <c r="P3728" i="7" l="1"/>
  <c r="N3728" i="7"/>
  <c r="O3729" i="7" s="1"/>
  <c r="M3787" i="7"/>
  <c r="L3788" i="7"/>
  <c r="P3729" i="7" l="1"/>
  <c r="N3729" i="7"/>
  <c r="O3730" i="7" s="1"/>
  <c r="M3788" i="7"/>
  <c r="L3789" i="7"/>
  <c r="N3730" i="7" l="1"/>
  <c r="O3731" i="7" s="1"/>
  <c r="P3730" i="7"/>
  <c r="M3789" i="7"/>
  <c r="L3790" i="7"/>
  <c r="P3731" i="7" l="1"/>
  <c r="N3731" i="7"/>
  <c r="O3732" i="7" s="1"/>
  <c r="M3790" i="7"/>
  <c r="L3791" i="7"/>
  <c r="N3732" i="7" l="1"/>
  <c r="O3733" i="7" s="1"/>
  <c r="P3732" i="7"/>
  <c r="M3791" i="7"/>
  <c r="L3792" i="7"/>
  <c r="N3733" i="7" l="1"/>
  <c r="O3734" i="7" s="1"/>
  <c r="P3733" i="7"/>
  <c r="M3792" i="7"/>
  <c r="L3793" i="7"/>
  <c r="N3734" i="7" l="1"/>
  <c r="O3735" i="7" s="1"/>
  <c r="P3734" i="7"/>
  <c r="M3793" i="7"/>
  <c r="L3794" i="7"/>
  <c r="N3735" i="7" l="1"/>
  <c r="O3736" i="7" s="1"/>
  <c r="P3735" i="7"/>
  <c r="M3794" i="7"/>
  <c r="L3795" i="7"/>
  <c r="N3736" i="7" l="1"/>
  <c r="O3737" i="7" s="1"/>
  <c r="P3736" i="7"/>
  <c r="M3795" i="7"/>
  <c r="L3796" i="7"/>
  <c r="P3737" i="7" l="1"/>
  <c r="N3737" i="7"/>
  <c r="O3738" i="7" s="1"/>
  <c r="M3796" i="7"/>
  <c r="L3797" i="7"/>
  <c r="N3738" i="7" l="1"/>
  <c r="O3739" i="7" s="1"/>
  <c r="P3738" i="7"/>
  <c r="M3797" i="7"/>
  <c r="L3798" i="7"/>
  <c r="N3739" i="7" l="1"/>
  <c r="O3740" i="7" s="1"/>
  <c r="P3739" i="7"/>
  <c r="M3798" i="7"/>
  <c r="L3799" i="7"/>
  <c r="P3740" i="7" l="1"/>
  <c r="N3740" i="7"/>
  <c r="O3741" i="7" s="1"/>
  <c r="M3799" i="7"/>
  <c r="L3800" i="7"/>
  <c r="P3741" i="7" l="1"/>
  <c r="N3741" i="7"/>
  <c r="O3742" i="7" s="1"/>
  <c r="M3800" i="7"/>
  <c r="L3801" i="7"/>
  <c r="N3742" i="7" l="1"/>
  <c r="O3743" i="7" s="1"/>
  <c r="P3742" i="7"/>
  <c r="M3801" i="7"/>
  <c r="L3802" i="7"/>
  <c r="N3743" i="7" l="1"/>
  <c r="O3744" i="7" s="1"/>
  <c r="P3743" i="7"/>
  <c r="M3802" i="7"/>
  <c r="L3803" i="7"/>
  <c r="P3744" i="7" l="1"/>
  <c r="N3744" i="7"/>
  <c r="O3745" i="7" s="1"/>
  <c r="M3803" i="7"/>
  <c r="L3804" i="7"/>
  <c r="P3745" i="7" l="1"/>
  <c r="N3745" i="7"/>
  <c r="O3746" i="7" s="1"/>
  <c r="M3804" i="7"/>
  <c r="L3805" i="7"/>
  <c r="N3746" i="7" l="1"/>
  <c r="O3747" i="7" s="1"/>
  <c r="P3746" i="7"/>
  <c r="M3805" i="7"/>
  <c r="L3806" i="7"/>
  <c r="P3747" i="7" l="1"/>
  <c r="N3747" i="7"/>
  <c r="O3748" i="7" s="1"/>
  <c r="M3806" i="7"/>
  <c r="L3807" i="7"/>
  <c r="N3748" i="7" l="1"/>
  <c r="O3749" i="7" s="1"/>
  <c r="P3748" i="7"/>
  <c r="M3807" i="7"/>
  <c r="L3808" i="7"/>
  <c r="N3749" i="7" l="1"/>
  <c r="O3750" i="7" s="1"/>
  <c r="P3749" i="7"/>
  <c r="M3808" i="7"/>
  <c r="L3809" i="7"/>
  <c r="P3750" i="7" l="1"/>
  <c r="N3750" i="7"/>
  <c r="O3751" i="7" s="1"/>
  <c r="M3809" i="7"/>
  <c r="L3810" i="7"/>
  <c r="P3751" i="7" l="1"/>
  <c r="N3751" i="7"/>
  <c r="O3752" i="7" s="1"/>
  <c r="M3810" i="7"/>
  <c r="L3811" i="7"/>
  <c r="N3752" i="7" l="1"/>
  <c r="O3753" i="7" s="1"/>
  <c r="P3752" i="7"/>
  <c r="M3811" i="7"/>
  <c r="L3812" i="7"/>
  <c r="N3753" i="7" l="1"/>
  <c r="O3754" i="7" s="1"/>
  <c r="P3753" i="7"/>
  <c r="M3812" i="7"/>
  <c r="L3813" i="7"/>
  <c r="N3754" i="7" l="1"/>
  <c r="O3755" i="7" s="1"/>
  <c r="P3754" i="7"/>
  <c r="M3813" i="7"/>
  <c r="L3814" i="7"/>
  <c r="P3755" i="7" l="1"/>
  <c r="N3755" i="7"/>
  <c r="O3756" i="7" s="1"/>
  <c r="M3814" i="7"/>
  <c r="L3815" i="7"/>
  <c r="N3756" i="7" l="1"/>
  <c r="O3757" i="7" s="1"/>
  <c r="P3756" i="7"/>
  <c r="M3815" i="7"/>
  <c r="L3816" i="7"/>
  <c r="P3757" i="7" l="1"/>
  <c r="N3757" i="7"/>
  <c r="O3758" i="7" s="1"/>
  <c r="M3816" i="7"/>
  <c r="L3817" i="7"/>
  <c r="N3758" i="7" l="1"/>
  <c r="O3759" i="7" s="1"/>
  <c r="P3758" i="7"/>
  <c r="M3817" i="7"/>
  <c r="L3818" i="7"/>
  <c r="N3759" i="7" l="1"/>
  <c r="O3760" i="7" s="1"/>
  <c r="P3759" i="7"/>
  <c r="M3818" i="7"/>
  <c r="L3819" i="7"/>
  <c r="P3760" i="7" l="1"/>
  <c r="N3760" i="7"/>
  <c r="O3761" i="7" s="1"/>
  <c r="M3819" i="7"/>
  <c r="L3820" i="7"/>
  <c r="N3761" i="7" l="1"/>
  <c r="O3762" i="7" s="1"/>
  <c r="P3761" i="7"/>
  <c r="M3820" i="7"/>
  <c r="L3821" i="7"/>
  <c r="P3762" i="7" l="1"/>
  <c r="N3762" i="7"/>
  <c r="O3763" i="7" s="1"/>
  <c r="M3821" i="7"/>
  <c r="L3822" i="7"/>
  <c r="P3763" i="7" l="1"/>
  <c r="N3763" i="7"/>
  <c r="O3764" i="7" s="1"/>
  <c r="M3822" i="7"/>
  <c r="L3823" i="7"/>
  <c r="N3764" i="7" l="1"/>
  <c r="O3765" i="7" s="1"/>
  <c r="P3764" i="7"/>
  <c r="M3823" i="7"/>
  <c r="L3824" i="7"/>
  <c r="N3765" i="7" l="1"/>
  <c r="O3766" i="7" s="1"/>
  <c r="P3765" i="7"/>
  <c r="M3824" i="7"/>
  <c r="L3825" i="7"/>
  <c r="N3766" i="7" l="1"/>
  <c r="O3767" i="7" s="1"/>
  <c r="P3766" i="7"/>
  <c r="M3825" i="7"/>
  <c r="L3826" i="7"/>
  <c r="P3767" i="7" l="1"/>
  <c r="N3767" i="7"/>
  <c r="O3768" i="7" s="1"/>
  <c r="M3826" i="7"/>
  <c r="L3827" i="7"/>
  <c r="P3768" i="7" l="1"/>
  <c r="N3768" i="7"/>
  <c r="O3769" i="7" s="1"/>
  <c r="M3827" i="7"/>
  <c r="L3828" i="7"/>
  <c r="N3769" i="7" l="1"/>
  <c r="O3770" i="7" s="1"/>
  <c r="P3769" i="7"/>
  <c r="M3828" i="7"/>
  <c r="L3829" i="7"/>
  <c r="P3770" i="7" l="1"/>
  <c r="N3770" i="7"/>
  <c r="O3771" i="7" s="1"/>
  <c r="M3829" i="7"/>
  <c r="L3830" i="7"/>
  <c r="P3771" i="7" l="1"/>
  <c r="N3771" i="7"/>
  <c r="O3772" i="7" s="1"/>
  <c r="M3830" i="7"/>
  <c r="L3831" i="7"/>
  <c r="P3772" i="7" l="1"/>
  <c r="N3772" i="7"/>
  <c r="O3773" i="7" s="1"/>
  <c r="M3831" i="7"/>
  <c r="L3832" i="7"/>
  <c r="P3773" i="7" l="1"/>
  <c r="N3773" i="7"/>
  <c r="O3774" i="7" s="1"/>
  <c r="M3832" i="7"/>
  <c r="L3833" i="7"/>
  <c r="P3774" i="7" l="1"/>
  <c r="N3774" i="7"/>
  <c r="O3775" i="7" s="1"/>
  <c r="M3833" i="7"/>
  <c r="L3834" i="7"/>
  <c r="N3775" i="7" l="1"/>
  <c r="O3776" i="7" s="1"/>
  <c r="P3775" i="7"/>
  <c r="M3834" i="7"/>
  <c r="L3835" i="7"/>
  <c r="N3776" i="7" l="1"/>
  <c r="O3777" i="7" s="1"/>
  <c r="P3776" i="7"/>
  <c r="M3835" i="7"/>
  <c r="L3836" i="7"/>
  <c r="P3777" i="7" l="1"/>
  <c r="N3777" i="7"/>
  <c r="O3778" i="7" s="1"/>
  <c r="M3836" i="7"/>
  <c r="L3837" i="7"/>
  <c r="N3778" i="7" l="1"/>
  <c r="O3779" i="7" s="1"/>
  <c r="P3778" i="7"/>
  <c r="M3837" i="7"/>
  <c r="L3838" i="7"/>
  <c r="P3779" i="7" l="1"/>
  <c r="N3779" i="7"/>
  <c r="O3780" i="7" s="1"/>
  <c r="M3838" i="7"/>
  <c r="L3839" i="7"/>
  <c r="N3780" i="7" l="1"/>
  <c r="O3781" i="7" s="1"/>
  <c r="P3780" i="7"/>
  <c r="M3839" i="7"/>
  <c r="L3840" i="7"/>
  <c r="N3781" i="7" l="1"/>
  <c r="O3782" i="7" s="1"/>
  <c r="P3781" i="7"/>
  <c r="M3840" i="7"/>
  <c r="L3841" i="7"/>
  <c r="N3782" i="7" l="1"/>
  <c r="O3783" i="7" s="1"/>
  <c r="P3782" i="7"/>
  <c r="M3841" i="7"/>
  <c r="L3842" i="7"/>
  <c r="P3783" i="7" l="1"/>
  <c r="N3783" i="7"/>
  <c r="O3784" i="7" s="1"/>
  <c r="M3842" i="7"/>
  <c r="L3843" i="7"/>
  <c r="N3784" i="7" l="1"/>
  <c r="O3785" i="7" s="1"/>
  <c r="P3784" i="7"/>
  <c r="M3843" i="7"/>
  <c r="L3844" i="7"/>
  <c r="N3785" i="7" l="1"/>
  <c r="O3786" i="7" s="1"/>
  <c r="P3785" i="7"/>
  <c r="M3844" i="7"/>
  <c r="L3845" i="7"/>
  <c r="N3786" i="7" l="1"/>
  <c r="O3787" i="7" s="1"/>
  <c r="P3786" i="7"/>
  <c r="M3845" i="7"/>
  <c r="L3846" i="7"/>
  <c r="N3787" i="7" l="1"/>
  <c r="O3788" i="7" s="1"/>
  <c r="P3787" i="7"/>
  <c r="M3846" i="7"/>
  <c r="L3847" i="7"/>
  <c r="P3788" i="7" l="1"/>
  <c r="N3788" i="7"/>
  <c r="O3789" i="7" s="1"/>
  <c r="M3847" i="7"/>
  <c r="L3848" i="7"/>
  <c r="N3789" i="7" l="1"/>
  <c r="O3790" i="7" s="1"/>
  <c r="P3789" i="7"/>
  <c r="M3848" i="7"/>
  <c r="L3849" i="7"/>
  <c r="N3790" i="7" l="1"/>
  <c r="O3791" i="7" s="1"/>
  <c r="P3790" i="7"/>
  <c r="M3849" i="7"/>
  <c r="L3850" i="7"/>
  <c r="P3791" i="7" l="1"/>
  <c r="N3791" i="7"/>
  <c r="O3792" i="7" s="1"/>
  <c r="M3850" i="7"/>
  <c r="L3851" i="7"/>
  <c r="P3792" i="7" l="1"/>
  <c r="N3792" i="7"/>
  <c r="O3793" i="7" s="1"/>
  <c r="M3851" i="7"/>
  <c r="L3852" i="7"/>
  <c r="N3793" i="7" l="1"/>
  <c r="O3794" i="7" s="1"/>
  <c r="P3793" i="7"/>
  <c r="M3852" i="7"/>
  <c r="L3853" i="7"/>
  <c r="P3794" i="7" l="1"/>
  <c r="N3794" i="7"/>
  <c r="O3795" i="7" s="1"/>
  <c r="M3853" i="7"/>
  <c r="L3854" i="7"/>
  <c r="P3795" i="7" l="1"/>
  <c r="N3795" i="7"/>
  <c r="O3796" i="7" s="1"/>
  <c r="M3854" i="7"/>
  <c r="L3855" i="7"/>
  <c r="N3796" i="7" l="1"/>
  <c r="O3797" i="7" s="1"/>
  <c r="P3796" i="7"/>
  <c r="M3855" i="7"/>
  <c r="L3856" i="7"/>
  <c r="P3797" i="7" l="1"/>
  <c r="N3797" i="7"/>
  <c r="O3798" i="7" s="1"/>
  <c r="M3856" i="7"/>
  <c r="L3857" i="7"/>
  <c r="N3798" i="7" l="1"/>
  <c r="O3799" i="7" s="1"/>
  <c r="P3798" i="7"/>
  <c r="M3857" i="7"/>
  <c r="L3858" i="7"/>
  <c r="N3799" i="7" l="1"/>
  <c r="O3800" i="7" s="1"/>
  <c r="P3799" i="7"/>
  <c r="M3858" i="7"/>
  <c r="L3859" i="7"/>
  <c r="N3800" i="7" l="1"/>
  <c r="O3801" i="7" s="1"/>
  <c r="P3800" i="7"/>
  <c r="M3859" i="7"/>
  <c r="L3860" i="7"/>
  <c r="P3801" i="7" l="1"/>
  <c r="N3801" i="7"/>
  <c r="O3802" i="7" s="1"/>
  <c r="M3860" i="7"/>
  <c r="L3861" i="7"/>
  <c r="P3802" i="7" l="1"/>
  <c r="N3802" i="7"/>
  <c r="O3803" i="7" s="1"/>
  <c r="M3861" i="7"/>
  <c r="L3862" i="7"/>
  <c r="P3803" i="7" l="1"/>
  <c r="N3803" i="7"/>
  <c r="O3804" i="7" s="1"/>
  <c r="M3862" i="7"/>
  <c r="L3863" i="7"/>
  <c r="N3804" i="7" l="1"/>
  <c r="O3805" i="7" s="1"/>
  <c r="P3804" i="7"/>
  <c r="M3863" i="7"/>
  <c r="L3864" i="7"/>
  <c r="N3805" i="7" l="1"/>
  <c r="O3806" i="7" s="1"/>
  <c r="P3805" i="7"/>
  <c r="M3864" i="7"/>
  <c r="L3865" i="7"/>
  <c r="N3806" i="7" l="1"/>
  <c r="O3807" i="7" s="1"/>
  <c r="P3806" i="7"/>
  <c r="M3865" i="7"/>
  <c r="L3866" i="7"/>
  <c r="P3807" i="7" l="1"/>
  <c r="N3807" i="7"/>
  <c r="O3808" i="7" s="1"/>
  <c r="M3866" i="7"/>
  <c r="L3867" i="7"/>
  <c r="P3808" i="7" l="1"/>
  <c r="N3808" i="7"/>
  <c r="O3809" i="7" s="1"/>
  <c r="M3867" i="7"/>
  <c r="L3868" i="7"/>
  <c r="P3809" i="7" l="1"/>
  <c r="N3809" i="7"/>
  <c r="O3810" i="7" s="1"/>
  <c r="M3868" i="7"/>
  <c r="L3869" i="7"/>
  <c r="N3810" i="7" l="1"/>
  <c r="O3811" i="7" s="1"/>
  <c r="P3810" i="7"/>
  <c r="M3869" i="7"/>
  <c r="L3870" i="7"/>
  <c r="N3811" i="7" l="1"/>
  <c r="O3812" i="7" s="1"/>
  <c r="P3811" i="7"/>
  <c r="M3870" i="7"/>
  <c r="L3871" i="7"/>
  <c r="P3812" i="7" l="1"/>
  <c r="N3812" i="7"/>
  <c r="O3813" i="7" s="1"/>
  <c r="M3871" i="7"/>
  <c r="L3872" i="7"/>
  <c r="N3813" i="7" l="1"/>
  <c r="O3814" i="7" s="1"/>
  <c r="P3813" i="7"/>
  <c r="M3872" i="7"/>
  <c r="L3873" i="7"/>
  <c r="P3814" i="7" l="1"/>
  <c r="N3814" i="7"/>
  <c r="O3815" i="7" s="1"/>
  <c r="M3873" i="7"/>
  <c r="L3874" i="7"/>
  <c r="P3815" i="7" l="1"/>
  <c r="N3815" i="7"/>
  <c r="O3816" i="7" s="1"/>
  <c r="M3874" i="7"/>
  <c r="L3875" i="7"/>
  <c r="P3816" i="7" l="1"/>
  <c r="N3816" i="7"/>
  <c r="O3817" i="7" s="1"/>
  <c r="M3875" i="7"/>
  <c r="L3876" i="7"/>
  <c r="P3817" i="7" l="1"/>
  <c r="N3817" i="7"/>
  <c r="O3818" i="7" s="1"/>
  <c r="M3876" i="7"/>
  <c r="L3877" i="7"/>
  <c r="N3818" i="7" l="1"/>
  <c r="O3819" i="7" s="1"/>
  <c r="P3818" i="7"/>
  <c r="M3877" i="7"/>
  <c r="L3878" i="7"/>
  <c r="P3819" i="7" l="1"/>
  <c r="N3819" i="7"/>
  <c r="O3820" i="7" s="1"/>
  <c r="M3878" i="7"/>
  <c r="L3879" i="7"/>
  <c r="P3820" i="7" l="1"/>
  <c r="N3820" i="7"/>
  <c r="O3821" i="7" s="1"/>
  <c r="M3879" i="7"/>
  <c r="L3880" i="7"/>
  <c r="P3821" i="7" l="1"/>
  <c r="N3821" i="7"/>
  <c r="O3822" i="7" s="1"/>
  <c r="M3880" i="7"/>
  <c r="L3881" i="7"/>
  <c r="P3822" i="7" l="1"/>
  <c r="N3822" i="7"/>
  <c r="O3823" i="7" s="1"/>
  <c r="M3881" i="7"/>
  <c r="L3882" i="7"/>
  <c r="P3823" i="7" l="1"/>
  <c r="N3823" i="7"/>
  <c r="O3824" i="7" s="1"/>
  <c r="M3882" i="7"/>
  <c r="L3883" i="7"/>
  <c r="N3824" i="7" l="1"/>
  <c r="O3825" i="7" s="1"/>
  <c r="P3824" i="7"/>
  <c r="M3883" i="7"/>
  <c r="L3884" i="7"/>
  <c r="N3825" i="7" l="1"/>
  <c r="O3826" i="7" s="1"/>
  <c r="P3825" i="7"/>
  <c r="M3884" i="7"/>
  <c r="L3885" i="7"/>
  <c r="P3826" i="7" l="1"/>
  <c r="N3826" i="7"/>
  <c r="O3827" i="7" s="1"/>
  <c r="M3885" i="7"/>
  <c r="L3886" i="7"/>
  <c r="N3827" i="7" l="1"/>
  <c r="O3828" i="7" s="1"/>
  <c r="P3827" i="7"/>
  <c r="M3886" i="7"/>
  <c r="L3887" i="7"/>
  <c r="N3828" i="7" l="1"/>
  <c r="O3829" i="7" s="1"/>
  <c r="P3828" i="7"/>
  <c r="M3887" i="7"/>
  <c r="L3888" i="7"/>
  <c r="N3829" i="7" l="1"/>
  <c r="O3830" i="7" s="1"/>
  <c r="P3829" i="7"/>
  <c r="M3888" i="7"/>
  <c r="L3889" i="7"/>
  <c r="P3830" i="7" l="1"/>
  <c r="N3830" i="7"/>
  <c r="O3831" i="7" s="1"/>
  <c r="M3889" i="7"/>
  <c r="L3890" i="7"/>
  <c r="N3831" i="7" l="1"/>
  <c r="O3832" i="7" s="1"/>
  <c r="P3831" i="7"/>
  <c r="M3890" i="7"/>
  <c r="L3891" i="7"/>
  <c r="N3832" i="7" l="1"/>
  <c r="O3833" i="7" s="1"/>
  <c r="P3832" i="7"/>
  <c r="M3891" i="7"/>
  <c r="L3892" i="7"/>
  <c r="N3833" i="7" l="1"/>
  <c r="O3834" i="7" s="1"/>
  <c r="P3833" i="7"/>
  <c r="M3892" i="7"/>
  <c r="L3893" i="7"/>
  <c r="N3834" i="7" l="1"/>
  <c r="O3835" i="7" s="1"/>
  <c r="P3834" i="7"/>
  <c r="M3893" i="7"/>
  <c r="L3894" i="7"/>
  <c r="P3835" i="7" l="1"/>
  <c r="N3835" i="7"/>
  <c r="O3836" i="7" s="1"/>
  <c r="M3894" i="7"/>
  <c r="L3895" i="7"/>
  <c r="N3836" i="7" l="1"/>
  <c r="O3837" i="7" s="1"/>
  <c r="P3836" i="7"/>
  <c r="M3895" i="7"/>
  <c r="L3896" i="7"/>
  <c r="N3837" i="7" l="1"/>
  <c r="O3838" i="7" s="1"/>
  <c r="P3837" i="7"/>
  <c r="M3896" i="7"/>
  <c r="L3897" i="7"/>
  <c r="P3838" i="7" l="1"/>
  <c r="N3838" i="7"/>
  <c r="O3839" i="7" s="1"/>
  <c r="M3897" i="7"/>
  <c r="L3898" i="7"/>
  <c r="P3839" i="7" l="1"/>
  <c r="N3839" i="7"/>
  <c r="O3840" i="7" s="1"/>
  <c r="M3898" i="7"/>
  <c r="L3899" i="7"/>
  <c r="P3840" i="7" l="1"/>
  <c r="N3840" i="7"/>
  <c r="O3841" i="7" s="1"/>
  <c r="M3899" i="7"/>
  <c r="L3900" i="7"/>
  <c r="N3841" i="7" l="1"/>
  <c r="O3842" i="7" s="1"/>
  <c r="P3841" i="7"/>
  <c r="M3900" i="7"/>
  <c r="L3901" i="7"/>
  <c r="N3842" i="7" l="1"/>
  <c r="O3843" i="7" s="1"/>
  <c r="P3842" i="7"/>
  <c r="M3901" i="7"/>
  <c r="L3902" i="7"/>
  <c r="P3843" i="7" l="1"/>
  <c r="N3843" i="7"/>
  <c r="O3844" i="7" s="1"/>
  <c r="M3902" i="7"/>
  <c r="L3903" i="7"/>
  <c r="N3844" i="7" l="1"/>
  <c r="O3845" i="7" s="1"/>
  <c r="P3844" i="7"/>
  <c r="M3903" i="7"/>
  <c r="L3904" i="7"/>
  <c r="P3845" i="7" l="1"/>
  <c r="N3845" i="7"/>
  <c r="O3846" i="7" s="1"/>
  <c r="M3904" i="7"/>
  <c r="L3905" i="7"/>
  <c r="N3846" i="7" l="1"/>
  <c r="O3847" i="7" s="1"/>
  <c r="P3846" i="7"/>
  <c r="M3905" i="7"/>
  <c r="L3906" i="7"/>
  <c r="P3847" i="7" l="1"/>
  <c r="N3847" i="7"/>
  <c r="O3848" i="7" s="1"/>
  <c r="M3906" i="7"/>
  <c r="L3907" i="7"/>
  <c r="N3848" i="7" l="1"/>
  <c r="O3849" i="7" s="1"/>
  <c r="P3848" i="7"/>
  <c r="M3907" i="7"/>
  <c r="L3908" i="7"/>
  <c r="P3849" i="7" l="1"/>
  <c r="N3849" i="7"/>
  <c r="O3850" i="7" s="1"/>
  <c r="M3908" i="7"/>
  <c r="L3909" i="7"/>
  <c r="P3850" i="7" l="1"/>
  <c r="N3850" i="7"/>
  <c r="O3851" i="7" s="1"/>
  <c r="M3909" i="7"/>
  <c r="L3910" i="7"/>
  <c r="P3851" i="7" l="1"/>
  <c r="N3851" i="7"/>
  <c r="O3852" i="7" s="1"/>
  <c r="M3910" i="7"/>
  <c r="L3911" i="7"/>
  <c r="P3852" i="7" l="1"/>
  <c r="N3852" i="7"/>
  <c r="O3853" i="7" s="1"/>
  <c r="M3911" i="7"/>
  <c r="L3912" i="7"/>
  <c r="P3853" i="7" l="1"/>
  <c r="N3853" i="7"/>
  <c r="O3854" i="7" s="1"/>
  <c r="M3912" i="7"/>
  <c r="L3913" i="7"/>
  <c r="N3854" i="7" l="1"/>
  <c r="O3855" i="7" s="1"/>
  <c r="P3854" i="7"/>
  <c r="M3913" i="7"/>
  <c r="L3914" i="7"/>
  <c r="P3855" i="7" l="1"/>
  <c r="N3855" i="7"/>
  <c r="O3856" i="7" s="1"/>
  <c r="M3914" i="7"/>
  <c r="L3915" i="7"/>
  <c r="N3856" i="7" l="1"/>
  <c r="O3857" i="7" s="1"/>
  <c r="P3856" i="7"/>
  <c r="M3915" i="7"/>
  <c r="L3916" i="7"/>
  <c r="N3857" i="7" l="1"/>
  <c r="O3858" i="7" s="1"/>
  <c r="P3857" i="7"/>
  <c r="M3916" i="7"/>
  <c r="L3917" i="7"/>
  <c r="P3858" i="7" l="1"/>
  <c r="N3858" i="7"/>
  <c r="O3859" i="7" s="1"/>
  <c r="M3917" i="7"/>
  <c r="L3918" i="7"/>
  <c r="P3859" i="7" l="1"/>
  <c r="N3859" i="7"/>
  <c r="O3860" i="7" s="1"/>
  <c r="M3918" i="7"/>
  <c r="L3919" i="7"/>
  <c r="P3860" i="7" l="1"/>
  <c r="N3860" i="7"/>
  <c r="O3861" i="7" s="1"/>
  <c r="M3919" i="7"/>
  <c r="L3920" i="7"/>
  <c r="N3861" i="7" l="1"/>
  <c r="O3862" i="7" s="1"/>
  <c r="P3861" i="7"/>
  <c r="M3920" i="7"/>
  <c r="L3921" i="7"/>
  <c r="N3862" i="7" l="1"/>
  <c r="O3863" i="7" s="1"/>
  <c r="P3862" i="7"/>
  <c r="M3921" i="7"/>
  <c r="L3922" i="7"/>
  <c r="N3863" i="7" l="1"/>
  <c r="O3864" i="7" s="1"/>
  <c r="P3863" i="7"/>
  <c r="M3922" i="7"/>
  <c r="L3923" i="7"/>
  <c r="N3864" i="7" l="1"/>
  <c r="O3865" i="7" s="1"/>
  <c r="P3864" i="7"/>
  <c r="M3923" i="7"/>
  <c r="L3924" i="7"/>
  <c r="N3865" i="7" l="1"/>
  <c r="O3866" i="7" s="1"/>
  <c r="P3865" i="7"/>
  <c r="M3924" i="7"/>
  <c r="L3925" i="7"/>
  <c r="N3866" i="7" l="1"/>
  <c r="O3867" i="7" s="1"/>
  <c r="P3866" i="7"/>
  <c r="M3925" i="7"/>
  <c r="L3926" i="7"/>
  <c r="N3867" i="7" l="1"/>
  <c r="O3868" i="7" s="1"/>
  <c r="P3867" i="7"/>
  <c r="M3926" i="7"/>
  <c r="L3927" i="7"/>
  <c r="N3868" i="7" l="1"/>
  <c r="O3869" i="7" s="1"/>
  <c r="P3868" i="7"/>
  <c r="M3927" i="7"/>
  <c r="L3928" i="7"/>
  <c r="N3869" i="7" l="1"/>
  <c r="O3870" i="7" s="1"/>
  <c r="P3869" i="7"/>
  <c r="M3928" i="7"/>
  <c r="L3929" i="7"/>
  <c r="P3870" i="7" l="1"/>
  <c r="N3870" i="7"/>
  <c r="O3871" i="7" s="1"/>
  <c r="M3929" i="7"/>
  <c r="L3930" i="7"/>
  <c r="P3871" i="7" l="1"/>
  <c r="N3871" i="7"/>
  <c r="O3872" i="7" s="1"/>
  <c r="M3930" i="7"/>
  <c r="L3931" i="7"/>
  <c r="N3872" i="7" l="1"/>
  <c r="O3873" i="7" s="1"/>
  <c r="P3872" i="7"/>
  <c r="M3931" i="7"/>
  <c r="L3932" i="7"/>
  <c r="N3873" i="7" l="1"/>
  <c r="O3874" i="7" s="1"/>
  <c r="P3873" i="7"/>
  <c r="M3932" i="7"/>
  <c r="L3933" i="7"/>
  <c r="N3874" i="7" l="1"/>
  <c r="O3875" i="7" s="1"/>
  <c r="P3874" i="7"/>
  <c r="M3933" i="7"/>
  <c r="L3934" i="7"/>
  <c r="N3875" i="7" l="1"/>
  <c r="O3876" i="7" s="1"/>
  <c r="P3875" i="7"/>
  <c r="M3934" i="7"/>
  <c r="L3935" i="7"/>
  <c r="N3876" i="7" l="1"/>
  <c r="O3877" i="7" s="1"/>
  <c r="P3876" i="7"/>
  <c r="M3935" i="7"/>
  <c r="L3936" i="7"/>
  <c r="N3877" i="7" l="1"/>
  <c r="O3878" i="7" s="1"/>
  <c r="P3877" i="7"/>
  <c r="M3936" i="7"/>
  <c r="L3937" i="7"/>
  <c r="N3878" i="7" l="1"/>
  <c r="O3879" i="7" s="1"/>
  <c r="P3878" i="7"/>
  <c r="M3937" i="7"/>
  <c r="L3938" i="7"/>
  <c r="N3879" i="7" l="1"/>
  <c r="O3880" i="7" s="1"/>
  <c r="P3879" i="7"/>
  <c r="M3938" i="7"/>
  <c r="L3939" i="7"/>
  <c r="N3880" i="7" l="1"/>
  <c r="O3881" i="7" s="1"/>
  <c r="P3880" i="7"/>
  <c r="M3939" i="7"/>
  <c r="L3940" i="7"/>
  <c r="N3881" i="7" l="1"/>
  <c r="O3882" i="7" s="1"/>
  <c r="P3881" i="7"/>
  <c r="M3940" i="7"/>
  <c r="L3941" i="7"/>
  <c r="P3882" i="7" l="1"/>
  <c r="N3882" i="7"/>
  <c r="O3883" i="7" s="1"/>
  <c r="M3941" i="7"/>
  <c r="L3942" i="7"/>
  <c r="P3883" i="7" l="1"/>
  <c r="N3883" i="7"/>
  <c r="O3884" i="7" s="1"/>
  <c r="M3942" i="7"/>
  <c r="L3943" i="7"/>
  <c r="P3884" i="7" l="1"/>
  <c r="N3884" i="7"/>
  <c r="O3885" i="7" s="1"/>
  <c r="M3943" i="7"/>
  <c r="L3944" i="7"/>
  <c r="N3885" i="7" l="1"/>
  <c r="O3886" i="7" s="1"/>
  <c r="P3885" i="7"/>
  <c r="M3944" i="7"/>
  <c r="L3945" i="7"/>
  <c r="P3886" i="7" l="1"/>
  <c r="N3886" i="7"/>
  <c r="O3887" i="7" s="1"/>
  <c r="M3945" i="7"/>
  <c r="L3946" i="7"/>
  <c r="N3887" i="7" l="1"/>
  <c r="O3888" i="7" s="1"/>
  <c r="P3887" i="7"/>
  <c r="M3946" i="7"/>
  <c r="L3947" i="7"/>
  <c r="P3888" i="7" l="1"/>
  <c r="N3888" i="7"/>
  <c r="O3889" i="7" s="1"/>
  <c r="M3947" i="7"/>
  <c r="L3948" i="7"/>
  <c r="N3889" i="7" l="1"/>
  <c r="O3890" i="7" s="1"/>
  <c r="P3889" i="7"/>
  <c r="M3948" i="7"/>
  <c r="L3949" i="7"/>
  <c r="N3890" i="7" l="1"/>
  <c r="O3891" i="7" s="1"/>
  <c r="P3890" i="7"/>
  <c r="M3949" i="7"/>
  <c r="L3950" i="7"/>
  <c r="N3891" i="7" l="1"/>
  <c r="O3892" i="7" s="1"/>
  <c r="P3891" i="7"/>
  <c r="M3950" i="7"/>
  <c r="L3951" i="7"/>
  <c r="P3892" i="7" l="1"/>
  <c r="N3892" i="7"/>
  <c r="O3893" i="7" s="1"/>
  <c r="M3951" i="7"/>
  <c r="L3952" i="7"/>
  <c r="P3893" i="7" l="1"/>
  <c r="N3893" i="7"/>
  <c r="O3894" i="7" s="1"/>
  <c r="M3952" i="7"/>
  <c r="L3953" i="7"/>
  <c r="P3894" i="7" l="1"/>
  <c r="N3894" i="7"/>
  <c r="O3895" i="7" s="1"/>
  <c r="M3953" i="7"/>
  <c r="L3954" i="7"/>
  <c r="P3895" i="7" l="1"/>
  <c r="N3895" i="7"/>
  <c r="O3896" i="7" s="1"/>
  <c r="M3954" i="7"/>
  <c r="L3955" i="7"/>
  <c r="P3896" i="7" l="1"/>
  <c r="N3896" i="7"/>
  <c r="O3897" i="7" s="1"/>
  <c r="M3955" i="7"/>
  <c r="L3956" i="7"/>
  <c r="P3897" i="7" l="1"/>
  <c r="N3897" i="7"/>
  <c r="O3898" i="7" s="1"/>
  <c r="M3956" i="7"/>
  <c r="L3957" i="7"/>
  <c r="N3898" i="7" l="1"/>
  <c r="O3899" i="7" s="1"/>
  <c r="P3898" i="7"/>
  <c r="M3957" i="7"/>
  <c r="L3958" i="7"/>
  <c r="P3899" i="7" l="1"/>
  <c r="N3899" i="7"/>
  <c r="O3900" i="7" s="1"/>
  <c r="M3958" i="7"/>
  <c r="L3959" i="7"/>
  <c r="P3900" i="7" l="1"/>
  <c r="N3900" i="7"/>
  <c r="O3901" i="7" s="1"/>
  <c r="M3959" i="7"/>
  <c r="L3960" i="7"/>
  <c r="N3901" i="7" l="1"/>
  <c r="O3902" i="7" s="1"/>
  <c r="P3901" i="7"/>
  <c r="M3960" i="7"/>
  <c r="L3961" i="7"/>
  <c r="N3902" i="7" l="1"/>
  <c r="O3903" i="7" s="1"/>
  <c r="P3902" i="7"/>
  <c r="M3961" i="7"/>
  <c r="L3962" i="7"/>
  <c r="N3903" i="7" l="1"/>
  <c r="O3904" i="7" s="1"/>
  <c r="P3903" i="7"/>
  <c r="M3962" i="7"/>
  <c r="L3963" i="7"/>
  <c r="N3904" i="7" l="1"/>
  <c r="O3905" i="7" s="1"/>
  <c r="P3904" i="7"/>
  <c r="M3963" i="7"/>
  <c r="L3964" i="7"/>
  <c r="N3905" i="7" l="1"/>
  <c r="O3906" i="7" s="1"/>
  <c r="P3905" i="7"/>
  <c r="M3964" i="7"/>
  <c r="L3965" i="7"/>
  <c r="P3906" i="7" l="1"/>
  <c r="N3906" i="7"/>
  <c r="O3907" i="7" s="1"/>
  <c r="M3965" i="7"/>
  <c r="L3966" i="7"/>
  <c r="P3907" i="7" l="1"/>
  <c r="N3907" i="7"/>
  <c r="O3908" i="7" s="1"/>
  <c r="M3966" i="7"/>
  <c r="L3967" i="7"/>
  <c r="N3908" i="7" l="1"/>
  <c r="O3909" i="7" s="1"/>
  <c r="P3908" i="7"/>
  <c r="M3967" i="7"/>
  <c r="L3968" i="7"/>
  <c r="N3909" i="7" l="1"/>
  <c r="O3910" i="7" s="1"/>
  <c r="P3909" i="7"/>
  <c r="M3968" i="7"/>
  <c r="L3969" i="7"/>
  <c r="N3910" i="7" l="1"/>
  <c r="O3911" i="7" s="1"/>
  <c r="P3910" i="7"/>
  <c r="M3969" i="7"/>
  <c r="L3970" i="7"/>
  <c r="N3911" i="7" l="1"/>
  <c r="O3912" i="7" s="1"/>
  <c r="P3911" i="7"/>
  <c r="M3970" i="7"/>
  <c r="L3971" i="7"/>
  <c r="P3912" i="7" l="1"/>
  <c r="N3912" i="7"/>
  <c r="O3913" i="7" s="1"/>
  <c r="M3971" i="7"/>
  <c r="L3972" i="7"/>
  <c r="N3913" i="7" l="1"/>
  <c r="O3914" i="7" s="1"/>
  <c r="P3913" i="7"/>
  <c r="M3972" i="7"/>
  <c r="L3973" i="7"/>
  <c r="N3914" i="7" l="1"/>
  <c r="O3915" i="7" s="1"/>
  <c r="P3914" i="7"/>
  <c r="M3973" i="7"/>
  <c r="L3974" i="7"/>
  <c r="N3915" i="7" l="1"/>
  <c r="O3916" i="7" s="1"/>
  <c r="P3915" i="7"/>
  <c r="M3974" i="7"/>
  <c r="L3975" i="7"/>
  <c r="N3916" i="7" l="1"/>
  <c r="O3917" i="7" s="1"/>
  <c r="P3916" i="7"/>
  <c r="M3975" i="7"/>
  <c r="L3976" i="7"/>
  <c r="N3917" i="7" l="1"/>
  <c r="O3918" i="7" s="1"/>
  <c r="P3917" i="7"/>
  <c r="M3976" i="7"/>
  <c r="L3977" i="7"/>
  <c r="N3918" i="7" l="1"/>
  <c r="O3919" i="7" s="1"/>
  <c r="P3918" i="7"/>
  <c r="M3977" i="7"/>
  <c r="L3978" i="7"/>
  <c r="P3919" i="7" l="1"/>
  <c r="N3919" i="7"/>
  <c r="O3920" i="7" s="1"/>
  <c r="M3978" i="7"/>
  <c r="L3979" i="7"/>
  <c r="N3920" i="7" l="1"/>
  <c r="O3921" i="7" s="1"/>
  <c r="P3920" i="7"/>
  <c r="M3979" i="7"/>
  <c r="L3980" i="7"/>
  <c r="P3921" i="7" l="1"/>
  <c r="N3921" i="7"/>
  <c r="O3922" i="7" s="1"/>
  <c r="M3980" i="7"/>
  <c r="L3981" i="7"/>
  <c r="N3922" i="7" l="1"/>
  <c r="O3923" i="7" s="1"/>
  <c r="P3922" i="7"/>
  <c r="M3981" i="7"/>
  <c r="L3982" i="7"/>
  <c r="P3923" i="7" l="1"/>
  <c r="N3923" i="7"/>
  <c r="O3924" i="7" s="1"/>
  <c r="M3982" i="7"/>
  <c r="L3983" i="7"/>
  <c r="P3924" i="7" l="1"/>
  <c r="N3924" i="7"/>
  <c r="O3925" i="7" s="1"/>
  <c r="M3983" i="7"/>
  <c r="L3984" i="7"/>
  <c r="P3925" i="7" l="1"/>
  <c r="N3925" i="7"/>
  <c r="O3926" i="7" s="1"/>
  <c r="M3984" i="7"/>
  <c r="L3985" i="7"/>
  <c r="P3926" i="7" l="1"/>
  <c r="N3926" i="7"/>
  <c r="O3927" i="7" s="1"/>
  <c r="M3985" i="7"/>
  <c r="L3986" i="7"/>
  <c r="P3927" i="7" l="1"/>
  <c r="N3927" i="7"/>
  <c r="O3928" i="7" s="1"/>
  <c r="M3986" i="7"/>
  <c r="L3987" i="7"/>
  <c r="P3928" i="7" l="1"/>
  <c r="N3928" i="7"/>
  <c r="O3929" i="7" s="1"/>
  <c r="M3987" i="7"/>
  <c r="L3988" i="7"/>
  <c r="P3929" i="7" l="1"/>
  <c r="N3929" i="7"/>
  <c r="O3930" i="7" s="1"/>
  <c r="M3988" i="7"/>
  <c r="L3989" i="7"/>
  <c r="N3930" i="7" l="1"/>
  <c r="O3931" i="7" s="1"/>
  <c r="P3930" i="7"/>
  <c r="M3989" i="7"/>
  <c r="L3990" i="7"/>
  <c r="N3931" i="7" l="1"/>
  <c r="O3932" i="7" s="1"/>
  <c r="P3931" i="7"/>
  <c r="M3990" i="7"/>
  <c r="L3991" i="7"/>
  <c r="N3932" i="7" l="1"/>
  <c r="O3933" i="7" s="1"/>
  <c r="P3932" i="7"/>
  <c r="M3991" i="7"/>
  <c r="L3992" i="7"/>
  <c r="N3933" i="7" l="1"/>
  <c r="O3934" i="7" s="1"/>
  <c r="P3933" i="7"/>
  <c r="M3992" i="7"/>
  <c r="L3993" i="7"/>
  <c r="N3934" i="7" l="1"/>
  <c r="O3935" i="7" s="1"/>
  <c r="P3934" i="7"/>
  <c r="M3993" i="7"/>
  <c r="L3994" i="7"/>
  <c r="P3935" i="7" l="1"/>
  <c r="N3935" i="7"/>
  <c r="O3936" i="7" s="1"/>
  <c r="M3994" i="7"/>
  <c r="L3995" i="7"/>
  <c r="N3936" i="7" l="1"/>
  <c r="O3937" i="7" s="1"/>
  <c r="P3936" i="7"/>
  <c r="M3995" i="7"/>
  <c r="L3996" i="7"/>
  <c r="N3937" i="7" l="1"/>
  <c r="O3938" i="7" s="1"/>
  <c r="P3937" i="7"/>
  <c r="M3996" i="7"/>
  <c r="L3997" i="7"/>
  <c r="P3938" i="7" l="1"/>
  <c r="N3938" i="7"/>
  <c r="O3939" i="7" s="1"/>
  <c r="M3997" i="7"/>
  <c r="L3998" i="7"/>
  <c r="N3939" i="7" l="1"/>
  <c r="O3940" i="7" s="1"/>
  <c r="P3939" i="7"/>
  <c r="M3998" i="7"/>
  <c r="L3999" i="7"/>
  <c r="P3940" i="7" l="1"/>
  <c r="N3940" i="7"/>
  <c r="O3941" i="7" s="1"/>
  <c r="M3999" i="7"/>
  <c r="L4000" i="7"/>
  <c r="N3941" i="7" l="1"/>
  <c r="O3942" i="7" s="1"/>
  <c r="P3941" i="7"/>
  <c r="M4000" i="7"/>
  <c r="L4001" i="7"/>
  <c r="N3942" i="7" l="1"/>
  <c r="O3943" i="7" s="1"/>
  <c r="P3942" i="7"/>
  <c r="M4001" i="7"/>
  <c r="L4002" i="7"/>
  <c r="P3943" i="7" l="1"/>
  <c r="N3943" i="7"/>
  <c r="O3944" i="7" s="1"/>
  <c r="M4002" i="7"/>
  <c r="L4003" i="7"/>
  <c r="N3944" i="7" l="1"/>
  <c r="O3945" i="7" s="1"/>
  <c r="P3944" i="7"/>
  <c r="M4003" i="7"/>
  <c r="L4004" i="7"/>
  <c r="N3945" i="7" l="1"/>
  <c r="O3946" i="7" s="1"/>
  <c r="P3945" i="7"/>
  <c r="M4004" i="7"/>
  <c r="L4005" i="7"/>
  <c r="N3946" i="7" l="1"/>
  <c r="O3947" i="7" s="1"/>
  <c r="P3946" i="7"/>
  <c r="M4005" i="7"/>
  <c r="L4006" i="7"/>
  <c r="P3947" i="7" l="1"/>
  <c r="N3947" i="7"/>
  <c r="O3948" i="7" s="1"/>
  <c r="M4006" i="7"/>
  <c r="L4007" i="7"/>
  <c r="N3948" i="7" l="1"/>
  <c r="O3949" i="7" s="1"/>
  <c r="P3948" i="7"/>
  <c r="M4007" i="7"/>
  <c r="L4008" i="7"/>
  <c r="P3949" i="7" l="1"/>
  <c r="N3949" i="7"/>
  <c r="O3950" i="7" s="1"/>
  <c r="M4008" i="7"/>
  <c r="L4009" i="7"/>
  <c r="N3950" i="7" l="1"/>
  <c r="O3951" i="7" s="1"/>
  <c r="P3950" i="7"/>
  <c r="M4009" i="7"/>
  <c r="L4010" i="7"/>
  <c r="N3951" i="7" l="1"/>
  <c r="O3952" i="7" s="1"/>
  <c r="P3951" i="7"/>
  <c r="M4010" i="7"/>
  <c r="L4011" i="7"/>
  <c r="N3952" i="7" l="1"/>
  <c r="O3953" i="7" s="1"/>
  <c r="P3952" i="7"/>
  <c r="M4011" i="7"/>
  <c r="L4012" i="7"/>
  <c r="N3953" i="7" l="1"/>
  <c r="O3954" i="7" s="1"/>
  <c r="P3953" i="7"/>
  <c r="M4012" i="7"/>
  <c r="L4013" i="7"/>
  <c r="P3954" i="7" l="1"/>
  <c r="N3954" i="7"/>
  <c r="O3955" i="7" s="1"/>
  <c r="M4013" i="7"/>
  <c r="L4014" i="7"/>
  <c r="P3955" i="7" l="1"/>
  <c r="N3955" i="7"/>
  <c r="O3956" i="7" s="1"/>
  <c r="M4014" i="7"/>
  <c r="L4015" i="7"/>
  <c r="N3956" i="7" l="1"/>
  <c r="O3957" i="7" s="1"/>
  <c r="P3956" i="7"/>
  <c r="M4015" i="7"/>
  <c r="L4016" i="7"/>
  <c r="P3957" i="7" l="1"/>
  <c r="N3957" i="7"/>
  <c r="O3958" i="7" s="1"/>
  <c r="M4016" i="7"/>
  <c r="L4017" i="7"/>
  <c r="N3958" i="7" l="1"/>
  <c r="O3959" i="7" s="1"/>
  <c r="P3958" i="7"/>
  <c r="M4017" i="7"/>
  <c r="L4018" i="7"/>
  <c r="N3959" i="7" l="1"/>
  <c r="O3960" i="7" s="1"/>
  <c r="P3959" i="7"/>
  <c r="M4018" i="7"/>
  <c r="L4019" i="7"/>
  <c r="N3960" i="7" l="1"/>
  <c r="O3961" i="7" s="1"/>
  <c r="P3960" i="7"/>
  <c r="M4019" i="7"/>
  <c r="L4020" i="7"/>
  <c r="P3961" i="7" l="1"/>
  <c r="N3961" i="7"/>
  <c r="O3962" i="7" s="1"/>
  <c r="M4020" i="7"/>
  <c r="L4021" i="7"/>
  <c r="P3962" i="7" l="1"/>
  <c r="N3962" i="7"/>
  <c r="O3963" i="7" s="1"/>
  <c r="M4021" i="7"/>
  <c r="L4022" i="7"/>
  <c r="P3963" i="7" l="1"/>
  <c r="N3963" i="7"/>
  <c r="O3964" i="7" s="1"/>
  <c r="M4022" i="7"/>
  <c r="L4023" i="7"/>
  <c r="N3964" i="7" l="1"/>
  <c r="O3965" i="7" s="1"/>
  <c r="P3964" i="7"/>
  <c r="M4023" i="7"/>
  <c r="L4024" i="7"/>
  <c r="N3965" i="7" l="1"/>
  <c r="O3966" i="7" s="1"/>
  <c r="P3965" i="7"/>
  <c r="M4024" i="7"/>
  <c r="L4025" i="7"/>
  <c r="N3966" i="7" l="1"/>
  <c r="O3967" i="7" s="1"/>
  <c r="P3966" i="7"/>
  <c r="M4025" i="7"/>
  <c r="L4026" i="7"/>
  <c r="P3967" i="7" l="1"/>
  <c r="N3967" i="7"/>
  <c r="O3968" i="7" s="1"/>
  <c r="M4026" i="7"/>
  <c r="L4027" i="7"/>
  <c r="N3968" i="7" l="1"/>
  <c r="O3969" i="7" s="1"/>
  <c r="P3968" i="7"/>
  <c r="M4027" i="7"/>
  <c r="L4028" i="7"/>
  <c r="N3969" i="7" l="1"/>
  <c r="O3970" i="7" s="1"/>
  <c r="P3969" i="7"/>
  <c r="M4028" i="7"/>
  <c r="L4029" i="7"/>
  <c r="N3970" i="7" l="1"/>
  <c r="O3971" i="7" s="1"/>
  <c r="P3970" i="7"/>
  <c r="M4029" i="7"/>
  <c r="L4030" i="7"/>
  <c r="P3971" i="7" l="1"/>
  <c r="N3971" i="7"/>
  <c r="O3972" i="7" s="1"/>
  <c r="M4030" i="7"/>
  <c r="L4031" i="7"/>
  <c r="N3972" i="7" l="1"/>
  <c r="O3973" i="7" s="1"/>
  <c r="P3972" i="7"/>
  <c r="M4031" i="7"/>
  <c r="L4032" i="7"/>
  <c r="N3973" i="7" l="1"/>
  <c r="O3974" i="7" s="1"/>
  <c r="P3973" i="7"/>
  <c r="M4032" i="7"/>
  <c r="L4033" i="7"/>
  <c r="P3974" i="7" l="1"/>
  <c r="N3974" i="7"/>
  <c r="O3975" i="7" s="1"/>
  <c r="M4033" i="7"/>
  <c r="L4034" i="7"/>
  <c r="P3975" i="7" l="1"/>
  <c r="N3975" i="7"/>
  <c r="O3976" i="7" s="1"/>
  <c r="M4034" i="7"/>
  <c r="L4035" i="7"/>
  <c r="P3976" i="7" l="1"/>
  <c r="N3976" i="7"/>
  <c r="O3977" i="7" s="1"/>
  <c r="M4035" i="7"/>
  <c r="L4036" i="7"/>
  <c r="N3977" i="7" l="1"/>
  <c r="O3978" i="7" s="1"/>
  <c r="P3977" i="7"/>
  <c r="M4036" i="7"/>
  <c r="L4037" i="7"/>
  <c r="P3978" i="7" l="1"/>
  <c r="N3978" i="7"/>
  <c r="O3979" i="7" s="1"/>
  <c r="M4037" i="7"/>
  <c r="L4038" i="7"/>
  <c r="N3979" i="7" l="1"/>
  <c r="O3980" i="7" s="1"/>
  <c r="P3979" i="7"/>
  <c r="M4038" i="7"/>
  <c r="L4039" i="7"/>
  <c r="P3980" i="7" l="1"/>
  <c r="N3980" i="7"/>
  <c r="O3981" i="7" s="1"/>
  <c r="M4039" i="7"/>
  <c r="L4040" i="7"/>
  <c r="N3981" i="7" l="1"/>
  <c r="O3982" i="7" s="1"/>
  <c r="P3981" i="7"/>
  <c r="M4040" i="7"/>
  <c r="L4041" i="7"/>
  <c r="P3982" i="7" l="1"/>
  <c r="N3982" i="7"/>
  <c r="O3983" i="7" s="1"/>
  <c r="M4041" i="7"/>
  <c r="L4042" i="7"/>
  <c r="N3983" i="7" l="1"/>
  <c r="O3984" i="7" s="1"/>
  <c r="P3983" i="7"/>
  <c r="M4042" i="7"/>
  <c r="L4043" i="7"/>
  <c r="N3984" i="7" l="1"/>
  <c r="O3985" i="7" s="1"/>
  <c r="P3984" i="7"/>
  <c r="M4043" i="7"/>
  <c r="L4044" i="7"/>
  <c r="N3985" i="7" l="1"/>
  <c r="O3986" i="7" s="1"/>
  <c r="P3985" i="7"/>
  <c r="M4044" i="7"/>
  <c r="L4045" i="7"/>
  <c r="N3986" i="7" l="1"/>
  <c r="O3987" i="7" s="1"/>
  <c r="P3986" i="7"/>
  <c r="M4045" i="7"/>
  <c r="L4046" i="7"/>
  <c r="N3987" i="7" l="1"/>
  <c r="O3988" i="7" s="1"/>
  <c r="P3987" i="7"/>
  <c r="M4046" i="7"/>
  <c r="L4047" i="7"/>
  <c r="N3988" i="7" l="1"/>
  <c r="O3989" i="7" s="1"/>
  <c r="P3988" i="7"/>
  <c r="M4047" i="7"/>
  <c r="L4048" i="7"/>
  <c r="N3989" i="7" l="1"/>
  <c r="O3990" i="7" s="1"/>
  <c r="P3989" i="7"/>
  <c r="M4048" i="7"/>
  <c r="L4049" i="7"/>
  <c r="N3990" i="7" l="1"/>
  <c r="O3991" i="7" s="1"/>
  <c r="P3990" i="7"/>
  <c r="M4049" i="7"/>
  <c r="L4050" i="7"/>
  <c r="P3991" i="7" l="1"/>
  <c r="N3991" i="7"/>
  <c r="O3992" i="7" s="1"/>
  <c r="M4050" i="7"/>
  <c r="L4051" i="7"/>
  <c r="P3992" i="7" l="1"/>
  <c r="N3992" i="7"/>
  <c r="O3993" i="7" s="1"/>
  <c r="M4051" i="7"/>
  <c r="L4052" i="7"/>
  <c r="P3993" i="7" l="1"/>
  <c r="N3993" i="7"/>
  <c r="O3994" i="7" s="1"/>
  <c r="M4052" i="7"/>
  <c r="L4053" i="7"/>
  <c r="N3994" i="7" l="1"/>
  <c r="O3995" i="7" s="1"/>
  <c r="P3994" i="7"/>
  <c r="M4053" i="7"/>
  <c r="L4054" i="7"/>
  <c r="N3995" i="7" l="1"/>
  <c r="O3996" i="7" s="1"/>
  <c r="P3995" i="7"/>
  <c r="M4054" i="7"/>
  <c r="L4055" i="7"/>
  <c r="N3996" i="7" l="1"/>
  <c r="O3997" i="7" s="1"/>
  <c r="P3996" i="7"/>
  <c r="M4055" i="7"/>
  <c r="L4056" i="7"/>
  <c r="P3997" i="7" l="1"/>
  <c r="N3997" i="7"/>
  <c r="O3998" i="7" s="1"/>
  <c r="M4056" i="7"/>
  <c r="L4057" i="7"/>
  <c r="N3998" i="7" l="1"/>
  <c r="O3999" i="7" s="1"/>
  <c r="P3998" i="7"/>
  <c r="M4057" i="7"/>
  <c r="L4058" i="7"/>
  <c r="P3999" i="7" l="1"/>
  <c r="N3999" i="7"/>
  <c r="O4000" i="7" s="1"/>
  <c r="M4058" i="7"/>
  <c r="L4059" i="7"/>
  <c r="N4000" i="7" l="1"/>
  <c r="O4001" i="7" s="1"/>
  <c r="P4000" i="7"/>
  <c r="M4059" i="7"/>
  <c r="L4060" i="7"/>
  <c r="P4001" i="7" l="1"/>
  <c r="N4001" i="7"/>
  <c r="O4002" i="7" s="1"/>
  <c r="M4060" i="7"/>
  <c r="L4061" i="7"/>
  <c r="N4002" i="7" l="1"/>
  <c r="O4003" i="7" s="1"/>
  <c r="P4002" i="7"/>
  <c r="M4061" i="7"/>
  <c r="L4062" i="7"/>
  <c r="P4003" i="7" l="1"/>
  <c r="N4003" i="7"/>
  <c r="O4004" i="7" s="1"/>
  <c r="M4062" i="7"/>
  <c r="L4063" i="7"/>
  <c r="N4004" i="7" l="1"/>
  <c r="O4005" i="7" s="1"/>
  <c r="P4004" i="7"/>
  <c r="M4063" i="7"/>
  <c r="L4064" i="7"/>
  <c r="P4005" i="7" l="1"/>
  <c r="N4005" i="7"/>
  <c r="O4006" i="7" s="1"/>
  <c r="M4064" i="7"/>
  <c r="L4065" i="7"/>
  <c r="N4006" i="7" l="1"/>
  <c r="O4007" i="7" s="1"/>
  <c r="P4006" i="7"/>
  <c r="M4065" i="7"/>
  <c r="L4066" i="7"/>
  <c r="P4007" i="7" l="1"/>
  <c r="N4007" i="7"/>
  <c r="O4008" i="7" s="1"/>
  <c r="M4066" i="7"/>
  <c r="L4067" i="7"/>
  <c r="P4008" i="7" l="1"/>
  <c r="N4008" i="7"/>
  <c r="O4009" i="7" s="1"/>
  <c r="M4067" i="7"/>
  <c r="L4068" i="7"/>
  <c r="N4009" i="7" l="1"/>
  <c r="O4010" i="7" s="1"/>
  <c r="P4009" i="7"/>
  <c r="M4068" i="7"/>
  <c r="L4069" i="7"/>
  <c r="N4010" i="7" l="1"/>
  <c r="O4011" i="7" s="1"/>
  <c r="P4010" i="7"/>
  <c r="M4069" i="7"/>
  <c r="L4070" i="7"/>
  <c r="N4011" i="7" l="1"/>
  <c r="O4012" i="7" s="1"/>
  <c r="P4011" i="7"/>
  <c r="M4070" i="7"/>
  <c r="L4071" i="7"/>
  <c r="N4012" i="7" l="1"/>
  <c r="O4013" i="7" s="1"/>
  <c r="P4012" i="7"/>
  <c r="M4071" i="7"/>
  <c r="L4072" i="7"/>
  <c r="N4013" i="7" l="1"/>
  <c r="O4014" i="7" s="1"/>
  <c r="P4013" i="7"/>
  <c r="M4072" i="7"/>
  <c r="L4073" i="7"/>
  <c r="N4014" i="7" l="1"/>
  <c r="O4015" i="7" s="1"/>
  <c r="P4014" i="7"/>
  <c r="M4073" i="7"/>
  <c r="L4074" i="7"/>
  <c r="P4015" i="7" l="1"/>
  <c r="N4015" i="7"/>
  <c r="O4016" i="7" s="1"/>
  <c r="M4074" i="7"/>
  <c r="L4075" i="7"/>
  <c r="P4016" i="7" l="1"/>
  <c r="N4016" i="7"/>
  <c r="O4017" i="7" s="1"/>
  <c r="M4075" i="7"/>
  <c r="L4076" i="7"/>
  <c r="P4017" i="7" l="1"/>
  <c r="N4017" i="7"/>
  <c r="O4018" i="7" s="1"/>
  <c r="M4076" i="7"/>
  <c r="L4077" i="7"/>
  <c r="N4018" i="7" l="1"/>
  <c r="O4019" i="7" s="1"/>
  <c r="P4018" i="7"/>
  <c r="M4077" i="7"/>
  <c r="L4078" i="7"/>
  <c r="N4019" i="7" l="1"/>
  <c r="O4020" i="7" s="1"/>
  <c r="P4019" i="7"/>
  <c r="M4078" i="7"/>
  <c r="L4079" i="7"/>
  <c r="P4020" i="7" l="1"/>
  <c r="N4020" i="7"/>
  <c r="O4021" i="7" s="1"/>
  <c r="M4079" i="7"/>
  <c r="L4080" i="7"/>
  <c r="P4021" i="7" l="1"/>
  <c r="N4021" i="7"/>
  <c r="O4022" i="7" s="1"/>
  <c r="M4080" i="7"/>
  <c r="L4081" i="7"/>
  <c r="P4022" i="7" l="1"/>
  <c r="N4022" i="7"/>
  <c r="O4023" i="7" s="1"/>
  <c r="M4081" i="7"/>
  <c r="L4082" i="7"/>
  <c r="P4023" i="7" l="1"/>
  <c r="N4023" i="7"/>
  <c r="O4024" i="7" s="1"/>
  <c r="M4082" i="7"/>
  <c r="L4083" i="7"/>
  <c r="N4024" i="7" l="1"/>
  <c r="O4025" i="7" s="1"/>
  <c r="P4024" i="7"/>
  <c r="M4083" i="7"/>
  <c r="L4084" i="7"/>
  <c r="N4025" i="7" l="1"/>
  <c r="O4026" i="7" s="1"/>
  <c r="P4025" i="7"/>
  <c r="M4084" i="7"/>
  <c r="L4085" i="7"/>
  <c r="N4026" i="7" l="1"/>
  <c r="O4027" i="7" s="1"/>
  <c r="P4026" i="7"/>
  <c r="M4085" i="7"/>
  <c r="L4086" i="7"/>
  <c r="N4027" i="7" l="1"/>
  <c r="O4028" i="7" s="1"/>
  <c r="P4027" i="7"/>
  <c r="M4086" i="7"/>
  <c r="L4087" i="7"/>
  <c r="P4028" i="7" l="1"/>
  <c r="N4028" i="7"/>
  <c r="O4029" i="7" s="1"/>
  <c r="M4087" i="7"/>
  <c r="L4088" i="7"/>
  <c r="P4029" i="7" l="1"/>
  <c r="N4029" i="7"/>
  <c r="O4030" i="7" s="1"/>
  <c r="M4088" i="7"/>
  <c r="L4089" i="7"/>
  <c r="N4030" i="7" l="1"/>
  <c r="O4031" i="7" s="1"/>
  <c r="P4030" i="7"/>
  <c r="M4089" i="7"/>
  <c r="L4090" i="7"/>
  <c r="N4031" i="7" l="1"/>
  <c r="O4032" i="7" s="1"/>
  <c r="P4031" i="7"/>
  <c r="M4090" i="7"/>
  <c r="L4091" i="7"/>
  <c r="N4032" i="7" l="1"/>
  <c r="O4033" i="7" s="1"/>
  <c r="P4032" i="7"/>
  <c r="M4091" i="7"/>
  <c r="L4092" i="7"/>
  <c r="P4033" i="7" l="1"/>
  <c r="N4033" i="7"/>
  <c r="O4034" i="7" s="1"/>
  <c r="M4092" i="7"/>
  <c r="L4093" i="7"/>
  <c r="N4034" i="7" l="1"/>
  <c r="O4035" i="7" s="1"/>
  <c r="P4034" i="7"/>
  <c r="M4093" i="7"/>
  <c r="L4094" i="7"/>
  <c r="N4035" i="7" l="1"/>
  <c r="O4036" i="7" s="1"/>
  <c r="P4035" i="7"/>
  <c r="M4094" i="7"/>
  <c r="L4095" i="7"/>
  <c r="P4036" i="7" l="1"/>
  <c r="N4036" i="7"/>
  <c r="O4037" i="7" s="1"/>
  <c r="M4095" i="7"/>
  <c r="L4096" i="7"/>
  <c r="P4037" i="7" l="1"/>
  <c r="N4037" i="7"/>
  <c r="O4038" i="7" s="1"/>
  <c r="M4096" i="7"/>
  <c r="L4097" i="7"/>
  <c r="P4038" i="7" l="1"/>
  <c r="N4038" i="7"/>
  <c r="O4039" i="7" s="1"/>
  <c r="M4097" i="7"/>
  <c r="L4098" i="7"/>
  <c r="N4039" i="7" l="1"/>
  <c r="O4040" i="7" s="1"/>
  <c r="P4039" i="7"/>
  <c r="M4098" i="7"/>
  <c r="L4099" i="7"/>
  <c r="P4040" i="7" l="1"/>
  <c r="N4040" i="7"/>
  <c r="O4041" i="7" s="1"/>
  <c r="M4099" i="7"/>
  <c r="L4100" i="7"/>
  <c r="P4041" i="7" l="1"/>
  <c r="N4041" i="7"/>
  <c r="O4042" i="7" s="1"/>
  <c r="M4100" i="7"/>
  <c r="L4101" i="7"/>
  <c r="N4042" i="7" l="1"/>
  <c r="O4043" i="7" s="1"/>
  <c r="P4042" i="7"/>
  <c r="M4101" i="7"/>
  <c r="L4102" i="7"/>
  <c r="P4043" i="7" l="1"/>
  <c r="N4043" i="7"/>
  <c r="O4044" i="7" s="1"/>
  <c r="M4102" i="7"/>
  <c r="L4103" i="7"/>
  <c r="N4044" i="7" l="1"/>
  <c r="O4045" i="7" s="1"/>
  <c r="P4044" i="7"/>
  <c r="M4103" i="7"/>
  <c r="L4104" i="7"/>
  <c r="N4045" i="7" l="1"/>
  <c r="O4046" i="7" s="1"/>
  <c r="P4045" i="7"/>
  <c r="M4104" i="7"/>
  <c r="L4105" i="7"/>
  <c r="N4046" i="7" l="1"/>
  <c r="O4047" i="7" s="1"/>
  <c r="P4046" i="7"/>
  <c r="M4105" i="7"/>
  <c r="L4106" i="7"/>
  <c r="N4047" i="7" l="1"/>
  <c r="O4048" i="7" s="1"/>
  <c r="P4047" i="7"/>
  <c r="M4106" i="7"/>
  <c r="L4107" i="7"/>
  <c r="P4048" i="7" l="1"/>
  <c r="N4048" i="7"/>
  <c r="O4049" i="7" s="1"/>
  <c r="M4107" i="7"/>
  <c r="L4108" i="7"/>
  <c r="P4049" i="7" l="1"/>
  <c r="N4049" i="7"/>
  <c r="O4050" i="7" s="1"/>
  <c r="M4108" i="7"/>
  <c r="L4109" i="7"/>
  <c r="N4050" i="7" l="1"/>
  <c r="O4051" i="7" s="1"/>
  <c r="P4050" i="7"/>
  <c r="M4109" i="7"/>
  <c r="L4110" i="7"/>
  <c r="P4051" i="7" l="1"/>
  <c r="N4051" i="7"/>
  <c r="O4052" i="7" s="1"/>
  <c r="M4110" i="7"/>
  <c r="L4111" i="7"/>
  <c r="P4052" i="7" l="1"/>
  <c r="N4052" i="7"/>
  <c r="O4053" i="7" s="1"/>
  <c r="M4111" i="7"/>
  <c r="L4112" i="7"/>
  <c r="P4053" i="7" l="1"/>
  <c r="N4053" i="7"/>
  <c r="O4054" i="7" s="1"/>
  <c r="M4112" i="7"/>
  <c r="L4113" i="7"/>
  <c r="P4054" i="7" l="1"/>
  <c r="N4054" i="7"/>
  <c r="O4055" i="7" s="1"/>
  <c r="M4113" i="7"/>
  <c r="L4114" i="7"/>
  <c r="N4055" i="7" l="1"/>
  <c r="O4056" i="7" s="1"/>
  <c r="P4055" i="7"/>
  <c r="M4114" i="7"/>
  <c r="L4115" i="7"/>
  <c r="N4056" i="7" l="1"/>
  <c r="O4057" i="7" s="1"/>
  <c r="P4056" i="7"/>
  <c r="M4115" i="7"/>
  <c r="L4116" i="7"/>
  <c r="P4057" i="7" l="1"/>
  <c r="N4057" i="7"/>
  <c r="O4058" i="7" s="1"/>
  <c r="M4116" i="7"/>
  <c r="L4117" i="7"/>
  <c r="P4058" i="7" l="1"/>
  <c r="N4058" i="7"/>
  <c r="O4059" i="7" s="1"/>
  <c r="M4117" i="7"/>
  <c r="L4118" i="7"/>
  <c r="N4059" i="7" l="1"/>
  <c r="O4060" i="7" s="1"/>
  <c r="P4059" i="7"/>
  <c r="M4118" i="7"/>
  <c r="L4119" i="7"/>
  <c r="P4060" i="7" l="1"/>
  <c r="N4060" i="7"/>
  <c r="O4061" i="7" s="1"/>
  <c r="M4119" i="7"/>
  <c r="L4120" i="7"/>
  <c r="N4061" i="7" l="1"/>
  <c r="O4062" i="7" s="1"/>
  <c r="P4061" i="7"/>
  <c r="M4120" i="7"/>
  <c r="L4121" i="7"/>
  <c r="P4062" i="7" l="1"/>
  <c r="N4062" i="7"/>
  <c r="O4063" i="7" s="1"/>
  <c r="M4121" i="7"/>
  <c r="L4122" i="7"/>
  <c r="N4063" i="7" l="1"/>
  <c r="O4064" i="7" s="1"/>
  <c r="P4063" i="7"/>
  <c r="M4122" i="7"/>
  <c r="L4123" i="7"/>
  <c r="N4064" i="7" l="1"/>
  <c r="O4065" i="7" s="1"/>
  <c r="P4064" i="7"/>
  <c r="M4123" i="7"/>
  <c r="L4124" i="7"/>
  <c r="N4065" i="7" l="1"/>
  <c r="O4066" i="7" s="1"/>
  <c r="P4065" i="7"/>
  <c r="M4124" i="7"/>
  <c r="L4125" i="7"/>
  <c r="N4066" i="7" l="1"/>
  <c r="O4067" i="7" s="1"/>
  <c r="P4066" i="7"/>
  <c r="M4125" i="7"/>
  <c r="L4126" i="7"/>
  <c r="P4067" i="7" l="1"/>
  <c r="N4067" i="7"/>
  <c r="O4068" i="7" s="1"/>
  <c r="M4126" i="7"/>
  <c r="L4127" i="7"/>
  <c r="N4068" i="7" l="1"/>
  <c r="O4069" i="7" s="1"/>
  <c r="P4068" i="7"/>
  <c r="M4127" i="7"/>
  <c r="L4128" i="7"/>
  <c r="P4069" i="7" l="1"/>
  <c r="N4069" i="7"/>
  <c r="O4070" i="7" s="1"/>
  <c r="M4128" i="7"/>
  <c r="L4129" i="7"/>
  <c r="P4070" i="7" l="1"/>
  <c r="N4070" i="7"/>
  <c r="O4071" i="7" s="1"/>
  <c r="M4129" i="7"/>
  <c r="L4130" i="7"/>
  <c r="P4071" i="7" l="1"/>
  <c r="N4071" i="7"/>
  <c r="O4072" i="7" s="1"/>
  <c r="M4130" i="7"/>
  <c r="L4131" i="7"/>
  <c r="P4072" i="7" l="1"/>
  <c r="N4072" i="7"/>
  <c r="O4073" i="7" s="1"/>
  <c r="M4131" i="7"/>
  <c r="L4132" i="7"/>
  <c r="P4073" i="7" l="1"/>
  <c r="N4073" i="7"/>
  <c r="O4074" i="7" s="1"/>
  <c r="M4132" i="7"/>
  <c r="L4133" i="7"/>
  <c r="N4074" i="7" l="1"/>
  <c r="O4075" i="7" s="1"/>
  <c r="P4074" i="7"/>
  <c r="M4133" i="7"/>
  <c r="L4134" i="7"/>
  <c r="P4075" i="7" l="1"/>
  <c r="N4075" i="7"/>
  <c r="O4076" i="7" s="1"/>
  <c r="M4134" i="7"/>
  <c r="L4135" i="7"/>
  <c r="N4076" i="7" l="1"/>
  <c r="O4077" i="7" s="1"/>
  <c r="P4076" i="7"/>
  <c r="M4135" i="7"/>
  <c r="L4136" i="7"/>
  <c r="N4077" i="7" l="1"/>
  <c r="O4078" i="7" s="1"/>
  <c r="P4077" i="7"/>
  <c r="M4136" i="7"/>
  <c r="L4137" i="7"/>
  <c r="N4078" i="7" l="1"/>
  <c r="O4079" i="7" s="1"/>
  <c r="P4078" i="7"/>
  <c r="M4137" i="7"/>
  <c r="L4138" i="7"/>
  <c r="P4079" i="7" l="1"/>
  <c r="N4079" i="7"/>
  <c r="O4080" i="7" s="1"/>
  <c r="M4138" i="7"/>
  <c r="L4139" i="7"/>
  <c r="N4080" i="7" l="1"/>
  <c r="O4081" i="7" s="1"/>
  <c r="P4080" i="7"/>
  <c r="M4139" i="7"/>
  <c r="L4140" i="7"/>
  <c r="P4081" i="7" l="1"/>
  <c r="N4081" i="7"/>
  <c r="O4082" i="7" s="1"/>
  <c r="M4140" i="7"/>
  <c r="L4141" i="7"/>
  <c r="P4082" i="7" l="1"/>
  <c r="N4082" i="7"/>
  <c r="O4083" i="7" s="1"/>
  <c r="M4141" i="7"/>
  <c r="L4142" i="7"/>
  <c r="N4083" i="7" l="1"/>
  <c r="O4084" i="7" s="1"/>
  <c r="P4083" i="7"/>
  <c r="M4142" i="7"/>
  <c r="L4143" i="7"/>
  <c r="P4084" i="7" l="1"/>
  <c r="N4084" i="7"/>
  <c r="O4085" i="7" s="1"/>
  <c r="M4143" i="7"/>
  <c r="L4144" i="7"/>
  <c r="P4085" i="7" l="1"/>
  <c r="N4085" i="7"/>
  <c r="O4086" i="7" s="1"/>
  <c r="M4144" i="7"/>
  <c r="L4145" i="7"/>
  <c r="N4086" i="7" l="1"/>
  <c r="O4087" i="7" s="1"/>
  <c r="P4086" i="7"/>
  <c r="M4145" i="7"/>
  <c r="L4146" i="7"/>
  <c r="P4087" i="7" l="1"/>
  <c r="N4087" i="7"/>
  <c r="O4088" i="7" s="1"/>
  <c r="M4146" i="7"/>
  <c r="L4147" i="7"/>
  <c r="N4088" i="7" l="1"/>
  <c r="O4089" i="7" s="1"/>
  <c r="P4088" i="7"/>
  <c r="M4147" i="7"/>
  <c r="L4148" i="7"/>
  <c r="P4089" i="7" l="1"/>
  <c r="N4089" i="7"/>
  <c r="O4090" i="7" s="1"/>
  <c r="M4148" i="7"/>
  <c r="L4149" i="7"/>
  <c r="P4090" i="7" l="1"/>
  <c r="N4090" i="7"/>
  <c r="O4091" i="7" s="1"/>
  <c r="M4149" i="7"/>
  <c r="L4150" i="7"/>
  <c r="P4091" i="7" l="1"/>
  <c r="N4091" i="7"/>
  <c r="O4092" i="7" s="1"/>
  <c r="M4150" i="7"/>
  <c r="L4151" i="7"/>
  <c r="P4092" i="7" l="1"/>
  <c r="N4092" i="7"/>
  <c r="O4093" i="7" s="1"/>
  <c r="M4151" i="7"/>
  <c r="L4152" i="7"/>
  <c r="N4093" i="7" l="1"/>
  <c r="O4094" i="7" s="1"/>
  <c r="P4093" i="7"/>
  <c r="M4152" i="7"/>
  <c r="L4153" i="7"/>
  <c r="P4094" i="7" l="1"/>
  <c r="N4094" i="7"/>
  <c r="O4095" i="7" s="1"/>
  <c r="M4153" i="7"/>
  <c r="L4154" i="7"/>
  <c r="N4095" i="7" l="1"/>
  <c r="O4096" i="7" s="1"/>
  <c r="P4095" i="7"/>
  <c r="M4154" i="7"/>
  <c r="L4155" i="7"/>
  <c r="N4096" i="7" l="1"/>
  <c r="O4097" i="7" s="1"/>
  <c r="P4096" i="7"/>
  <c r="M4155" i="7"/>
  <c r="L4156" i="7"/>
  <c r="N4097" i="7" l="1"/>
  <c r="O4098" i="7" s="1"/>
  <c r="P4097" i="7"/>
  <c r="M4156" i="7"/>
  <c r="L4157" i="7"/>
  <c r="N4098" i="7" l="1"/>
  <c r="O4099" i="7" s="1"/>
  <c r="P4098" i="7"/>
  <c r="M4157" i="7"/>
  <c r="L4158" i="7"/>
  <c r="N4099" i="7" l="1"/>
  <c r="O4100" i="7" s="1"/>
  <c r="P4099" i="7"/>
  <c r="M4158" i="7"/>
  <c r="L4159" i="7"/>
  <c r="P4100" i="7" l="1"/>
  <c r="N4100" i="7"/>
  <c r="O4101" i="7" s="1"/>
  <c r="M4159" i="7"/>
  <c r="L4160" i="7"/>
  <c r="P4101" i="7" l="1"/>
  <c r="N4101" i="7"/>
  <c r="O4102" i="7" s="1"/>
  <c r="M4160" i="7"/>
  <c r="L4161" i="7"/>
  <c r="P4102" i="7" l="1"/>
  <c r="N4102" i="7"/>
  <c r="O4103" i="7" s="1"/>
  <c r="M4161" i="7"/>
  <c r="L4162" i="7"/>
  <c r="N4103" i="7" l="1"/>
  <c r="O4104" i="7" s="1"/>
  <c r="P4103" i="7"/>
  <c r="M4162" i="7"/>
  <c r="L4163" i="7"/>
  <c r="N4104" i="7" l="1"/>
  <c r="O4105" i="7" s="1"/>
  <c r="P4104" i="7"/>
  <c r="M4163" i="7"/>
  <c r="L4164" i="7"/>
  <c r="P4105" i="7" l="1"/>
  <c r="N4105" i="7"/>
  <c r="O4106" i="7" s="1"/>
  <c r="M4164" i="7"/>
  <c r="L4165" i="7"/>
  <c r="P4106" i="7" l="1"/>
  <c r="N4106" i="7"/>
  <c r="O4107" i="7" s="1"/>
  <c r="M4165" i="7"/>
  <c r="L4166" i="7"/>
  <c r="N4107" i="7" l="1"/>
  <c r="O4108" i="7" s="1"/>
  <c r="P4107" i="7"/>
  <c r="M4166" i="7"/>
  <c r="L4167" i="7"/>
  <c r="P4108" i="7" l="1"/>
  <c r="N4108" i="7"/>
  <c r="O4109" i="7" s="1"/>
  <c r="M4167" i="7"/>
  <c r="L4168" i="7"/>
  <c r="P4109" i="7" l="1"/>
  <c r="N4109" i="7"/>
  <c r="O4110" i="7" s="1"/>
  <c r="M4168" i="7"/>
  <c r="L4169" i="7"/>
  <c r="N4110" i="7" l="1"/>
  <c r="O4111" i="7" s="1"/>
  <c r="P4110" i="7"/>
  <c r="M4169" i="7"/>
  <c r="L4170" i="7"/>
  <c r="N4111" i="7" l="1"/>
  <c r="O4112" i="7" s="1"/>
  <c r="P4111" i="7"/>
  <c r="M4170" i="7"/>
  <c r="L4171" i="7"/>
  <c r="N4112" i="7" l="1"/>
  <c r="O4113" i="7" s="1"/>
  <c r="P4112" i="7"/>
  <c r="M4171" i="7"/>
  <c r="L4172" i="7"/>
  <c r="P4113" i="7" l="1"/>
  <c r="N4113" i="7"/>
  <c r="O4114" i="7" s="1"/>
  <c r="M4172" i="7"/>
  <c r="L4173" i="7"/>
  <c r="N4114" i="7" l="1"/>
  <c r="O4115" i="7" s="1"/>
  <c r="P4114" i="7"/>
  <c r="M4173" i="7"/>
  <c r="L4174" i="7"/>
  <c r="N4115" i="7" l="1"/>
  <c r="O4116" i="7" s="1"/>
  <c r="P4115" i="7"/>
  <c r="M4174" i="7"/>
  <c r="L4175" i="7"/>
  <c r="N4116" i="7" l="1"/>
  <c r="O4117" i="7" s="1"/>
  <c r="P4116" i="7"/>
  <c r="M4175" i="7"/>
  <c r="L4176" i="7"/>
  <c r="P4117" i="7" l="1"/>
  <c r="N4117" i="7"/>
  <c r="O4118" i="7" s="1"/>
  <c r="M4176" i="7"/>
  <c r="L4177" i="7"/>
  <c r="P4118" i="7" l="1"/>
  <c r="N4118" i="7"/>
  <c r="O4119" i="7" s="1"/>
  <c r="M4177" i="7"/>
  <c r="L4178" i="7"/>
  <c r="N4119" i="7" l="1"/>
  <c r="O4120" i="7" s="1"/>
  <c r="P4119" i="7"/>
  <c r="M4178" i="7"/>
  <c r="L4179" i="7"/>
  <c r="N4120" i="7" l="1"/>
  <c r="O4121" i="7" s="1"/>
  <c r="P4120" i="7"/>
  <c r="M4179" i="7"/>
  <c r="L4180" i="7"/>
  <c r="N4121" i="7" l="1"/>
  <c r="O4122" i="7" s="1"/>
  <c r="P4121" i="7"/>
  <c r="M4180" i="7"/>
  <c r="L4181" i="7"/>
  <c r="P4122" i="7" l="1"/>
  <c r="N4122" i="7"/>
  <c r="O4123" i="7" s="1"/>
  <c r="M4181" i="7"/>
  <c r="L4182" i="7"/>
  <c r="P4123" i="7" l="1"/>
  <c r="N4123" i="7"/>
  <c r="O4124" i="7" s="1"/>
  <c r="M4182" i="7"/>
  <c r="L4183" i="7"/>
  <c r="P4124" i="7" l="1"/>
  <c r="N4124" i="7"/>
  <c r="O4125" i="7" s="1"/>
  <c r="M4183" i="7"/>
  <c r="L4184" i="7"/>
  <c r="P4125" i="7" l="1"/>
  <c r="N4125" i="7"/>
  <c r="O4126" i="7" s="1"/>
  <c r="M4184" i="7"/>
  <c r="L4185" i="7"/>
  <c r="N4126" i="7" l="1"/>
  <c r="O4127" i="7" s="1"/>
  <c r="P4126" i="7"/>
  <c r="M4185" i="7"/>
  <c r="L4186" i="7"/>
  <c r="N4127" i="7" l="1"/>
  <c r="O4128" i="7" s="1"/>
  <c r="P4127" i="7"/>
  <c r="M4186" i="7"/>
  <c r="L4187" i="7"/>
  <c r="N4128" i="7" l="1"/>
  <c r="O4129" i="7" s="1"/>
  <c r="P4128" i="7"/>
  <c r="M4187" i="7"/>
  <c r="L4188" i="7"/>
  <c r="N4129" i="7" l="1"/>
  <c r="O4130" i="7" s="1"/>
  <c r="P4129" i="7"/>
  <c r="M4188" i="7"/>
  <c r="L4189" i="7"/>
  <c r="P4130" i="7" l="1"/>
  <c r="N4130" i="7"/>
  <c r="O4131" i="7" s="1"/>
  <c r="M4189" i="7"/>
  <c r="L4190" i="7"/>
  <c r="N4131" i="7" l="1"/>
  <c r="O4132" i="7" s="1"/>
  <c r="P4131" i="7"/>
  <c r="M4190" i="7"/>
  <c r="L4191" i="7"/>
  <c r="N4132" i="7" l="1"/>
  <c r="O4133" i="7" s="1"/>
  <c r="P4132" i="7"/>
  <c r="M4191" i="7"/>
  <c r="L4192" i="7"/>
  <c r="N4133" i="7" l="1"/>
  <c r="O4134" i="7" s="1"/>
  <c r="P4133" i="7"/>
  <c r="M4192" i="7"/>
  <c r="L4193" i="7"/>
  <c r="P4134" i="7" l="1"/>
  <c r="N4134" i="7"/>
  <c r="O4135" i="7" s="1"/>
  <c r="M4193" i="7"/>
  <c r="L4194" i="7"/>
  <c r="N4135" i="7" l="1"/>
  <c r="O4136" i="7" s="1"/>
  <c r="P4135" i="7"/>
  <c r="M4194" i="7"/>
  <c r="L4195" i="7"/>
  <c r="P4136" i="7" l="1"/>
  <c r="N4136" i="7"/>
  <c r="O4137" i="7" s="1"/>
  <c r="M4195" i="7"/>
  <c r="L4196" i="7"/>
  <c r="P4137" i="7" l="1"/>
  <c r="N4137" i="7"/>
  <c r="O4138" i="7" s="1"/>
  <c r="M4196" i="7"/>
  <c r="L4197" i="7"/>
  <c r="N4138" i="7" l="1"/>
  <c r="O4139" i="7" s="1"/>
  <c r="P4138" i="7"/>
  <c r="M4197" i="7"/>
  <c r="L4198" i="7"/>
  <c r="N4139" i="7" l="1"/>
  <c r="O4140" i="7" s="1"/>
  <c r="P4139" i="7"/>
  <c r="M4198" i="7"/>
  <c r="L4199" i="7"/>
  <c r="N4140" i="7" l="1"/>
  <c r="O4141" i="7" s="1"/>
  <c r="P4140" i="7"/>
  <c r="M4199" i="7"/>
  <c r="L4200" i="7"/>
  <c r="P4141" i="7" l="1"/>
  <c r="N4141" i="7"/>
  <c r="O4142" i="7" s="1"/>
  <c r="M4200" i="7"/>
  <c r="L4201" i="7"/>
  <c r="N4142" i="7" l="1"/>
  <c r="O4143" i="7" s="1"/>
  <c r="P4142" i="7"/>
  <c r="M4201" i="7"/>
  <c r="L4202" i="7"/>
  <c r="N4143" i="7" l="1"/>
  <c r="O4144" i="7" s="1"/>
  <c r="P4143" i="7"/>
  <c r="M4202" i="7"/>
  <c r="L4203" i="7"/>
  <c r="P4144" i="7" l="1"/>
  <c r="N4144" i="7"/>
  <c r="O4145" i="7" s="1"/>
  <c r="M4203" i="7"/>
  <c r="L4204" i="7"/>
  <c r="P4145" i="7" l="1"/>
  <c r="N4145" i="7"/>
  <c r="O4146" i="7" s="1"/>
  <c r="M4204" i="7"/>
  <c r="L4205" i="7"/>
  <c r="P4146" i="7" l="1"/>
  <c r="N4146" i="7"/>
  <c r="O4147" i="7" s="1"/>
  <c r="M4205" i="7"/>
  <c r="L4206" i="7"/>
  <c r="N4147" i="7" l="1"/>
  <c r="O4148" i="7" s="1"/>
  <c r="P4147" i="7"/>
  <c r="M4206" i="7"/>
  <c r="L4207" i="7"/>
  <c r="P4148" i="7" l="1"/>
  <c r="N4148" i="7"/>
  <c r="O4149" i="7" s="1"/>
  <c r="M4207" i="7"/>
  <c r="L4208" i="7"/>
  <c r="P4149" i="7" l="1"/>
  <c r="N4149" i="7"/>
  <c r="O4150" i="7" s="1"/>
  <c r="M4208" i="7"/>
  <c r="L4209" i="7"/>
  <c r="P4150" i="7" l="1"/>
  <c r="N4150" i="7"/>
  <c r="O4151" i="7" s="1"/>
  <c r="M4209" i="7"/>
  <c r="L4210" i="7"/>
  <c r="N4151" i="7" l="1"/>
  <c r="O4152" i="7" s="1"/>
  <c r="P4151" i="7"/>
  <c r="M4210" i="7"/>
  <c r="L4211" i="7"/>
  <c r="P4152" i="7" l="1"/>
  <c r="N4152" i="7"/>
  <c r="O4153" i="7" s="1"/>
  <c r="M4211" i="7"/>
  <c r="L4212" i="7"/>
  <c r="P4153" i="7" l="1"/>
  <c r="N4153" i="7"/>
  <c r="O4154" i="7" s="1"/>
  <c r="M4212" i="7"/>
  <c r="L4213" i="7"/>
  <c r="N4154" i="7" l="1"/>
  <c r="O4155" i="7" s="1"/>
  <c r="P4154" i="7"/>
  <c r="M4213" i="7"/>
  <c r="L4214" i="7"/>
  <c r="N4155" i="7" l="1"/>
  <c r="O4156" i="7" s="1"/>
  <c r="P4155" i="7"/>
  <c r="M4214" i="7"/>
  <c r="L4215" i="7"/>
  <c r="N4156" i="7" l="1"/>
  <c r="O4157" i="7" s="1"/>
  <c r="P4156" i="7"/>
  <c r="M4215" i="7"/>
  <c r="L4216" i="7"/>
  <c r="P4157" i="7" l="1"/>
  <c r="N4157" i="7"/>
  <c r="O4158" i="7" s="1"/>
  <c r="M4216" i="7"/>
  <c r="L4217" i="7"/>
  <c r="N4158" i="7" l="1"/>
  <c r="O4159" i="7" s="1"/>
  <c r="P4158" i="7"/>
  <c r="M4217" i="7"/>
  <c r="L4218" i="7"/>
  <c r="P4159" i="7" l="1"/>
  <c r="N4159" i="7"/>
  <c r="O4160" i="7" s="1"/>
  <c r="M4218" i="7"/>
  <c r="L4219" i="7"/>
  <c r="N4160" i="7" l="1"/>
  <c r="O4161" i="7" s="1"/>
  <c r="P4160" i="7"/>
  <c r="M4219" i="7"/>
  <c r="L4220" i="7"/>
  <c r="N4161" i="7" l="1"/>
  <c r="O4162" i="7" s="1"/>
  <c r="P4161" i="7"/>
  <c r="M4220" i="7"/>
  <c r="L4221" i="7"/>
  <c r="P4162" i="7" l="1"/>
  <c r="N4162" i="7"/>
  <c r="O4163" i="7" s="1"/>
  <c r="M4221" i="7"/>
  <c r="L4222" i="7"/>
  <c r="P4163" i="7" l="1"/>
  <c r="N4163" i="7"/>
  <c r="O4164" i="7" s="1"/>
  <c r="M4222" i="7"/>
  <c r="L4223" i="7"/>
  <c r="P4164" i="7" l="1"/>
  <c r="N4164" i="7"/>
  <c r="O4165" i="7" s="1"/>
  <c r="M4223" i="7"/>
  <c r="L4224" i="7"/>
  <c r="P4165" i="7" l="1"/>
  <c r="N4165" i="7"/>
  <c r="O4166" i="7" s="1"/>
  <c r="M4224" i="7"/>
  <c r="L4225" i="7"/>
  <c r="N4166" i="7" l="1"/>
  <c r="O4167" i="7" s="1"/>
  <c r="P4166" i="7"/>
  <c r="M4225" i="7"/>
  <c r="L4226" i="7"/>
  <c r="N4167" i="7" l="1"/>
  <c r="O4168" i="7" s="1"/>
  <c r="P4167" i="7"/>
  <c r="M4226" i="7"/>
  <c r="L4227" i="7"/>
  <c r="P4168" i="7" l="1"/>
  <c r="N4168" i="7"/>
  <c r="O4169" i="7" s="1"/>
  <c r="M4227" i="7"/>
  <c r="L4228" i="7"/>
  <c r="P4169" i="7" l="1"/>
  <c r="N4169" i="7"/>
  <c r="O4170" i="7" s="1"/>
  <c r="M4228" i="7"/>
  <c r="L4229" i="7"/>
  <c r="N4170" i="7" l="1"/>
  <c r="O4171" i="7" s="1"/>
  <c r="P4170" i="7"/>
  <c r="M4229" i="7"/>
  <c r="L4230" i="7"/>
  <c r="P4171" i="7" l="1"/>
  <c r="N4171" i="7"/>
  <c r="O4172" i="7" s="1"/>
  <c r="M4230" i="7"/>
  <c r="L4231" i="7"/>
  <c r="N4172" i="7" l="1"/>
  <c r="O4173" i="7" s="1"/>
  <c r="P4172" i="7"/>
  <c r="M4231" i="7"/>
  <c r="L4232" i="7"/>
  <c r="P4173" i="7" l="1"/>
  <c r="N4173" i="7"/>
  <c r="O4174" i="7" s="1"/>
  <c r="M4232" i="7"/>
  <c r="L4233" i="7"/>
  <c r="P4174" i="7" l="1"/>
  <c r="N4174" i="7"/>
  <c r="O4175" i="7" s="1"/>
  <c r="M4233" i="7"/>
  <c r="L4234" i="7"/>
  <c r="N4175" i="7" l="1"/>
  <c r="O4176" i="7" s="1"/>
  <c r="P4175" i="7"/>
  <c r="M4234" i="7"/>
  <c r="L4235" i="7"/>
  <c r="N4176" i="7" l="1"/>
  <c r="O4177" i="7" s="1"/>
  <c r="P4176" i="7"/>
  <c r="M4235" i="7"/>
  <c r="L4236" i="7"/>
  <c r="P4177" i="7" l="1"/>
  <c r="N4177" i="7"/>
  <c r="O4178" i="7" s="1"/>
  <c r="M4236" i="7"/>
  <c r="L4237" i="7"/>
  <c r="N4178" i="7" l="1"/>
  <c r="O4179" i="7" s="1"/>
  <c r="P4178" i="7"/>
  <c r="M4237" i="7"/>
  <c r="L4238" i="7"/>
  <c r="N4179" i="7" l="1"/>
  <c r="O4180" i="7" s="1"/>
  <c r="P4179" i="7"/>
  <c r="M4238" i="7"/>
  <c r="L4239" i="7"/>
  <c r="N4180" i="7" l="1"/>
  <c r="O4181" i="7" s="1"/>
  <c r="P4180" i="7"/>
  <c r="M4239" i="7"/>
  <c r="L4240" i="7"/>
  <c r="N4181" i="7" l="1"/>
  <c r="O4182" i="7" s="1"/>
  <c r="P4181" i="7"/>
  <c r="M4240" i="7"/>
  <c r="L4241" i="7"/>
  <c r="N4182" i="7" l="1"/>
  <c r="O4183" i="7" s="1"/>
  <c r="P4182" i="7"/>
  <c r="M4241" i="7"/>
  <c r="L4242" i="7"/>
  <c r="P4183" i="7" l="1"/>
  <c r="N4183" i="7"/>
  <c r="O4184" i="7" s="1"/>
  <c r="M4242" i="7"/>
  <c r="L4243" i="7"/>
  <c r="N4184" i="7" l="1"/>
  <c r="O4185" i="7" s="1"/>
  <c r="P4184" i="7"/>
  <c r="M4243" i="7"/>
  <c r="L4244" i="7"/>
  <c r="P4185" i="7" l="1"/>
  <c r="N4185" i="7"/>
  <c r="O4186" i="7" s="1"/>
  <c r="M4244" i="7"/>
  <c r="L4245" i="7"/>
  <c r="N4186" i="7" l="1"/>
  <c r="O4187" i="7" s="1"/>
  <c r="P4186" i="7"/>
  <c r="M4245" i="7"/>
  <c r="L4246" i="7"/>
  <c r="N4187" i="7" l="1"/>
  <c r="O4188" i="7" s="1"/>
  <c r="P4187" i="7"/>
  <c r="M4246" i="7"/>
  <c r="L4247" i="7"/>
  <c r="P4188" i="7" l="1"/>
  <c r="N4188" i="7"/>
  <c r="O4189" i="7" s="1"/>
  <c r="M4247" i="7"/>
  <c r="L4248" i="7"/>
  <c r="N4189" i="7" l="1"/>
  <c r="O4190" i="7" s="1"/>
  <c r="P4189" i="7"/>
  <c r="M4248" i="7"/>
  <c r="L4249" i="7"/>
  <c r="P4190" i="7" l="1"/>
  <c r="N4190" i="7"/>
  <c r="O4191" i="7" s="1"/>
  <c r="M4249" i="7"/>
  <c r="L4250" i="7"/>
  <c r="N4191" i="7" l="1"/>
  <c r="O4192" i="7" s="1"/>
  <c r="P4191" i="7"/>
  <c r="M4250" i="7"/>
  <c r="L4251" i="7"/>
  <c r="P4192" i="7" l="1"/>
  <c r="N4192" i="7"/>
  <c r="O4193" i="7" s="1"/>
  <c r="M4251" i="7"/>
  <c r="L4252" i="7"/>
  <c r="P4193" i="7" l="1"/>
  <c r="N4193" i="7"/>
  <c r="O4194" i="7" s="1"/>
  <c r="M4252" i="7"/>
  <c r="L4253" i="7"/>
  <c r="P4194" i="7" l="1"/>
  <c r="N4194" i="7"/>
  <c r="O4195" i="7" s="1"/>
  <c r="M4253" i="7"/>
  <c r="L4254" i="7"/>
  <c r="N4195" i="7" l="1"/>
  <c r="O4196" i="7" s="1"/>
  <c r="P4195" i="7"/>
  <c r="M4254" i="7"/>
  <c r="L4255" i="7"/>
  <c r="N4196" i="7" l="1"/>
  <c r="O4197" i="7" s="1"/>
  <c r="P4196" i="7"/>
  <c r="M4255" i="7"/>
  <c r="L4256" i="7"/>
  <c r="P4197" i="7" l="1"/>
  <c r="N4197" i="7"/>
  <c r="O4198" i="7" s="1"/>
  <c r="M4256" i="7"/>
  <c r="L4257" i="7"/>
  <c r="N4198" i="7" l="1"/>
  <c r="O4199" i="7" s="1"/>
  <c r="P4198" i="7"/>
  <c r="M4257" i="7"/>
  <c r="L4258" i="7"/>
  <c r="P4199" i="7" l="1"/>
  <c r="N4199" i="7"/>
  <c r="O4200" i="7" s="1"/>
  <c r="M4258" i="7"/>
  <c r="L4259" i="7"/>
  <c r="N4200" i="7" l="1"/>
  <c r="O4201" i="7" s="1"/>
  <c r="P4200" i="7"/>
  <c r="M4259" i="7"/>
  <c r="L4260" i="7"/>
  <c r="P4201" i="7" l="1"/>
  <c r="N4201" i="7"/>
  <c r="O4202" i="7" s="1"/>
  <c r="M4260" i="7"/>
  <c r="L4261" i="7"/>
  <c r="P4202" i="7" l="1"/>
  <c r="N4202" i="7"/>
  <c r="O4203" i="7" s="1"/>
  <c r="M4261" i="7"/>
  <c r="L4262" i="7"/>
  <c r="P4203" i="7" l="1"/>
  <c r="N4203" i="7"/>
  <c r="O4204" i="7" s="1"/>
  <c r="M4262" i="7"/>
  <c r="L4263" i="7"/>
  <c r="P4204" i="7" l="1"/>
  <c r="N4204" i="7"/>
  <c r="O4205" i="7" s="1"/>
  <c r="M4263" i="7"/>
  <c r="L4264" i="7"/>
  <c r="N4205" i="7" l="1"/>
  <c r="O4206" i="7" s="1"/>
  <c r="P4205" i="7"/>
  <c r="M4264" i="7"/>
  <c r="L4265" i="7"/>
  <c r="N4206" i="7" l="1"/>
  <c r="O4207" i="7" s="1"/>
  <c r="P4206" i="7"/>
  <c r="M4265" i="7"/>
  <c r="L4266" i="7"/>
  <c r="P4207" i="7" l="1"/>
  <c r="N4207" i="7"/>
  <c r="O4208" i="7" s="1"/>
  <c r="M4266" i="7"/>
  <c r="L4267" i="7"/>
  <c r="P4208" i="7" l="1"/>
  <c r="N4208" i="7"/>
  <c r="O4209" i="7" s="1"/>
  <c r="M4267" i="7"/>
  <c r="L4268" i="7"/>
  <c r="P4209" i="7" l="1"/>
  <c r="N4209" i="7"/>
  <c r="O4210" i="7" s="1"/>
  <c r="M4268" i="7"/>
  <c r="L4269" i="7"/>
  <c r="P4210" i="7" l="1"/>
  <c r="N4210" i="7"/>
  <c r="O4211" i="7" s="1"/>
  <c r="M4269" i="7"/>
  <c r="L4270" i="7"/>
  <c r="N4211" i="7" l="1"/>
  <c r="O4212" i="7" s="1"/>
  <c r="P4211" i="7"/>
  <c r="M4270" i="7"/>
  <c r="L4271" i="7"/>
  <c r="N4212" i="7" l="1"/>
  <c r="O4213" i="7" s="1"/>
  <c r="P4212" i="7"/>
  <c r="M4271" i="7"/>
  <c r="L4272" i="7"/>
  <c r="N4213" i="7" l="1"/>
  <c r="O4214" i="7" s="1"/>
  <c r="P4213" i="7"/>
  <c r="M4272" i="7"/>
  <c r="L4273" i="7"/>
  <c r="N4214" i="7" l="1"/>
  <c r="O4215" i="7" s="1"/>
  <c r="P4214" i="7"/>
  <c r="M4273" i="7"/>
  <c r="L4274" i="7"/>
  <c r="N4215" i="7" l="1"/>
  <c r="O4216" i="7" s="1"/>
  <c r="P4215" i="7"/>
  <c r="M4274" i="7"/>
  <c r="L4275" i="7"/>
  <c r="N4216" i="7" l="1"/>
  <c r="O4217" i="7" s="1"/>
  <c r="P4216" i="7"/>
  <c r="M4275" i="7"/>
  <c r="L4276" i="7"/>
  <c r="N4217" i="7" l="1"/>
  <c r="O4218" i="7" s="1"/>
  <c r="P4217" i="7"/>
  <c r="M4276" i="7"/>
  <c r="L4277" i="7"/>
  <c r="P4218" i="7" l="1"/>
  <c r="N4218" i="7"/>
  <c r="O4219" i="7" s="1"/>
  <c r="M4277" i="7"/>
  <c r="L4278" i="7"/>
  <c r="N4219" i="7" l="1"/>
  <c r="O4220" i="7" s="1"/>
  <c r="P4219" i="7"/>
  <c r="M4278" i="7"/>
  <c r="L4279" i="7"/>
  <c r="N4220" i="7" l="1"/>
  <c r="O4221" i="7" s="1"/>
  <c r="P4220" i="7"/>
  <c r="M4279" i="7"/>
  <c r="L4280" i="7"/>
  <c r="N4221" i="7" l="1"/>
  <c r="O4222" i="7" s="1"/>
  <c r="P4221" i="7"/>
  <c r="M4280" i="7"/>
  <c r="L4281" i="7"/>
  <c r="P4222" i="7" l="1"/>
  <c r="N4222" i="7"/>
  <c r="O4223" i="7" s="1"/>
  <c r="M4281" i="7"/>
  <c r="L4282" i="7"/>
  <c r="P4223" i="7" l="1"/>
  <c r="N4223" i="7"/>
  <c r="O4224" i="7" s="1"/>
  <c r="M4282" i="7"/>
  <c r="L4283" i="7"/>
  <c r="P4224" i="7" l="1"/>
  <c r="N4224" i="7"/>
  <c r="O4225" i="7" s="1"/>
  <c r="M4283" i="7"/>
  <c r="L4284" i="7"/>
  <c r="N4225" i="7" l="1"/>
  <c r="O4226" i="7" s="1"/>
  <c r="P4225" i="7"/>
  <c r="M4284" i="7"/>
  <c r="L4285" i="7"/>
  <c r="P4226" i="7" l="1"/>
  <c r="N4226" i="7"/>
  <c r="O4227" i="7" s="1"/>
  <c r="M4285" i="7"/>
  <c r="L4286" i="7"/>
  <c r="P4227" i="7" l="1"/>
  <c r="N4227" i="7"/>
  <c r="O4228" i="7" s="1"/>
  <c r="M4286" i="7"/>
  <c r="L4287" i="7"/>
  <c r="N4228" i="7" l="1"/>
  <c r="O4229" i="7" s="1"/>
  <c r="P4228" i="7"/>
  <c r="M4287" i="7"/>
  <c r="L4288" i="7"/>
  <c r="P4229" i="7" l="1"/>
  <c r="N4229" i="7"/>
  <c r="O4230" i="7" s="1"/>
  <c r="M4288" i="7"/>
  <c r="L4289" i="7"/>
  <c r="N4230" i="7" l="1"/>
  <c r="O4231" i="7" s="1"/>
  <c r="P4230" i="7"/>
  <c r="M4289" i="7"/>
  <c r="L4290" i="7"/>
  <c r="N4231" i="7" l="1"/>
  <c r="O4232" i="7" s="1"/>
  <c r="P4231" i="7"/>
  <c r="M4290" i="7"/>
  <c r="L4291" i="7"/>
  <c r="N4232" i="7" l="1"/>
  <c r="O4233" i="7" s="1"/>
  <c r="P4232" i="7"/>
  <c r="M4291" i="7"/>
  <c r="L4292" i="7"/>
  <c r="N4233" i="7" l="1"/>
  <c r="O4234" i="7" s="1"/>
  <c r="P4233" i="7"/>
  <c r="M4292" i="7"/>
  <c r="L4293" i="7"/>
  <c r="N4234" i="7" l="1"/>
  <c r="O4235" i="7" s="1"/>
  <c r="P4234" i="7"/>
  <c r="M4293" i="7"/>
  <c r="L4294" i="7"/>
  <c r="N4235" i="7" l="1"/>
  <c r="O4236" i="7" s="1"/>
  <c r="P4235" i="7"/>
  <c r="M4294" i="7"/>
  <c r="L4295" i="7"/>
  <c r="N4236" i="7" l="1"/>
  <c r="O4237" i="7" s="1"/>
  <c r="P4236" i="7"/>
  <c r="M4295" i="7"/>
  <c r="L4296" i="7"/>
  <c r="N4237" i="7" l="1"/>
  <c r="O4238" i="7" s="1"/>
  <c r="P4237" i="7"/>
  <c r="M4296" i="7"/>
  <c r="L4297" i="7"/>
  <c r="N4238" i="7" l="1"/>
  <c r="O4239" i="7" s="1"/>
  <c r="P4238" i="7"/>
  <c r="M4297" i="7"/>
  <c r="L4298" i="7"/>
  <c r="N4239" i="7" l="1"/>
  <c r="O4240" i="7" s="1"/>
  <c r="P4239" i="7"/>
  <c r="M4298" i="7"/>
  <c r="L4299" i="7"/>
  <c r="N4240" i="7" l="1"/>
  <c r="O4241" i="7" s="1"/>
  <c r="P4240" i="7"/>
  <c r="M4299" i="7"/>
  <c r="L4300" i="7"/>
  <c r="N4241" i="7" l="1"/>
  <c r="O4242" i="7" s="1"/>
  <c r="P4241" i="7"/>
  <c r="M4300" i="7"/>
  <c r="L4301" i="7"/>
  <c r="N4242" i="7" l="1"/>
  <c r="O4243" i="7" s="1"/>
  <c r="P4242" i="7"/>
  <c r="M4301" i="7"/>
  <c r="L4302" i="7"/>
  <c r="N4243" i="7" l="1"/>
  <c r="O4244" i="7" s="1"/>
  <c r="P4243" i="7"/>
  <c r="M4302" i="7"/>
  <c r="L4303" i="7"/>
  <c r="P4244" i="7" l="1"/>
  <c r="N4244" i="7"/>
  <c r="O4245" i="7" s="1"/>
  <c r="M4303" i="7"/>
  <c r="L4304" i="7"/>
  <c r="N4245" i="7" l="1"/>
  <c r="O4246" i="7" s="1"/>
  <c r="P4245" i="7"/>
  <c r="M4304" i="7"/>
  <c r="L4305" i="7"/>
  <c r="N4246" i="7" l="1"/>
  <c r="O4247" i="7" s="1"/>
  <c r="P4246" i="7"/>
  <c r="M4305" i="7"/>
  <c r="L4306" i="7"/>
  <c r="P4247" i="7" l="1"/>
  <c r="N4247" i="7"/>
  <c r="O4248" i="7" s="1"/>
  <c r="M4306" i="7"/>
  <c r="L4307" i="7"/>
  <c r="P4248" i="7" l="1"/>
  <c r="N4248" i="7"/>
  <c r="O4249" i="7" s="1"/>
  <c r="M4307" i="7"/>
  <c r="L4308" i="7"/>
  <c r="N4249" i="7" l="1"/>
  <c r="O4250" i="7" s="1"/>
  <c r="P4249" i="7"/>
  <c r="M4308" i="7"/>
  <c r="L4309" i="7"/>
  <c r="N4250" i="7" l="1"/>
  <c r="O4251" i="7" s="1"/>
  <c r="P4250" i="7"/>
  <c r="M4309" i="7"/>
  <c r="L4310" i="7"/>
  <c r="N4251" i="7" l="1"/>
  <c r="O4252" i="7" s="1"/>
  <c r="P4251" i="7"/>
  <c r="M4310" i="7"/>
  <c r="L4311" i="7"/>
  <c r="N4252" i="7" l="1"/>
  <c r="O4253" i="7" s="1"/>
  <c r="P4252" i="7"/>
  <c r="M4311" i="7"/>
  <c r="L4312" i="7"/>
  <c r="P4253" i="7" l="1"/>
  <c r="N4253" i="7"/>
  <c r="O4254" i="7" s="1"/>
  <c r="M4312" i="7"/>
  <c r="L4313" i="7"/>
  <c r="P4254" i="7" l="1"/>
  <c r="N4254" i="7"/>
  <c r="O4255" i="7" s="1"/>
  <c r="M4313" i="7"/>
  <c r="L4314" i="7"/>
  <c r="P4255" i="7" l="1"/>
  <c r="N4255" i="7"/>
  <c r="O4256" i="7" s="1"/>
  <c r="M4314" i="7"/>
  <c r="L4315" i="7"/>
  <c r="P4256" i="7" l="1"/>
  <c r="N4256" i="7"/>
  <c r="O4257" i="7" s="1"/>
  <c r="M4315" i="7"/>
  <c r="L4316" i="7"/>
  <c r="N4257" i="7" l="1"/>
  <c r="O4258" i="7" s="1"/>
  <c r="P4257" i="7"/>
  <c r="M4316" i="7"/>
  <c r="L4317" i="7"/>
  <c r="P4258" i="7" l="1"/>
  <c r="N4258" i="7"/>
  <c r="O4259" i="7" s="1"/>
  <c r="M4317" i="7"/>
  <c r="L4318" i="7"/>
  <c r="P4259" i="7" l="1"/>
  <c r="N4259" i="7"/>
  <c r="O4260" i="7" s="1"/>
  <c r="M4318" i="7"/>
  <c r="L4319" i="7"/>
  <c r="P4260" i="7" l="1"/>
  <c r="N4260" i="7"/>
  <c r="O4261" i="7" s="1"/>
  <c r="M4319" i="7"/>
  <c r="L4320" i="7"/>
  <c r="N4261" i="7" l="1"/>
  <c r="O4262" i="7" s="1"/>
  <c r="P4261" i="7"/>
  <c r="M4320" i="7"/>
  <c r="L4321" i="7"/>
  <c r="N4262" i="7" l="1"/>
  <c r="O4263" i="7" s="1"/>
  <c r="P4262" i="7"/>
  <c r="M4321" i="7"/>
  <c r="L4322" i="7"/>
  <c r="P4263" i="7" l="1"/>
  <c r="N4263" i="7"/>
  <c r="O4264" i="7" s="1"/>
  <c r="M4322" i="7"/>
  <c r="L4323" i="7"/>
  <c r="N4264" i="7" l="1"/>
  <c r="O4265" i="7" s="1"/>
  <c r="P4264" i="7"/>
  <c r="M4323" i="7"/>
  <c r="L4324" i="7"/>
  <c r="P4265" i="7" l="1"/>
  <c r="N4265" i="7"/>
  <c r="O4266" i="7" s="1"/>
  <c r="M4324" i="7"/>
  <c r="L4325" i="7"/>
  <c r="P4266" i="7" l="1"/>
  <c r="N4266" i="7"/>
  <c r="O4267" i="7" s="1"/>
  <c r="M4325" i="7"/>
  <c r="L4326" i="7"/>
  <c r="P4267" i="7" l="1"/>
  <c r="N4267" i="7"/>
  <c r="O4268" i="7" s="1"/>
  <c r="M4326" i="7"/>
  <c r="L4327" i="7"/>
  <c r="P4268" i="7" l="1"/>
  <c r="N4268" i="7"/>
  <c r="O4269" i="7" s="1"/>
  <c r="M4327" i="7"/>
  <c r="L4328" i="7"/>
  <c r="N4269" i="7" l="1"/>
  <c r="O4270" i="7" s="1"/>
  <c r="P4269" i="7"/>
  <c r="M4328" i="7"/>
  <c r="L4329" i="7"/>
  <c r="P4270" i="7" l="1"/>
  <c r="N4270" i="7"/>
  <c r="O4271" i="7" s="1"/>
  <c r="M4329" i="7"/>
  <c r="L4330" i="7"/>
  <c r="N4271" i="7" l="1"/>
  <c r="O4272" i="7" s="1"/>
  <c r="P4271" i="7"/>
  <c r="M4330" i="7"/>
  <c r="L4331" i="7"/>
  <c r="P4272" i="7" l="1"/>
  <c r="N4272" i="7"/>
  <c r="O4273" i="7" s="1"/>
  <c r="M4331" i="7"/>
  <c r="L4332" i="7"/>
  <c r="N4273" i="7" l="1"/>
  <c r="O4274" i="7" s="1"/>
  <c r="P4273" i="7"/>
  <c r="M4332" i="7"/>
  <c r="L4333" i="7"/>
  <c r="P4274" i="7" l="1"/>
  <c r="N4274" i="7"/>
  <c r="O4275" i="7" s="1"/>
  <c r="M4333" i="7"/>
  <c r="L4334" i="7"/>
  <c r="N4275" i="7" l="1"/>
  <c r="O4276" i="7" s="1"/>
  <c r="P4275" i="7"/>
  <c r="M4334" i="7"/>
  <c r="L4335" i="7"/>
  <c r="N4276" i="7" l="1"/>
  <c r="O4277" i="7" s="1"/>
  <c r="P4276" i="7"/>
  <c r="M4335" i="7"/>
  <c r="L4336" i="7"/>
  <c r="P4277" i="7" l="1"/>
  <c r="N4277" i="7"/>
  <c r="O4278" i="7" s="1"/>
  <c r="M4336" i="7"/>
  <c r="L4337" i="7"/>
  <c r="P4278" i="7" l="1"/>
  <c r="N4278" i="7"/>
  <c r="O4279" i="7" s="1"/>
  <c r="M4337" i="7"/>
  <c r="L4338" i="7"/>
  <c r="N4279" i="7" l="1"/>
  <c r="O4280" i="7" s="1"/>
  <c r="P4279" i="7"/>
  <c r="M4338" i="7"/>
  <c r="L4339" i="7"/>
  <c r="N4280" i="7" l="1"/>
  <c r="O4281" i="7" s="1"/>
  <c r="P4280" i="7"/>
  <c r="M4339" i="7"/>
  <c r="L4340" i="7"/>
  <c r="P4281" i="7" l="1"/>
  <c r="N4281" i="7"/>
  <c r="O4282" i="7" s="1"/>
  <c r="M4340" i="7"/>
  <c r="L4341" i="7"/>
  <c r="P4282" i="7" l="1"/>
  <c r="N4282" i="7"/>
  <c r="O4283" i="7" s="1"/>
  <c r="M4341" i="7"/>
  <c r="L4342" i="7"/>
  <c r="P4283" i="7" l="1"/>
  <c r="N4283" i="7"/>
  <c r="O4284" i="7" s="1"/>
  <c r="M4342" i="7"/>
  <c r="L4343" i="7"/>
  <c r="P4284" i="7" l="1"/>
  <c r="N4284" i="7"/>
  <c r="O4285" i="7" s="1"/>
  <c r="M4343" i="7"/>
  <c r="L4344" i="7"/>
  <c r="N4285" i="7" l="1"/>
  <c r="O4286" i="7" s="1"/>
  <c r="P4285" i="7"/>
  <c r="M4344" i="7"/>
  <c r="L4345" i="7"/>
  <c r="P4286" i="7" l="1"/>
  <c r="N4286" i="7"/>
  <c r="O4287" i="7" s="1"/>
  <c r="M4345" i="7"/>
  <c r="L4346" i="7"/>
  <c r="P4287" i="7" l="1"/>
  <c r="N4287" i="7"/>
  <c r="O4288" i="7" s="1"/>
  <c r="M4346" i="7"/>
  <c r="L4347" i="7"/>
  <c r="P4288" i="7" l="1"/>
  <c r="N4288" i="7"/>
  <c r="O4289" i="7" s="1"/>
  <c r="M4347" i="7"/>
  <c r="L4348" i="7"/>
  <c r="N4289" i="7" l="1"/>
  <c r="O4290" i="7" s="1"/>
  <c r="P4289" i="7"/>
  <c r="M4348" i="7"/>
  <c r="L4349" i="7"/>
  <c r="P4290" i="7" l="1"/>
  <c r="N4290" i="7"/>
  <c r="O4291" i="7" s="1"/>
  <c r="M4349" i="7"/>
  <c r="L4350" i="7"/>
  <c r="P4291" i="7" l="1"/>
  <c r="N4291" i="7"/>
  <c r="O4292" i="7" s="1"/>
  <c r="M4350" i="7"/>
  <c r="L4351" i="7"/>
  <c r="N4292" i="7" l="1"/>
  <c r="O4293" i="7" s="1"/>
  <c r="P4292" i="7"/>
  <c r="M4351" i="7"/>
  <c r="L4352" i="7"/>
  <c r="N4293" i="7" l="1"/>
  <c r="O4294" i="7" s="1"/>
  <c r="P4293" i="7"/>
  <c r="M4352" i="7"/>
  <c r="L4353" i="7"/>
  <c r="N4294" i="7" l="1"/>
  <c r="O4295" i="7" s="1"/>
  <c r="P4294" i="7"/>
  <c r="M4353" i="7"/>
  <c r="L4354" i="7"/>
  <c r="P4295" i="7" l="1"/>
  <c r="N4295" i="7"/>
  <c r="O4296" i="7" s="1"/>
  <c r="M4354" i="7"/>
  <c r="L4355" i="7"/>
  <c r="P4296" i="7" l="1"/>
  <c r="N4296" i="7"/>
  <c r="O4297" i="7" s="1"/>
  <c r="M4355" i="7"/>
  <c r="L4356" i="7"/>
  <c r="P4297" i="7" l="1"/>
  <c r="N4297" i="7"/>
  <c r="O4298" i="7" s="1"/>
  <c r="M4356" i="7"/>
  <c r="L4357" i="7"/>
  <c r="N4298" i="7" l="1"/>
  <c r="O4299" i="7" s="1"/>
  <c r="P4298" i="7"/>
  <c r="M4357" i="7"/>
  <c r="L4358" i="7"/>
  <c r="N4299" i="7" l="1"/>
  <c r="O4300" i="7" s="1"/>
  <c r="P4299" i="7"/>
  <c r="M4358" i="7"/>
  <c r="L4359" i="7"/>
  <c r="N4300" i="7" l="1"/>
  <c r="O4301" i="7" s="1"/>
  <c r="P4300" i="7"/>
  <c r="M4359" i="7"/>
  <c r="L4360" i="7"/>
  <c r="P4301" i="7" l="1"/>
  <c r="N4301" i="7"/>
  <c r="O4302" i="7" s="1"/>
  <c r="M4360" i="7"/>
  <c r="L4361" i="7"/>
  <c r="P4302" i="7" l="1"/>
  <c r="N4302" i="7"/>
  <c r="O4303" i="7" s="1"/>
  <c r="M4361" i="7"/>
  <c r="L4362" i="7"/>
  <c r="P4303" i="7" l="1"/>
  <c r="N4303" i="7"/>
  <c r="O4304" i="7" s="1"/>
  <c r="M4362" i="7"/>
  <c r="L4363" i="7"/>
  <c r="N4304" i="7" l="1"/>
  <c r="O4305" i="7" s="1"/>
  <c r="P4304" i="7"/>
  <c r="M4363" i="7"/>
  <c r="L4364" i="7"/>
  <c r="N4305" i="7" l="1"/>
  <c r="O4306" i="7" s="1"/>
  <c r="P4305" i="7"/>
  <c r="M4364" i="7"/>
  <c r="L4365" i="7"/>
  <c r="P4306" i="7" l="1"/>
  <c r="N4306" i="7"/>
  <c r="O4307" i="7" s="1"/>
  <c r="M4365" i="7"/>
  <c r="L4366" i="7"/>
  <c r="N4307" i="7" l="1"/>
  <c r="O4308" i="7" s="1"/>
  <c r="P4307" i="7"/>
  <c r="M4366" i="7"/>
  <c r="L4367" i="7"/>
  <c r="N4308" i="7" l="1"/>
  <c r="O4309" i="7" s="1"/>
  <c r="P4308" i="7"/>
  <c r="M4367" i="7"/>
  <c r="L4368" i="7"/>
  <c r="N4309" i="7" l="1"/>
  <c r="O4310" i="7" s="1"/>
  <c r="P4309" i="7"/>
  <c r="M4368" i="7"/>
  <c r="L4369" i="7"/>
  <c r="P4310" i="7" l="1"/>
  <c r="N4310" i="7"/>
  <c r="O4311" i="7" s="1"/>
  <c r="M4369" i="7"/>
  <c r="L4370" i="7"/>
  <c r="N4311" i="7" l="1"/>
  <c r="O4312" i="7" s="1"/>
  <c r="P4311" i="7"/>
  <c r="M4370" i="7"/>
  <c r="L4371" i="7"/>
  <c r="N4312" i="7" l="1"/>
  <c r="O4313" i="7" s="1"/>
  <c r="P4312" i="7"/>
  <c r="M4371" i="7"/>
  <c r="L4372" i="7"/>
  <c r="N4313" i="7" l="1"/>
  <c r="O4314" i="7" s="1"/>
  <c r="P4313" i="7"/>
  <c r="M4372" i="7"/>
  <c r="L4373" i="7"/>
  <c r="N4314" i="7" l="1"/>
  <c r="O4315" i="7" s="1"/>
  <c r="P4314" i="7"/>
  <c r="M4373" i="7"/>
  <c r="L4374" i="7"/>
  <c r="P4315" i="7" l="1"/>
  <c r="N4315" i="7"/>
  <c r="O4316" i="7" s="1"/>
  <c r="M4374" i="7"/>
  <c r="L4375" i="7"/>
  <c r="N4316" i="7" l="1"/>
  <c r="O4317" i="7" s="1"/>
  <c r="P4316" i="7"/>
  <c r="M4375" i="7"/>
  <c r="L4376" i="7"/>
  <c r="N4317" i="7" l="1"/>
  <c r="O4318" i="7" s="1"/>
  <c r="P4317" i="7"/>
  <c r="M4376" i="7"/>
  <c r="L4377" i="7"/>
  <c r="N4318" i="7" l="1"/>
  <c r="O4319" i="7" s="1"/>
  <c r="P4318" i="7"/>
  <c r="M4377" i="7"/>
  <c r="L4378" i="7"/>
  <c r="P4319" i="7" l="1"/>
  <c r="N4319" i="7"/>
  <c r="O4320" i="7" s="1"/>
  <c r="M4378" i="7"/>
  <c r="L4379" i="7"/>
  <c r="N4320" i="7" l="1"/>
  <c r="O4321" i="7" s="1"/>
  <c r="P4320" i="7"/>
  <c r="M4379" i="7"/>
  <c r="L4380" i="7"/>
  <c r="P4321" i="7" l="1"/>
  <c r="N4321" i="7"/>
  <c r="O4322" i="7" s="1"/>
  <c r="M4380" i="7"/>
  <c r="L4381" i="7"/>
  <c r="N4322" i="7" l="1"/>
  <c r="O4323" i="7" s="1"/>
  <c r="P4322" i="7"/>
  <c r="M4381" i="7"/>
  <c r="L4382" i="7"/>
  <c r="P4323" i="7" l="1"/>
  <c r="N4323" i="7"/>
  <c r="O4324" i="7" s="1"/>
  <c r="M4382" i="7"/>
  <c r="L4383" i="7"/>
  <c r="N4324" i="7" l="1"/>
  <c r="O4325" i="7" s="1"/>
  <c r="P4324" i="7"/>
  <c r="M4383" i="7"/>
  <c r="L4384" i="7"/>
  <c r="P4325" i="7" l="1"/>
  <c r="N4325" i="7"/>
  <c r="O4326" i="7" s="1"/>
  <c r="M4384" i="7"/>
  <c r="L4385" i="7"/>
  <c r="N4326" i="7" l="1"/>
  <c r="O4327" i="7" s="1"/>
  <c r="P4326" i="7"/>
  <c r="M4385" i="7"/>
  <c r="L4386" i="7"/>
  <c r="P4327" i="7" l="1"/>
  <c r="N4327" i="7"/>
  <c r="O4328" i="7" s="1"/>
  <c r="M4386" i="7"/>
  <c r="L4387" i="7"/>
  <c r="N4328" i="7" l="1"/>
  <c r="O4329" i="7" s="1"/>
  <c r="P4328" i="7"/>
  <c r="M4387" i="7"/>
  <c r="L4388" i="7"/>
  <c r="N4329" i="7" l="1"/>
  <c r="O4330" i="7" s="1"/>
  <c r="P4329" i="7"/>
  <c r="M4388" i="7"/>
  <c r="L4389" i="7"/>
  <c r="P4330" i="7" l="1"/>
  <c r="N4330" i="7"/>
  <c r="O4331" i="7" s="1"/>
  <c r="M4389" i="7"/>
  <c r="L4390" i="7"/>
  <c r="N4331" i="7" l="1"/>
  <c r="O4332" i="7" s="1"/>
  <c r="P4331" i="7"/>
  <c r="M4390" i="7"/>
  <c r="L4391" i="7"/>
  <c r="P4332" i="7" l="1"/>
  <c r="N4332" i="7"/>
  <c r="O4333" i="7" s="1"/>
  <c r="M4391" i="7"/>
  <c r="L4392" i="7"/>
  <c r="N4333" i="7" l="1"/>
  <c r="O4334" i="7" s="1"/>
  <c r="P4333" i="7"/>
  <c r="M4392" i="7"/>
  <c r="L4393" i="7"/>
  <c r="P4334" i="7" l="1"/>
  <c r="N4334" i="7"/>
  <c r="O4335" i="7" s="1"/>
  <c r="M4393" i="7"/>
  <c r="L4394" i="7"/>
  <c r="N4335" i="7" l="1"/>
  <c r="O4336" i="7" s="1"/>
  <c r="P4335" i="7"/>
  <c r="M4394" i="7"/>
  <c r="L4395" i="7"/>
  <c r="N4336" i="7" l="1"/>
  <c r="O4337" i="7" s="1"/>
  <c r="P4336" i="7"/>
  <c r="M4395" i="7"/>
  <c r="L4396" i="7"/>
  <c r="N4337" i="7" l="1"/>
  <c r="O4338" i="7" s="1"/>
  <c r="P4337" i="7"/>
  <c r="M4396" i="7"/>
  <c r="L4397" i="7"/>
  <c r="P4338" i="7" l="1"/>
  <c r="N4338" i="7"/>
  <c r="O4339" i="7" s="1"/>
  <c r="M4397" i="7"/>
  <c r="L4398" i="7"/>
  <c r="N4339" i="7" l="1"/>
  <c r="O4340" i="7" s="1"/>
  <c r="P4339" i="7"/>
  <c r="M4398" i="7"/>
  <c r="L4399" i="7"/>
  <c r="N4340" i="7" l="1"/>
  <c r="O4341" i="7" s="1"/>
  <c r="P4340" i="7"/>
  <c r="M4399" i="7"/>
  <c r="L4400" i="7"/>
  <c r="P4341" i="7" l="1"/>
  <c r="N4341" i="7"/>
  <c r="O4342" i="7" s="1"/>
  <c r="M4400" i="7"/>
  <c r="L4401" i="7"/>
  <c r="N4342" i="7" l="1"/>
  <c r="O4343" i="7" s="1"/>
  <c r="P4342" i="7"/>
  <c r="M4401" i="7"/>
  <c r="L4402" i="7"/>
  <c r="N4343" i="7" l="1"/>
  <c r="O4344" i="7" s="1"/>
  <c r="P4343" i="7"/>
  <c r="M4402" i="7"/>
  <c r="L4403" i="7"/>
  <c r="P4344" i="7" l="1"/>
  <c r="N4344" i="7"/>
  <c r="O4345" i="7" s="1"/>
  <c r="M4403" i="7"/>
  <c r="L4404" i="7"/>
  <c r="N4345" i="7" l="1"/>
  <c r="O4346" i="7" s="1"/>
  <c r="P4345" i="7"/>
  <c r="M4404" i="7"/>
  <c r="L4405" i="7"/>
  <c r="P4346" i="7" l="1"/>
  <c r="N4346" i="7"/>
  <c r="O4347" i="7" s="1"/>
  <c r="M4405" i="7"/>
  <c r="L4406" i="7"/>
  <c r="N4347" i="7" l="1"/>
  <c r="O4348" i="7" s="1"/>
  <c r="P4347" i="7"/>
  <c r="M4406" i="7"/>
  <c r="L4407" i="7"/>
  <c r="P4348" i="7" l="1"/>
  <c r="N4348" i="7"/>
  <c r="O4349" i="7" s="1"/>
  <c r="M4407" i="7"/>
  <c r="L4408" i="7"/>
  <c r="P4349" i="7" l="1"/>
  <c r="N4349" i="7"/>
  <c r="O4350" i="7" s="1"/>
  <c r="M4408" i="7"/>
  <c r="L4409" i="7"/>
  <c r="P4350" i="7" l="1"/>
  <c r="N4350" i="7"/>
  <c r="O4351" i="7" s="1"/>
  <c r="M4409" i="7"/>
  <c r="L4410" i="7"/>
  <c r="P4351" i="7" l="1"/>
  <c r="N4351" i="7"/>
  <c r="O4352" i="7" s="1"/>
  <c r="M4410" i="7"/>
  <c r="L4411" i="7"/>
  <c r="N4352" i="7" l="1"/>
  <c r="O4353" i="7" s="1"/>
  <c r="P4352" i="7"/>
  <c r="M4411" i="7"/>
  <c r="L4412" i="7"/>
  <c r="N4353" i="7" l="1"/>
  <c r="O4354" i="7" s="1"/>
  <c r="P4353" i="7"/>
  <c r="M4412" i="7"/>
  <c r="L4413" i="7"/>
  <c r="P4354" i="7" l="1"/>
  <c r="N4354" i="7"/>
  <c r="O4355" i="7" s="1"/>
  <c r="M4413" i="7"/>
  <c r="L4414" i="7"/>
  <c r="P4355" i="7" l="1"/>
  <c r="N4355" i="7"/>
  <c r="O4356" i="7" s="1"/>
  <c r="M4414" i="7"/>
  <c r="L4415" i="7"/>
  <c r="P4356" i="7" l="1"/>
  <c r="N4356" i="7"/>
  <c r="O4357" i="7" s="1"/>
  <c r="M4415" i="7"/>
  <c r="L4416" i="7"/>
  <c r="N4357" i="7" l="1"/>
  <c r="O4358" i="7" s="1"/>
  <c r="P4357" i="7"/>
  <c r="M4416" i="7"/>
  <c r="L4417" i="7"/>
  <c r="N4358" i="7" l="1"/>
  <c r="O4359" i="7" s="1"/>
  <c r="P4358" i="7"/>
  <c r="M4417" i="7"/>
  <c r="L4418" i="7"/>
  <c r="N4359" i="7" l="1"/>
  <c r="O4360" i="7" s="1"/>
  <c r="P4359" i="7"/>
  <c r="M4418" i="7"/>
  <c r="L4419" i="7"/>
  <c r="P4360" i="7" l="1"/>
  <c r="N4360" i="7"/>
  <c r="O4361" i="7" s="1"/>
  <c r="M4419" i="7"/>
  <c r="L4420" i="7"/>
  <c r="N4361" i="7" l="1"/>
  <c r="O4362" i="7" s="1"/>
  <c r="P4361" i="7"/>
  <c r="M4420" i="7"/>
  <c r="L4421" i="7"/>
  <c r="N4362" i="7" l="1"/>
  <c r="O4363" i="7" s="1"/>
  <c r="P4362" i="7"/>
  <c r="M4421" i="7"/>
  <c r="L4422" i="7"/>
  <c r="P4363" i="7" l="1"/>
  <c r="N4363" i="7"/>
  <c r="O4364" i="7" s="1"/>
  <c r="M4422" i="7"/>
  <c r="L4423" i="7"/>
  <c r="P4364" i="7" l="1"/>
  <c r="N4364" i="7"/>
  <c r="O4365" i="7" s="1"/>
  <c r="M4423" i="7"/>
  <c r="L4424" i="7"/>
  <c r="N4365" i="7" l="1"/>
  <c r="O4366" i="7" s="1"/>
  <c r="P4365" i="7"/>
  <c r="M4424" i="7"/>
  <c r="L4425" i="7"/>
  <c r="N4366" i="7" l="1"/>
  <c r="O4367" i="7" s="1"/>
  <c r="P4366" i="7"/>
  <c r="M4425" i="7"/>
  <c r="L4426" i="7"/>
  <c r="P4367" i="7" l="1"/>
  <c r="N4367" i="7"/>
  <c r="O4368" i="7" s="1"/>
  <c r="M4426" i="7"/>
  <c r="L4427" i="7"/>
  <c r="P4368" i="7" l="1"/>
  <c r="N4368" i="7"/>
  <c r="O4369" i="7" s="1"/>
  <c r="M4427" i="7"/>
  <c r="L4428" i="7"/>
  <c r="N4369" i="7" l="1"/>
  <c r="O4370" i="7" s="1"/>
  <c r="P4369" i="7"/>
  <c r="M4428" i="7"/>
  <c r="L4429" i="7"/>
  <c r="P4370" i="7" l="1"/>
  <c r="N4370" i="7"/>
  <c r="O4371" i="7" s="1"/>
  <c r="M4429" i="7"/>
  <c r="L4430" i="7"/>
  <c r="P4371" i="7" l="1"/>
  <c r="N4371" i="7"/>
  <c r="O4372" i="7" s="1"/>
  <c r="M4430" i="7"/>
  <c r="L4431" i="7"/>
  <c r="N4372" i="7" l="1"/>
  <c r="O4373" i="7" s="1"/>
  <c r="P4372" i="7"/>
  <c r="M4431" i="7"/>
  <c r="L4432" i="7"/>
  <c r="N4373" i="7" l="1"/>
  <c r="O4374" i="7" s="1"/>
  <c r="P4373" i="7"/>
  <c r="M4432" i="7"/>
  <c r="L4433" i="7"/>
  <c r="P4374" i="7" l="1"/>
  <c r="N4374" i="7"/>
  <c r="O4375" i="7" s="1"/>
  <c r="M4433" i="7"/>
  <c r="L4434" i="7"/>
  <c r="P4375" i="7" l="1"/>
  <c r="N4375" i="7"/>
  <c r="O4376" i="7" s="1"/>
  <c r="M4434" i="7"/>
  <c r="L4435" i="7"/>
  <c r="N4376" i="7" l="1"/>
  <c r="O4377" i="7" s="1"/>
  <c r="P4376" i="7"/>
  <c r="M4435" i="7"/>
  <c r="L4436" i="7"/>
  <c r="N4377" i="7" l="1"/>
  <c r="O4378" i="7" s="1"/>
  <c r="P4377" i="7"/>
  <c r="M4436" i="7"/>
  <c r="L4437" i="7"/>
  <c r="N4378" i="7" l="1"/>
  <c r="O4379" i="7" s="1"/>
  <c r="P4378" i="7"/>
  <c r="M4437" i="7"/>
  <c r="L4438" i="7"/>
  <c r="N4379" i="7" l="1"/>
  <c r="O4380" i="7" s="1"/>
  <c r="P4379" i="7"/>
  <c r="M4438" i="7"/>
  <c r="L4439" i="7"/>
  <c r="P4380" i="7" l="1"/>
  <c r="N4380" i="7"/>
  <c r="O4381" i="7" s="1"/>
  <c r="M4439" i="7"/>
  <c r="L4440" i="7"/>
  <c r="N4381" i="7" l="1"/>
  <c r="O4382" i="7" s="1"/>
  <c r="P4381" i="7"/>
  <c r="M4440" i="7"/>
  <c r="L4441" i="7"/>
  <c r="N4382" i="7" l="1"/>
  <c r="O4383" i="7" s="1"/>
  <c r="P4382" i="7"/>
  <c r="M4441" i="7"/>
  <c r="L4442" i="7"/>
  <c r="N4383" i="7" l="1"/>
  <c r="O4384" i="7" s="1"/>
  <c r="P4383" i="7"/>
  <c r="M4442" i="7"/>
  <c r="L4443" i="7"/>
  <c r="N4384" i="7" l="1"/>
  <c r="O4385" i="7" s="1"/>
  <c r="P4384" i="7"/>
  <c r="M4443" i="7"/>
  <c r="L4444" i="7"/>
  <c r="P4385" i="7" l="1"/>
  <c r="N4385" i="7"/>
  <c r="O4386" i="7" s="1"/>
  <c r="M4444" i="7"/>
  <c r="L4445" i="7"/>
  <c r="N4386" i="7" l="1"/>
  <c r="O4387" i="7" s="1"/>
  <c r="P4386" i="7"/>
  <c r="M4445" i="7"/>
  <c r="L4446" i="7"/>
  <c r="N4387" i="7" l="1"/>
  <c r="O4388" i="7" s="1"/>
  <c r="P4387" i="7"/>
  <c r="M4446" i="7"/>
  <c r="L4447" i="7"/>
  <c r="N4388" i="7" l="1"/>
  <c r="O4389" i="7" s="1"/>
  <c r="P4388" i="7"/>
  <c r="M4447" i="7"/>
  <c r="L4448" i="7"/>
  <c r="N4389" i="7" l="1"/>
  <c r="O4390" i="7" s="1"/>
  <c r="P4389" i="7"/>
  <c r="M4448" i="7"/>
  <c r="L4449" i="7"/>
  <c r="N4390" i="7" l="1"/>
  <c r="O4391" i="7" s="1"/>
  <c r="P4390" i="7"/>
  <c r="M4449" i="7"/>
  <c r="L4450" i="7"/>
  <c r="N4391" i="7" l="1"/>
  <c r="O4392" i="7" s="1"/>
  <c r="P4391" i="7"/>
  <c r="M4450" i="7"/>
  <c r="L4451" i="7"/>
  <c r="N4392" i="7" l="1"/>
  <c r="O4393" i="7" s="1"/>
  <c r="P4392" i="7"/>
  <c r="M4451" i="7"/>
  <c r="L4452" i="7"/>
  <c r="P4393" i="7" l="1"/>
  <c r="N4393" i="7"/>
  <c r="O4394" i="7" s="1"/>
  <c r="M4452" i="7"/>
  <c r="L4453" i="7"/>
  <c r="N4394" i="7" l="1"/>
  <c r="O4395" i="7" s="1"/>
  <c r="P4394" i="7"/>
  <c r="M4453" i="7"/>
  <c r="L4454" i="7"/>
  <c r="P4395" i="7" l="1"/>
  <c r="N4395" i="7"/>
  <c r="O4396" i="7" s="1"/>
  <c r="M4454" i="7"/>
  <c r="L4455" i="7"/>
  <c r="N4396" i="7" l="1"/>
  <c r="O4397" i="7" s="1"/>
  <c r="P4396" i="7"/>
  <c r="M4455" i="7"/>
  <c r="L4456" i="7"/>
  <c r="P4397" i="7" l="1"/>
  <c r="N4397" i="7"/>
  <c r="O4398" i="7" s="1"/>
  <c r="M4456" i="7"/>
  <c r="L4457" i="7"/>
  <c r="N4398" i="7" l="1"/>
  <c r="O4399" i="7" s="1"/>
  <c r="P4398" i="7"/>
  <c r="M4457" i="7"/>
  <c r="L4458" i="7"/>
  <c r="N4399" i="7" l="1"/>
  <c r="O4400" i="7" s="1"/>
  <c r="P4399" i="7"/>
  <c r="M4458" i="7"/>
  <c r="L4459" i="7"/>
  <c r="N4400" i="7" l="1"/>
  <c r="O4401" i="7" s="1"/>
  <c r="P4400" i="7"/>
  <c r="M4459" i="7"/>
  <c r="L4460" i="7"/>
  <c r="P4401" i="7" l="1"/>
  <c r="N4401" i="7"/>
  <c r="O4402" i="7" s="1"/>
  <c r="M4460" i="7"/>
  <c r="L4461" i="7"/>
  <c r="N4402" i="7" l="1"/>
  <c r="O4403" i="7" s="1"/>
  <c r="P4402" i="7"/>
  <c r="M4461" i="7"/>
  <c r="L4462" i="7"/>
  <c r="N4403" i="7" l="1"/>
  <c r="O4404" i="7" s="1"/>
  <c r="P4403" i="7"/>
  <c r="M4462" i="7"/>
  <c r="L4463" i="7"/>
  <c r="N4404" i="7" l="1"/>
  <c r="O4405" i="7" s="1"/>
  <c r="P4404" i="7"/>
  <c r="M4463" i="7"/>
  <c r="L4464" i="7"/>
  <c r="N4405" i="7" l="1"/>
  <c r="O4406" i="7" s="1"/>
  <c r="P4405" i="7"/>
  <c r="M4464" i="7"/>
  <c r="L4465" i="7"/>
  <c r="P4406" i="7" l="1"/>
  <c r="N4406" i="7"/>
  <c r="O4407" i="7" s="1"/>
  <c r="M4465" i="7"/>
  <c r="L4466" i="7"/>
  <c r="N4407" i="7" l="1"/>
  <c r="O4408" i="7" s="1"/>
  <c r="P4407" i="7"/>
  <c r="M4466" i="7"/>
  <c r="L4467" i="7"/>
  <c r="N4408" i="7" l="1"/>
  <c r="O4409" i="7" s="1"/>
  <c r="P4408" i="7"/>
  <c r="M4467" i="7"/>
  <c r="L4468" i="7"/>
  <c r="N4409" i="7" l="1"/>
  <c r="O4410" i="7" s="1"/>
  <c r="P4409" i="7"/>
  <c r="M4468" i="7"/>
  <c r="L4469" i="7"/>
  <c r="P4410" i="7" l="1"/>
  <c r="N4410" i="7"/>
  <c r="O4411" i="7" s="1"/>
  <c r="M4469" i="7"/>
  <c r="L4470" i="7"/>
  <c r="P4411" i="7" l="1"/>
  <c r="N4411" i="7"/>
  <c r="O4412" i="7" s="1"/>
  <c r="M4470" i="7"/>
  <c r="L4471" i="7"/>
  <c r="N4412" i="7" l="1"/>
  <c r="O4413" i="7" s="1"/>
  <c r="P4412" i="7"/>
  <c r="M4471" i="7"/>
  <c r="L4472" i="7"/>
  <c r="N4413" i="7" l="1"/>
  <c r="O4414" i="7" s="1"/>
  <c r="P4413" i="7"/>
  <c r="M4472" i="7"/>
  <c r="L4473" i="7"/>
  <c r="P4414" i="7" l="1"/>
  <c r="N4414" i="7"/>
  <c r="O4415" i="7" s="1"/>
  <c r="M4473" i="7"/>
  <c r="L4474" i="7"/>
  <c r="N4415" i="7" l="1"/>
  <c r="O4416" i="7" s="1"/>
  <c r="P4415" i="7"/>
  <c r="M4474" i="7"/>
  <c r="L4475" i="7"/>
  <c r="N4416" i="7" l="1"/>
  <c r="O4417" i="7" s="1"/>
  <c r="P4416" i="7"/>
  <c r="M4475" i="7"/>
  <c r="L4476" i="7"/>
  <c r="N4417" i="7" l="1"/>
  <c r="O4418" i="7" s="1"/>
  <c r="P4417" i="7"/>
  <c r="M4476" i="7"/>
  <c r="L4477" i="7"/>
  <c r="N4418" i="7" l="1"/>
  <c r="O4419" i="7" s="1"/>
  <c r="P4418" i="7"/>
  <c r="M4477" i="7"/>
  <c r="L4478" i="7"/>
  <c r="P4419" i="7" l="1"/>
  <c r="N4419" i="7"/>
  <c r="O4420" i="7" s="1"/>
  <c r="M4478" i="7"/>
  <c r="L4479" i="7"/>
  <c r="N4420" i="7" l="1"/>
  <c r="O4421" i="7" s="1"/>
  <c r="P4420" i="7"/>
  <c r="M4479" i="7"/>
  <c r="L4480" i="7"/>
  <c r="N4421" i="7" l="1"/>
  <c r="O4422" i="7" s="1"/>
  <c r="P4421" i="7"/>
  <c r="M4480" i="7"/>
  <c r="L4481" i="7"/>
  <c r="P4422" i="7" l="1"/>
  <c r="N4422" i="7"/>
  <c r="O4423" i="7" s="1"/>
  <c r="M4481" i="7"/>
  <c r="L4482" i="7"/>
  <c r="P4423" i="7" l="1"/>
  <c r="N4423" i="7"/>
  <c r="O4424" i="7" s="1"/>
  <c r="M4482" i="7"/>
  <c r="L4483" i="7"/>
  <c r="N4424" i="7" l="1"/>
  <c r="O4425" i="7" s="1"/>
  <c r="P4424" i="7"/>
  <c r="M4483" i="7"/>
  <c r="L4484" i="7"/>
  <c r="P4425" i="7" l="1"/>
  <c r="N4425" i="7"/>
  <c r="O4426" i="7" s="1"/>
  <c r="M4484" i="7"/>
  <c r="L4485" i="7"/>
  <c r="N4426" i="7" l="1"/>
  <c r="O4427" i="7" s="1"/>
  <c r="P4426" i="7"/>
  <c r="M4485" i="7"/>
  <c r="L4486" i="7"/>
  <c r="N4427" i="7" l="1"/>
  <c r="O4428" i="7" s="1"/>
  <c r="P4427" i="7"/>
  <c r="M4486" i="7"/>
  <c r="L4487" i="7"/>
  <c r="P4428" i="7" l="1"/>
  <c r="N4428" i="7"/>
  <c r="O4429" i="7" s="1"/>
  <c r="M4487" i="7"/>
  <c r="L4488" i="7"/>
  <c r="N4429" i="7" l="1"/>
  <c r="O4430" i="7" s="1"/>
  <c r="P4429" i="7"/>
  <c r="M4488" i="7"/>
  <c r="L4489" i="7"/>
  <c r="P4430" i="7" l="1"/>
  <c r="N4430" i="7"/>
  <c r="O4431" i="7" s="1"/>
  <c r="M4489" i="7"/>
  <c r="L4490" i="7"/>
  <c r="P4431" i="7" l="1"/>
  <c r="N4431" i="7"/>
  <c r="O4432" i="7" s="1"/>
  <c r="M4490" i="7"/>
  <c r="L4491" i="7"/>
  <c r="P4432" i="7" l="1"/>
  <c r="N4432" i="7"/>
  <c r="O4433" i="7" s="1"/>
  <c r="M4491" i="7"/>
  <c r="L4492" i="7"/>
  <c r="N4433" i="7" l="1"/>
  <c r="O4434" i="7" s="1"/>
  <c r="P4433" i="7"/>
  <c r="M4492" i="7"/>
  <c r="L4493" i="7"/>
  <c r="P4434" i="7" l="1"/>
  <c r="N4434" i="7"/>
  <c r="O4435" i="7" s="1"/>
  <c r="M4493" i="7"/>
  <c r="L4494" i="7"/>
  <c r="N4435" i="7" l="1"/>
  <c r="O4436" i="7" s="1"/>
  <c r="P4435" i="7"/>
  <c r="M4494" i="7"/>
  <c r="L4495" i="7"/>
  <c r="N4436" i="7" l="1"/>
  <c r="O4437" i="7" s="1"/>
  <c r="P4436" i="7"/>
  <c r="M4495" i="7"/>
  <c r="L4496" i="7"/>
  <c r="N4437" i="7" l="1"/>
  <c r="O4438" i="7" s="1"/>
  <c r="P4437" i="7"/>
  <c r="M4496" i="7"/>
  <c r="L4497" i="7"/>
  <c r="P4438" i="7" l="1"/>
  <c r="N4438" i="7"/>
  <c r="O4439" i="7" s="1"/>
  <c r="M4497" i="7"/>
  <c r="L4498" i="7"/>
  <c r="N4439" i="7" l="1"/>
  <c r="O4440" i="7" s="1"/>
  <c r="P4439" i="7"/>
  <c r="M4498" i="7"/>
  <c r="L4499" i="7"/>
  <c r="N4440" i="7" l="1"/>
  <c r="O4441" i="7" s="1"/>
  <c r="P4440" i="7"/>
  <c r="M4499" i="7"/>
  <c r="L4500" i="7"/>
  <c r="P4441" i="7" l="1"/>
  <c r="N4441" i="7"/>
  <c r="O4442" i="7" s="1"/>
  <c r="M4500" i="7"/>
  <c r="L4501" i="7"/>
  <c r="N4442" i="7" l="1"/>
  <c r="O4443" i="7" s="1"/>
  <c r="P4442" i="7"/>
  <c r="M4501" i="7"/>
  <c r="L4502" i="7"/>
  <c r="N4443" i="7" l="1"/>
  <c r="O4444" i="7" s="1"/>
  <c r="P4443" i="7"/>
  <c r="M4502" i="7"/>
  <c r="L4503" i="7"/>
  <c r="P4444" i="7" l="1"/>
  <c r="N4444" i="7"/>
  <c r="O4445" i="7" s="1"/>
  <c r="M4503" i="7"/>
  <c r="L4504" i="7"/>
  <c r="N4445" i="7" l="1"/>
  <c r="O4446" i="7" s="1"/>
  <c r="P4445" i="7"/>
  <c r="M4504" i="7"/>
  <c r="L4505" i="7"/>
  <c r="P4446" i="7" l="1"/>
  <c r="N4446" i="7"/>
  <c r="O4447" i="7" s="1"/>
  <c r="M4505" i="7"/>
  <c r="L4506" i="7"/>
  <c r="N4447" i="7" l="1"/>
  <c r="O4448" i="7" s="1"/>
  <c r="P4447" i="7"/>
  <c r="M4506" i="7"/>
  <c r="L4507" i="7"/>
  <c r="N4448" i="7" l="1"/>
  <c r="O4449" i="7" s="1"/>
  <c r="P4448" i="7"/>
  <c r="M4507" i="7"/>
  <c r="L4508" i="7"/>
  <c r="P4449" i="7" l="1"/>
  <c r="N4449" i="7"/>
  <c r="O4450" i="7" s="1"/>
  <c r="M4508" i="7"/>
  <c r="L4509" i="7"/>
  <c r="N4450" i="7" l="1"/>
  <c r="O4451" i="7" s="1"/>
  <c r="P4450" i="7"/>
  <c r="M4509" i="7"/>
  <c r="L4510" i="7"/>
  <c r="N4451" i="7" l="1"/>
  <c r="O4452" i="7" s="1"/>
  <c r="P4451" i="7"/>
  <c r="M4510" i="7"/>
  <c r="L4511" i="7"/>
  <c r="P4452" i="7" l="1"/>
  <c r="N4452" i="7"/>
  <c r="O4453" i="7" s="1"/>
  <c r="M4511" i="7"/>
  <c r="L4512" i="7"/>
  <c r="P4453" i="7" l="1"/>
  <c r="N4453" i="7"/>
  <c r="O4454" i="7" s="1"/>
  <c r="M4512" i="7"/>
  <c r="L4513" i="7"/>
  <c r="P4454" i="7" l="1"/>
  <c r="N4454" i="7"/>
  <c r="O4455" i="7" s="1"/>
  <c r="M4513" i="7"/>
  <c r="L4514" i="7"/>
  <c r="P4455" i="7" l="1"/>
  <c r="N4455" i="7"/>
  <c r="O4456" i="7" s="1"/>
  <c r="M4514" i="7"/>
  <c r="L4515" i="7"/>
  <c r="N4456" i="7" l="1"/>
  <c r="O4457" i="7" s="1"/>
  <c r="P4456" i="7"/>
  <c r="M4515" i="7"/>
  <c r="L4516" i="7"/>
  <c r="P4457" i="7" l="1"/>
  <c r="N4457" i="7"/>
  <c r="O4458" i="7" s="1"/>
  <c r="M4516" i="7"/>
  <c r="L4517" i="7"/>
  <c r="N4458" i="7" l="1"/>
  <c r="O4459" i="7" s="1"/>
  <c r="P4458" i="7"/>
  <c r="M4517" i="7"/>
  <c r="L4518" i="7"/>
  <c r="N4459" i="7" l="1"/>
  <c r="O4460" i="7" s="1"/>
  <c r="P4459" i="7"/>
  <c r="M4518" i="7"/>
  <c r="L4519" i="7"/>
  <c r="P4460" i="7" l="1"/>
  <c r="N4460" i="7"/>
  <c r="O4461" i="7" s="1"/>
  <c r="M4519" i="7"/>
  <c r="L4520" i="7"/>
  <c r="N4461" i="7" l="1"/>
  <c r="O4462" i="7" s="1"/>
  <c r="P4461" i="7"/>
  <c r="M4520" i="7"/>
  <c r="L4521" i="7"/>
  <c r="P4462" i="7" l="1"/>
  <c r="N4462" i="7"/>
  <c r="O4463" i="7" s="1"/>
  <c r="M4521" i="7"/>
  <c r="L4522" i="7"/>
  <c r="N4463" i="7" l="1"/>
  <c r="O4464" i="7" s="1"/>
  <c r="P4463" i="7"/>
  <c r="M4522" i="7"/>
  <c r="L4523" i="7"/>
  <c r="N4464" i="7" l="1"/>
  <c r="O4465" i="7" s="1"/>
  <c r="P4464" i="7"/>
  <c r="M4523" i="7"/>
  <c r="L4524" i="7"/>
  <c r="P4465" i="7" l="1"/>
  <c r="N4465" i="7"/>
  <c r="O4466" i="7" s="1"/>
  <c r="M4524" i="7"/>
  <c r="L4525" i="7"/>
  <c r="P4466" i="7" l="1"/>
  <c r="N4466" i="7"/>
  <c r="O4467" i="7" s="1"/>
  <c r="M4525" i="7"/>
  <c r="L4526" i="7"/>
  <c r="N4467" i="7" l="1"/>
  <c r="O4468" i="7" s="1"/>
  <c r="P4467" i="7"/>
  <c r="M4526" i="7"/>
  <c r="L4527" i="7"/>
  <c r="P4468" i="7" l="1"/>
  <c r="N4468" i="7"/>
  <c r="O4469" i="7" s="1"/>
  <c r="M4527" i="7"/>
  <c r="L4528" i="7"/>
  <c r="P4469" i="7" l="1"/>
  <c r="N4469" i="7"/>
  <c r="O4470" i="7" s="1"/>
  <c r="M4528" i="7"/>
  <c r="L4529" i="7"/>
  <c r="N4470" i="7" l="1"/>
  <c r="O4471" i="7" s="1"/>
  <c r="P4470" i="7"/>
  <c r="M4529" i="7"/>
  <c r="L4530" i="7"/>
  <c r="N4471" i="7" l="1"/>
  <c r="O4472" i="7" s="1"/>
  <c r="P4471" i="7"/>
  <c r="M4530" i="7"/>
  <c r="L4531" i="7"/>
  <c r="P4472" i="7" l="1"/>
  <c r="N4472" i="7"/>
  <c r="O4473" i="7" s="1"/>
  <c r="M4531" i="7"/>
  <c r="L4532" i="7"/>
  <c r="N4473" i="7" l="1"/>
  <c r="O4474" i="7" s="1"/>
  <c r="P4473" i="7"/>
  <c r="M4532" i="7"/>
  <c r="L4533" i="7"/>
  <c r="P4474" i="7" l="1"/>
  <c r="N4474" i="7"/>
  <c r="O4475" i="7" s="1"/>
  <c r="M4533" i="7"/>
  <c r="L4534" i="7"/>
  <c r="P4475" i="7" l="1"/>
  <c r="N4475" i="7"/>
  <c r="O4476" i="7" s="1"/>
  <c r="M4534" i="7"/>
  <c r="L4535" i="7"/>
  <c r="N4476" i="7" l="1"/>
  <c r="O4477" i="7" s="1"/>
  <c r="P4476" i="7"/>
  <c r="M4535" i="7"/>
  <c r="L4536" i="7"/>
  <c r="N4477" i="7" l="1"/>
  <c r="O4478" i="7" s="1"/>
  <c r="P4477" i="7"/>
  <c r="M4536" i="7"/>
  <c r="L4537" i="7"/>
  <c r="N4478" i="7" l="1"/>
  <c r="O4479" i="7" s="1"/>
  <c r="P4478" i="7"/>
  <c r="M4537" i="7"/>
  <c r="L4538" i="7"/>
  <c r="P4479" i="7" l="1"/>
  <c r="N4479" i="7"/>
  <c r="O4480" i="7" s="1"/>
  <c r="M4538" i="7"/>
  <c r="L4539" i="7"/>
  <c r="P4480" i="7" l="1"/>
  <c r="N4480" i="7"/>
  <c r="O4481" i="7" s="1"/>
  <c r="M4539" i="7"/>
  <c r="L4540" i="7"/>
  <c r="N4481" i="7" l="1"/>
  <c r="O4482" i="7" s="1"/>
  <c r="P4481" i="7"/>
  <c r="M4540" i="7"/>
  <c r="L4541" i="7"/>
  <c r="N4482" i="7" l="1"/>
  <c r="O4483" i="7" s="1"/>
  <c r="P4482" i="7"/>
  <c r="M4541" i="7"/>
  <c r="L4542" i="7"/>
  <c r="N4483" i="7" l="1"/>
  <c r="O4484" i="7" s="1"/>
  <c r="P4483" i="7"/>
  <c r="M4542" i="7"/>
  <c r="L4543" i="7"/>
  <c r="N4484" i="7" l="1"/>
  <c r="O4485" i="7" s="1"/>
  <c r="P4484" i="7"/>
  <c r="M4543" i="7"/>
  <c r="L4544" i="7"/>
  <c r="N4485" i="7" l="1"/>
  <c r="O4486" i="7" s="1"/>
  <c r="P4485" i="7"/>
  <c r="M4544" i="7"/>
  <c r="L4545" i="7"/>
  <c r="N4486" i="7" l="1"/>
  <c r="O4487" i="7" s="1"/>
  <c r="P4486" i="7"/>
  <c r="M4545" i="7"/>
  <c r="L4546" i="7"/>
  <c r="N4487" i="7" l="1"/>
  <c r="O4488" i="7" s="1"/>
  <c r="P4487" i="7"/>
  <c r="M4546" i="7"/>
  <c r="L4547" i="7"/>
  <c r="P4488" i="7" l="1"/>
  <c r="N4488" i="7"/>
  <c r="O4489" i="7" s="1"/>
  <c r="M4547" i="7"/>
  <c r="L4548" i="7"/>
  <c r="N4489" i="7" l="1"/>
  <c r="O4490" i="7" s="1"/>
  <c r="P4489" i="7"/>
  <c r="M4548" i="7"/>
  <c r="L4549" i="7"/>
  <c r="P4490" i="7" l="1"/>
  <c r="N4490" i="7"/>
  <c r="O4491" i="7" s="1"/>
  <c r="M4549" i="7"/>
  <c r="L4550" i="7"/>
  <c r="P4491" i="7" l="1"/>
  <c r="N4491" i="7"/>
  <c r="O4492" i="7" s="1"/>
  <c r="M4550" i="7"/>
  <c r="L4551" i="7"/>
  <c r="N4492" i="7" l="1"/>
  <c r="O4493" i="7" s="1"/>
  <c r="P4492" i="7"/>
  <c r="M4551" i="7"/>
  <c r="L4552" i="7"/>
  <c r="N4493" i="7" l="1"/>
  <c r="O4494" i="7" s="1"/>
  <c r="P4493" i="7"/>
  <c r="M4552" i="7"/>
  <c r="L4553" i="7"/>
  <c r="P4494" i="7" l="1"/>
  <c r="N4494" i="7"/>
  <c r="O4495" i="7" s="1"/>
  <c r="M4553" i="7"/>
  <c r="L4554" i="7"/>
  <c r="N4495" i="7" l="1"/>
  <c r="O4496" i="7" s="1"/>
  <c r="P4495" i="7"/>
  <c r="M4554" i="7"/>
  <c r="L4555" i="7"/>
  <c r="N4496" i="7" l="1"/>
  <c r="O4497" i="7" s="1"/>
  <c r="P4496" i="7"/>
  <c r="M4555" i="7"/>
  <c r="L4556" i="7"/>
  <c r="P4497" i="7" l="1"/>
  <c r="N4497" i="7"/>
  <c r="O4498" i="7" s="1"/>
  <c r="M4556" i="7"/>
  <c r="L4557" i="7"/>
  <c r="P4498" i="7" l="1"/>
  <c r="N4498" i="7"/>
  <c r="O4499" i="7" s="1"/>
  <c r="M4557" i="7"/>
  <c r="L4558" i="7"/>
  <c r="N4499" i="7" l="1"/>
  <c r="O4500" i="7" s="1"/>
  <c r="P4499" i="7"/>
  <c r="M4558" i="7"/>
  <c r="L4559" i="7"/>
  <c r="P4500" i="7" l="1"/>
  <c r="N4500" i="7"/>
  <c r="O4501" i="7" s="1"/>
  <c r="M4559" i="7"/>
  <c r="L4560" i="7"/>
  <c r="P4501" i="7" l="1"/>
  <c r="N4501" i="7"/>
  <c r="O4502" i="7" s="1"/>
  <c r="M4560" i="7"/>
  <c r="L4561" i="7"/>
  <c r="P4502" i="7" l="1"/>
  <c r="N4502" i="7"/>
  <c r="O4503" i="7" s="1"/>
  <c r="M4561" i="7"/>
  <c r="L4562" i="7"/>
  <c r="P4503" i="7" l="1"/>
  <c r="N4503" i="7"/>
  <c r="O4504" i="7" s="1"/>
  <c r="M4562" i="7"/>
  <c r="L4563" i="7"/>
  <c r="P4504" i="7" l="1"/>
  <c r="N4504" i="7"/>
  <c r="O4505" i="7" s="1"/>
  <c r="M4563" i="7"/>
  <c r="L4564" i="7"/>
  <c r="N4505" i="7" l="1"/>
  <c r="O4506" i="7" s="1"/>
  <c r="P4505" i="7"/>
  <c r="M4564" i="7"/>
  <c r="L4565" i="7"/>
  <c r="P4506" i="7" l="1"/>
  <c r="N4506" i="7"/>
  <c r="O4507" i="7" s="1"/>
  <c r="M4565" i="7"/>
  <c r="L4566" i="7"/>
  <c r="P4507" i="7" l="1"/>
  <c r="N4507" i="7"/>
  <c r="O4508" i="7" s="1"/>
  <c r="M4566" i="7"/>
  <c r="L4567" i="7"/>
  <c r="P4508" i="7" l="1"/>
  <c r="N4508" i="7"/>
  <c r="O4509" i="7" s="1"/>
  <c r="M4567" i="7"/>
  <c r="L4568" i="7"/>
  <c r="N4509" i="7" l="1"/>
  <c r="O4510" i="7" s="1"/>
  <c r="P4509" i="7"/>
  <c r="M4568" i="7"/>
  <c r="L4569" i="7"/>
  <c r="N4510" i="7" l="1"/>
  <c r="O4511" i="7" s="1"/>
  <c r="P4510" i="7"/>
  <c r="M4569" i="7"/>
  <c r="L4570" i="7"/>
  <c r="N4511" i="7" l="1"/>
  <c r="O4512" i="7" s="1"/>
  <c r="P4511" i="7"/>
  <c r="M4570" i="7"/>
  <c r="L4571" i="7"/>
  <c r="P4512" i="7" l="1"/>
  <c r="N4512" i="7"/>
  <c r="O4513" i="7" s="1"/>
  <c r="M4571" i="7"/>
  <c r="L4572" i="7"/>
  <c r="N4513" i="7" l="1"/>
  <c r="O4514" i="7" s="1"/>
  <c r="P4513" i="7"/>
  <c r="M4572" i="7"/>
  <c r="L4573" i="7"/>
  <c r="P4514" i="7" l="1"/>
  <c r="N4514" i="7"/>
  <c r="O4515" i="7" s="1"/>
  <c r="M4573" i="7"/>
  <c r="L4574" i="7"/>
  <c r="P4515" i="7" l="1"/>
  <c r="N4515" i="7"/>
  <c r="O4516" i="7" s="1"/>
  <c r="M4574" i="7"/>
  <c r="L4575" i="7"/>
  <c r="P4516" i="7" l="1"/>
  <c r="N4516" i="7"/>
  <c r="O4517" i="7" s="1"/>
  <c r="M4575" i="7"/>
  <c r="L4576" i="7"/>
  <c r="N4517" i="7" l="1"/>
  <c r="O4518" i="7" s="1"/>
  <c r="P4517" i="7"/>
  <c r="M4576" i="7"/>
  <c r="L4577" i="7"/>
  <c r="P4518" i="7" l="1"/>
  <c r="N4518" i="7"/>
  <c r="O4519" i="7" s="1"/>
  <c r="M4577" i="7"/>
  <c r="L4578" i="7"/>
  <c r="N4519" i="7" l="1"/>
  <c r="O4520" i="7" s="1"/>
  <c r="P4519" i="7"/>
  <c r="M4578" i="7"/>
  <c r="L4579" i="7"/>
  <c r="P4520" i="7" l="1"/>
  <c r="N4520" i="7"/>
  <c r="O4521" i="7" s="1"/>
  <c r="M4579" i="7"/>
  <c r="L4580" i="7"/>
  <c r="N4521" i="7" l="1"/>
  <c r="O4522" i="7" s="1"/>
  <c r="P4521" i="7"/>
  <c r="M4580" i="7"/>
  <c r="L4581" i="7"/>
  <c r="N4522" i="7" l="1"/>
  <c r="O4523" i="7" s="1"/>
  <c r="P4522" i="7"/>
  <c r="M4581" i="7"/>
  <c r="L4582" i="7"/>
  <c r="P4523" i="7" l="1"/>
  <c r="N4523" i="7"/>
  <c r="O4524" i="7" s="1"/>
  <c r="M4582" i="7"/>
  <c r="L4583" i="7"/>
  <c r="P4524" i="7" l="1"/>
  <c r="N4524" i="7"/>
  <c r="O4525" i="7" s="1"/>
  <c r="M4583" i="7"/>
  <c r="L4584" i="7"/>
  <c r="P4525" i="7" l="1"/>
  <c r="N4525" i="7"/>
  <c r="O4526" i="7" s="1"/>
  <c r="M4584" i="7"/>
  <c r="L4585" i="7"/>
  <c r="N4526" i="7" l="1"/>
  <c r="O4527" i="7" s="1"/>
  <c r="P4526" i="7"/>
  <c r="M4585" i="7"/>
  <c r="L4586" i="7"/>
  <c r="P4527" i="7" l="1"/>
  <c r="N4527" i="7"/>
  <c r="O4528" i="7" s="1"/>
  <c r="M4586" i="7"/>
  <c r="L4587" i="7"/>
  <c r="N4528" i="7" l="1"/>
  <c r="O4529" i="7" s="1"/>
  <c r="P4528" i="7"/>
  <c r="M4587" i="7"/>
  <c r="L4588" i="7"/>
  <c r="N4529" i="7" l="1"/>
  <c r="O4530" i="7" s="1"/>
  <c r="P4529" i="7"/>
  <c r="M4588" i="7"/>
  <c r="L4589" i="7"/>
  <c r="P4530" i="7" l="1"/>
  <c r="N4530" i="7"/>
  <c r="O4531" i="7" s="1"/>
  <c r="M4589" i="7"/>
  <c r="L4590" i="7"/>
  <c r="N4531" i="7" l="1"/>
  <c r="O4532" i="7" s="1"/>
  <c r="P4531" i="7"/>
  <c r="M4590" i="7"/>
  <c r="L4591" i="7"/>
  <c r="P4532" i="7" l="1"/>
  <c r="N4532" i="7"/>
  <c r="O4533" i="7" s="1"/>
  <c r="M4591" i="7"/>
  <c r="L4592" i="7"/>
  <c r="P4533" i="7" l="1"/>
  <c r="N4533" i="7"/>
  <c r="O4534" i="7" s="1"/>
  <c r="M4592" i="7"/>
  <c r="L4593" i="7"/>
  <c r="P4534" i="7" l="1"/>
  <c r="N4534" i="7"/>
  <c r="O4535" i="7" s="1"/>
  <c r="M4593" i="7"/>
  <c r="L4594" i="7"/>
  <c r="N4535" i="7" l="1"/>
  <c r="O4536" i="7" s="1"/>
  <c r="P4535" i="7"/>
  <c r="M4594" i="7"/>
  <c r="L4595" i="7"/>
  <c r="N4536" i="7" l="1"/>
  <c r="O4537" i="7" s="1"/>
  <c r="P4536" i="7"/>
  <c r="M4595" i="7"/>
  <c r="L4596" i="7"/>
  <c r="P4537" i="7" l="1"/>
  <c r="N4537" i="7"/>
  <c r="O4538" i="7" s="1"/>
  <c r="M4596" i="7"/>
  <c r="L4597" i="7"/>
  <c r="P4538" i="7" l="1"/>
  <c r="N4538" i="7"/>
  <c r="O4539" i="7" s="1"/>
  <c r="M4597" i="7"/>
  <c r="L4598" i="7"/>
  <c r="N4539" i="7" l="1"/>
  <c r="O4540" i="7" s="1"/>
  <c r="P4539" i="7"/>
  <c r="M4598" i="7"/>
  <c r="L4599" i="7"/>
  <c r="N4540" i="7" l="1"/>
  <c r="O4541" i="7" s="1"/>
  <c r="P4540" i="7"/>
  <c r="M4599" i="7"/>
  <c r="L4600" i="7"/>
  <c r="N4541" i="7" l="1"/>
  <c r="O4542" i="7" s="1"/>
  <c r="P4541" i="7"/>
  <c r="M4600" i="7"/>
  <c r="L4601" i="7"/>
  <c r="N4542" i="7" l="1"/>
  <c r="O4543" i="7" s="1"/>
  <c r="P4542" i="7"/>
  <c r="M4601" i="7"/>
  <c r="L4602" i="7"/>
  <c r="N4543" i="7" l="1"/>
  <c r="O4544" i="7" s="1"/>
  <c r="P4543" i="7"/>
  <c r="M4602" i="7"/>
  <c r="L4603" i="7"/>
  <c r="N4544" i="7" l="1"/>
  <c r="O4545" i="7" s="1"/>
  <c r="P4544" i="7"/>
  <c r="M4603" i="7"/>
  <c r="L4604" i="7"/>
  <c r="N4545" i="7" l="1"/>
  <c r="O4546" i="7" s="1"/>
  <c r="P4545" i="7"/>
  <c r="M4604" i="7"/>
  <c r="L4605" i="7"/>
  <c r="N4546" i="7" l="1"/>
  <c r="O4547" i="7" s="1"/>
  <c r="P4546" i="7"/>
  <c r="M4605" i="7"/>
  <c r="L4606" i="7"/>
  <c r="N4547" i="7" l="1"/>
  <c r="O4548" i="7" s="1"/>
  <c r="P4547" i="7"/>
  <c r="M4606" i="7"/>
  <c r="L4607" i="7"/>
  <c r="N4548" i="7" l="1"/>
  <c r="O4549" i="7" s="1"/>
  <c r="P4548" i="7"/>
  <c r="M4607" i="7"/>
  <c r="L4608" i="7"/>
  <c r="P4549" i="7" l="1"/>
  <c r="N4549" i="7"/>
  <c r="O4550" i="7" s="1"/>
  <c r="M4608" i="7"/>
  <c r="L4609" i="7"/>
  <c r="N4550" i="7" l="1"/>
  <c r="O4551" i="7" s="1"/>
  <c r="P4550" i="7"/>
  <c r="M4609" i="7"/>
  <c r="L4610" i="7"/>
  <c r="N4551" i="7" l="1"/>
  <c r="O4552" i="7" s="1"/>
  <c r="P4551" i="7"/>
  <c r="M4610" i="7"/>
  <c r="L4611" i="7"/>
  <c r="N4552" i="7" l="1"/>
  <c r="O4553" i="7" s="1"/>
  <c r="P4552" i="7"/>
  <c r="M4611" i="7"/>
  <c r="L4612" i="7"/>
  <c r="P4553" i="7" l="1"/>
  <c r="N4553" i="7"/>
  <c r="O4554" i="7" s="1"/>
  <c r="M4612" i="7"/>
  <c r="L4613" i="7"/>
  <c r="N4554" i="7" l="1"/>
  <c r="O4555" i="7" s="1"/>
  <c r="P4554" i="7"/>
  <c r="M4613" i="7"/>
  <c r="L4614" i="7"/>
  <c r="N4555" i="7" l="1"/>
  <c r="O4556" i="7" s="1"/>
  <c r="P4555" i="7"/>
  <c r="M4614" i="7"/>
  <c r="L4615" i="7"/>
  <c r="N4556" i="7" l="1"/>
  <c r="O4557" i="7" s="1"/>
  <c r="P4556" i="7"/>
  <c r="M4615" i="7"/>
  <c r="L4616" i="7"/>
  <c r="N4557" i="7" l="1"/>
  <c r="O4558" i="7" s="1"/>
  <c r="P4557" i="7"/>
  <c r="M4616" i="7"/>
  <c r="L4617" i="7"/>
  <c r="P4558" i="7" l="1"/>
  <c r="N4558" i="7"/>
  <c r="O4559" i="7" s="1"/>
  <c r="M4617" i="7"/>
  <c r="L4618" i="7"/>
  <c r="P4559" i="7" l="1"/>
  <c r="N4559" i="7"/>
  <c r="O4560" i="7" s="1"/>
  <c r="M4618" i="7"/>
  <c r="L4619" i="7"/>
  <c r="N4560" i="7" l="1"/>
  <c r="O4561" i="7" s="1"/>
  <c r="P4560" i="7"/>
  <c r="M4619" i="7"/>
  <c r="L4620" i="7"/>
  <c r="N4561" i="7" l="1"/>
  <c r="O4562" i="7" s="1"/>
  <c r="P4561" i="7"/>
  <c r="M4620" i="7"/>
  <c r="L4621" i="7"/>
  <c r="N4562" i="7" l="1"/>
  <c r="O4563" i="7" s="1"/>
  <c r="P4562" i="7"/>
  <c r="M4621" i="7"/>
  <c r="L4622" i="7"/>
  <c r="N4563" i="7" l="1"/>
  <c r="O4564" i="7" s="1"/>
  <c r="P4563" i="7"/>
  <c r="M4622" i="7"/>
  <c r="L4623" i="7"/>
  <c r="P4564" i="7" l="1"/>
  <c r="N4564" i="7"/>
  <c r="O4565" i="7" s="1"/>
  <c r="M4623" i="7"/>
  <c r="L4624" i="7"/>
  <c r="N4565" i="7" l="1"/>
  <c r="O4566" i="7" s="1"/>
  <c r="P4565" i="7"/>
  <c r="M4624" i="7"/>
  <c r="L4625" i="7"/>
  <c r="N4566" i="7" l="1"/>
  <c r="O4567" i="7" s="1"/>
  <c r="P4566" i="7"/>
  <c r="M4625" i="7"/>
  <c r="L4626" i="7"/>
  <c r="P4567" i="7" l="1"/>
  <c r="N4567" i="7"/>
  <c r="O4568" i="7" s="1"/>
  <c r="M4626" i="7"/>
  <c r="L4627" i="7"/>
  <c r="N4568" i="7" l="1"/>
  <c r="O4569" i="7" s="1"/>
  <c r="P4568" i="7"/>
  <c r="M4627" i="7"/>
  <c r="L4628" i="7"/>
  <c r="P4569" i="7" l="1"/>
  <c r="N4569" i="7"/>
  <c r="O4570" i="7" s="1"/>
  <c r="M4628" i="7"/>
  <c r="L4629" i="7"/>
  <c r="P4570" i="7" l="1"/>
  <c r="N4570" i="7"/>
  <c r="O4571" i="7" s="1"/>
  <c r="M4629" i="7"/>
  <c r="L4630" i="7"/>
  <c r="N4571" i="7" l="1"/>
  <c r="O4572" i="7" s="1"/>
  <c r="P4571" i="7"/>
  <c r="M4630" i="7"/>
  <c r="L4631" i="7"/>
  <c r="N4572" i="7" l="1"/>
  <c r="O4573" i="7" s="1"/>
  <c r="P4572" i="7"/>
  <c r="M4631" i="7"/>
  <c r="L4632" i="7"/>
  <c r="N4573" i="7" l="1"/>
  <c r="O4574" i="7" s="1"/>
  <c r="P4573" i="7"/>
  <c r="M4632" i="7"/>
  <c r="L4633" i="7"/>
  <c r="N4574" i="7" l="1"/>
  <c r="O4575" i="7" s="1"/>
  <c r="P4574" i="7"/>
  <c r="M4633" i="7"/>
  <c r="L4634" i="7"/>
  <c r="N4575" i="7" l="1"/>
  <c r="O4576" i="7" s="1"/>
  <c r="P4575" i="7"/>
  <c r="M4634" i="7"/>
  <c r="L4635" i="7"/>
  <c r="N4576" i="7" l="1"/>
  <c r="O4577" i="7" s="1"/>
  <c r="P4576" i="7"/>
  <c r="M4635" i="7"/>
  <c r="L4636" i="7"/>
  <c r="P4577" i="7" l="1"/>
  <c r="N4577" i="7"/>
  <c r="O4578" i="7" s="1"/>
  <c r="M4636" i="7"/>
  <c r="L4637" i="7"/>
  <c r="N4578" i="7" l="1"/>
  <c r="O4579" i="7" s="1"/>
  <c r="P4578" i="7"/>
  <c r="M4637" i="7"/>
  <c r="L4638" i="7"/>
  <c r="N4579" i="7" l="1"/>
  <c r="O4580" i="7" s="1"/>
  <c r="P4579" i="7"/>
  <c r="M4638" i="7"/>
  <c r="L4639" i="7"/>
  <c r="N4580" i="7" l="1"/>
  <c r="O4581" i="7" s="1"/>
  <c r="P4580" i="7"/>
  <c r="M4639" i="7"/>
  <c r="L4640" i="7"/>
  <c r="N4581" i="7" l="1"/>
  <c r="O4582" i="7" s="1"/>
  <c r="P4581" i="7"/>
  <c r="M4640" i="7"/>
  <c r="L4641" i="7"/>
  <c r="N4582" i="7" l="1"/>
  <c r="O4583" i="7" s="1"/>
  <c r="P4582" i="7"/>
  <c r="M4641" i="7"/>
  <c r="L4642" i="7"/>
  <c r="N4583" i="7" l="1"/>
  <c r="O4584" i="7" s="1"/>
  <c r="P4583" i="7"/>
  <c r="M4642" i="7"/>
  <c r="L4643" i="7"/>
  <c r="N4584" i="7" l="1"/>
  <c r="O4585" i="7" s="1"/>
  <c r="P4584" i="7"/>
  <c r="M4643" i="7"/>
  <c r="L4644" i="7"/>
  <c r="N4585" i="7" l="1"/>
  <c r="O4586" i="7" s="1"/>
  <c r="P4585" i="7"/>
  <c r="M4644" i="7"/>
  <c r="L4645" i="7"/>
  <c r="N4586" i="7" l="1"/>
  <c r="O4587" i="7" s="1"/>
  <c r="P4586" i="7"/>
  <c r="M4645" i="7"/>
  <c r="L4646" i="7"/>
  <c r="P4587" i="7" l="1"/>
  <c r="N4587" i="7"/>
  <c r="O4588" i="7" s="1"/>
  <c r="M4646" i="7"/>
  <c r="L4647" i="7"/>
  <c r="N4588" i="7" l="1"/>
  <c r="O4589" i="7" s="1"/>
  <c r="P4588" i="7"/>
  <c r="M4647" i="7"/>
  <c r="L4648" i="7"/>
  <c r="P4589" i="7" l="1"/>
  <c r="N4589" i="7"/>
  <c r="O4590" i="7" s="1"/>
  <c r="M4648" i="7"/>
  <c r="L4649" i="7"/>
  <c r="N4590" i="7" l="1"/>
  <c r="O4591" i="7" s="1"/>
  <c r="P4590" i="7"/>
  <c r="M4649" i="7"/>
  <c r="L4650" i="7"/>
  <c r="N4591" i="7" l="1"/>
  <c r="O4592" i="7" s="1"/>
  <c r="P4591" i="7"/>
  <c r="M4650" i="7"/>
  <c r="L4651" i="7"/>
  <c r="N4592" i="7" l="1"/>
  <c r="O4593" i="7" s="1"/>
  <c r="P4592" i="7"/>
  <c r="M4651" i="7"/>
  <c r="L4652" i="7"/>
  <c r="N4593" i="7" l="1"/>
  <c r="O4594" i="7" s="1"/>
  <c r="P4593" i="7"/>
  <c r="M4652" i="7"/>
  <c r="L4653" i="7"/>
  <c r="N4594" i="7" l="1"/>
  <c r="O4595" i="7" s="1"/>
  <c r="P4594" i="7"/>
  <c r="M4653" i="7"/>
  <c r="L4654" i="7"/>
  <c r="P4595" i="7" l="1"/>
  <c r="N4595" i="7"/>
  <c r="O4596" i="7" s="1"/>
  <c r="M4654" i="7"/>
  <c r="L4655" i="7"/>
  <c r="P4596" i="7" l="1"/>
  <c r="N4596" i="7"/>
  <c r="O4597" i="7" s="1"/>
  <c r="M4655" i="7"/>
  <c r="L4656" i="7"/>
  <c r="P4597" i="7" l="1"/>
  <c r="N4597" i="7"/>
  <c r="O4598" i="7" s="1"/>
  <c r="M4656" i="7"/>
  <c r="L4657" i="7"/>
  <c r="P4598" i="7" l="1"/>
  <c r="N4598" i="7"/>
  <c r="O4599" i="7" s="1"/>
  <c r="M4657" i="7"/>
  <c r="L4658" i="7"/>
  <c r="N4599" i="7" l="1"/>
  <c r="O4600" i="7" s="1"/>
  <c r="P4599" i="7"/>
  <c r="M4658" i="7"/>
  <c r="L4659" i="7"/>
  <c r="P4600" i="7" l="1"/>
  <c r="N4600" i="7"/>
  <c r="O4601" i="7" s="1"/>
  <c r="M4659" i="7"/>
  <c r="L4660" i="7"/>
  <c r="N4601" i="7" l="1"/>
  <c r="O4602" i="7" s="1"/>
  <c r="P4601" i="7"/>
  <c r="M4660" i="7"/>
  <c r="L4661" i="7"/>
  <c r="P4602" i="7" l="1"/>
  <c r="N4602" i="7"/>
  <c r="O4603" i="7" s="1"/>
  <c r="M4661" i="7"/>
  <c r="L4662" i="7"/>
  <c r="P4603" i="7" l="1"/>
  <c r="N4603" i="7"/>
  <c r="O4604" i="7" s="1"/>
  <c r="M4662" i="7"/>
  <c r="L4663" i="7"/>
  <c r="P4604" i="7" l="1"/>
  <c r="N4604" i="7"/>
  <c r="O4605" i="7" s="1"/>
  <c r="M4663" i="7"/>
  <c r="L4664" i="7"/>
  <c r="P4605" i="7" l="1"/>
  <c r="N4605" i="7"/>
  <c r="O4606" i="7" s="1"/>
  <c r="M4664" i="7"/>
  <c r="L4665" i="7"/>
  <c r="P4606" i="7" l="1"/>
  <c r="N4606" i="7"/>
  <c r="O4607" i="7" s="1"/>
  <c r="M4665" i="7"/>
  <c r="L4666" i="7"/>
  <c r="P4607" i="7" l="1"/>
  <c r="N4607" i="7"/>
  <c r="O4608" i="7" s="1"/>
  <c r="M4666" i="7"/>
  <c r="L4667" i="7"/>
  <c r="P4608" i="7" l="1"/>
  <c r="N4608" i="7"/>
  <c r="O4609" i="7" s="1"/>
  <c r="M4667" i="7"/>
  <c r="L4668" i="7"/>
  <c r="P4609" i="7" l="1"/>
  <c r="N4609" i="7"/>
  <c r="O4610" i="7" s="1"/>
  <c r="M4668" i="7"/>
  <c r="L4669" i="7"/>
  <c r="P4610" i="7" l="1"/>
  <c r="N4610" i="7"/>
  <c r="O4611" i="7" s="1"/>
  <c r="M4669" i="7"/>
  <c r="L4670" i="7"/>
  <c r="N4611" i="7" l="1"/>
  <c r="O4612" i="7" s="1"/>
  <c r="P4611" i="7"/>
  <c r="M4670" i="7"/>
  <c r="L4671" i="7"/>
  <c r="P4612" i="7" l="1"/>
  <c r="N4612" i="7"/>
  <c r="O4613" i="7" s="1"/>
  <c r="M4671" i="7"/>
  <c r="L4672" i="7"/>
  <c r="N4613" i="7" l="1"/>
  <c r="O4614" i="7" s="1"/>
  <c r="P4613" i="7"/>
  <c r="M4672" i="7"/>
  <c r="L4673" i="7"/>
  <c r="N4614" i="7" l="1"/>
  <c r="O4615" i="7" s="1"/>
  <c r="P4614" i="7"/>
  <c r="M4673" i="7"/>
  <c r="L4674" i="7"/>
  <c r="P4615" i="7" l="1"/>
  <c r="N4615" i="7"/>
  <c r="O4616" i="7" s="1"/>
  <c r="M4674" i="7"/>
  <c r="L4675" i="7"/>
  <c r="N4616" i="7" l="1"/>
  <c r="O4617" i="7" s="1"/>
  <c r="P4616" i="7"/>
  <c r="M4675" i="7"/>
  <c r="L4676" i="7"/>
  <c r="P4617" i="7" l="1"/>
  <c r="N4617" i="7"/>
  <c r="O4618" i="7" s="1"/>
  <c r="M4676" i="7"/>
  <c r="L4677" i="7"/>
  <c r="P4618" i="7" l="1"/>
  <c r="N4618" i="7"/>
  <c r="O4619" i="7" s="1"/>
  <c r="M4677" i="7"/>
  <c r="L4678" i="7"/>
  <c r="P4619" i="7" l="1"/>
  <c r="N4619" i="7"/>
  <c r="O4620" i="7" s="1"/>
  <c r="M4678" i="7"/>
  <c r="L4679" i="7"/>
  <c r="P4620" i="7" l="1"/>
  <c r="N4620" i="7"/>
  <c r="O4621" i="7" s="1"/>
  <c r="M4679" i="7"/>
  <c r="L4680" i="7"/>
  <c r="N4621" i="7" l="1"/>
  <c r="O4622" i="7" s="1"/>
  <c r="P4621" i="7"/>
  <c r="M4680" i="7"/>
  <c r="L4681" i="7"/>
  <c r="P4622" i="7" l="1"/>
  <c r="N4622" i="7"/>
  <c r="O4623" i="7" s="1"/>
  <c r="M4681" i="7"/>
  <c r="L4682" i="7"/>
  <c r="N4623" i="7" l="1"/>
  <c r="O4624" i="7" s="1"/>
  <c r="P4623" i="7"/>
  <c r="M4682" i="7"/>
  <c r="L4683" i="7"/>
  <c r="N4624" i="7" l="1"/>
  <c r="O4625" i="7" s="1"/>
  <c r="P4624" i="7"/>
  <c r="M4683" i="7"/>
  <c r="L4684" i="7"/>
  <c r="N4625" i="7" l="1"/>
  <c r="O4626" i="7" s="1"/>
  <c r="P4625" i="7"/>
  <c r="M4684" i="7"/>
  <c r="L4685" i="7"/>
  <c r="P4626" i="7" l="1"/>
  <c r="N4626" i="7"/>
  <c r="O4627" i="7" s="1"/>
  <c r="M4685" i="7"/>
  <c r="L4686" i="7"/>
  <c r="N4627" i="7" l="1"/>
  <c r="O4628" i="7" s="1"/>
  <c r="P4627" i="7"/>
  <c r="M4686" i="7"/>
  <c r="L4687" i="7"/>
  <c r="N4628" i="7" l="1"/>
  <c r="O4629" i="7" s="1"/>
  <c r="P4628" i="7"/>
  <c r="M4687" i="7"/>
  <c r="L4688" i="7"/>
  <c r="P4629" i="7" l="1"/>
  <c r="N4629" i="7"/>
  <c r="O4630" i="7" s="1"/>
  <c r="M4688" i="7"/>
  <c r="L4689" i="7"/>
  <c r="P4630" i="7" l="1"/>
  <c r="N4630" i="7"/>
  <c r="O4631" i="7" s="1"/>
  <c r="M4689" i="7"/>
  <c r="L4690" i="7"/>
  <c r="P4631" i="7" l="1"/>
  <c r="N4631" i="7"/>
  <c r="O4632" i="7" s="1"/>
  <c r="M4690" i="7"/>
  <c r="L4691" i="7"/>
  <c r="P4632" i="7" l="1"/>
  <c r="N4632" i="7"/>
  <c r="O4633" i="7" s="1"/>
  <c r="M4691" i="7"/>
  <c r="L4692" i="7"/>
  <c r="P4633" i="7" l="1"/>
  <c r="N4633" i="7"/>
  <c r="O4634" i="7" s="1"/>
  <c r="M4692" i="7"/>
  <c r="L4693" i="7"/>
  <c r="P4634" i="7" l="1"/>
  <c r="N4634" i="7"/>
  <c r="O4635" i="7" s="1"/>
  <c r="M4693" i="7"/>
  <c r="L4694" i="7"/>
  <c r="N4635" i="7" l="1"/>
  <c r="O4636" i="7" s="1"/>
  <c r="P4635" i="7"/>
  <c r="M4694" i="7"/>
  <c r="L4695" i="7"/>
  <c r="P4636" i="7" l="1"/>
  <c r="N4636" i="7"/>
  <c r="O4637" i="7" s="1"/>
  <c r="M4695" i="7"/>
  <c r="L4696" i="7"/>
  <c r="N4637" i="7" l="1"/>
  <c r="O4638" i="7" s="1"/>
  <c r="P4637" i="7"/>
  <c r="M4696" i="7"/>
  <c r="L4697" i="7"/>
  <c r="P4638" i="7" l="1"/>
  <c r="N4638" i="7"/>
  <c r="O4639" i="7" s="1"/>
  <c r="M4697" i="7"/>
  <c r="L4698" i="7"/>
  <c r="N4639" i="7" l="1"/>
  <c r="O4640" i="7" s="1"/>
  <c r="P4639" i="7"/>
  <c r="M4698" i="7"/>
  <c r="L4699" i="7"/>
  <c r="P4640" i="7" l="1"/>
  <c r="N4640" i="7"/>
  <c r="O4641" i="7" s="1"/>
  <c r="M4699" i="7"/>
  <c r="L4700" i="7"/>
  <c r="N4641" i="7" l="1"/>
  <c r="O4642" i="7" s="1"/>
  <c r="P4641" i="7"/>
  <c r="M4700" i="7"/>
  <c r="L4701" i="7"/>
  <c r="N4642" i="7" l="1"/>
  <c r="O4643" i="7" s="1"/>
  <c r="P4642" i="7"/>
  <c r="M4701" i="7"/>
  <c r="L4702" i="7"/>
  <c r="N4643" i="7" l="1"/>
  <c r="O4644" i="7" s="1"/>
  <c r="P4643" i="7"/>
  <c r="M4702" i="7"/>
  <c r="L4703" i="7"/>
  <c r="N4644" i="7" l="1"/>
  <c r="O4645" i="7" s="1"/>
  <c r="P4644" i="7"/>
  <c r="M4703" i="7"/>
  <c r="L4704" i="7"/>
  <c r="N4645" i="7" l="1"/>
  <c r="O4646" i="7" s="1"/>
  <c r="P4645" i="7"/>
  <c r="M4704" i="7"/>
  <c r="L4705" i="7"/>
  <c r="P4646" i="7" l="1"/>
  <c r="N4646" i="7"/>
  <c r="O4647" i="7" s="1"/>
  <c r="M4705" i="7"/>
  <c r="L4706" i="7"/>
  <c r="P4647" i="7" l="1"/>
  <c r="N4647" i="7"/>
  <c r="O4648" i="7" s="1"/>
  <c r="M4706" i="7"/>
  <c r="L4707" i="7"/>
  <c r="P4648" i="7" l="1"/>
  <c r="N4648" i="7"/>
  <c r="O4649" i="7" s="1"/>
  <c r="M4707" i="7"/>
  <c r="L4708" i="7"/>
  <c r="N4649" i="7" l="1"/>
  <c r="O4650" i="7" s="1"/>
  <c r="P4649" i="7"/>
  <c r="M4708" i="7"/>
  <c r="L4709" i="7"/>
  <c r="P4650" i="7" l="1"/>
  <c r="N4650" i="7"/>
  <c r="O4651" i="7" s="1"/>
  <c r="M4709" i="7"/>
  <c r="L4710" i="7"/>
  <c r="N4651" i="7" l="1"/>
  <c r="O4652" i="7" s="1"/>
  <c r="P4651" i="7"/>
  <c r="M4710" i="7"/>
  <c r="L4711" i="7"/>
  <c r="N4652" i="7" l="1"/>
  <c r="O4653" i="7" s="1"/>
  <c r="P4652" i="7"/>
  <c r="M4711" i="7"/>
  <c r="L4712" i="7"/>
  <c r="P4653" i="7" l="1"/>
  <c r="N4653" i="7"/>
  <c r="O4654" i="7" s="1"/>
  <c r="M4712" i="7"/>
  <c r="L4713" i="7"/>
  <c r="N4654" i="7" l="1"/>
  <c r="O4655" i="7" s="1"/>
  <c r="P4654" i="7"/>
  <c r="M4713" i="7"/>
  <c r="L4714" i="7"/>
  <c r="P4655" i="7" l="1"/>
  <c r="N4655" i="7"/>
  <c r="O4656" i="7" s="1"/>
  <c r="M4714" i="7"/>
  <c r="L4715" i="7"/>
  <c r="P4656" i="7" l="1"/>
  <c r="N4656" i="7"/>
  <c r="O4657" i="7" s="1"/>
  <c r="M4715" i="7"/>
  <c r="L4716" i="7"/>
  <c r="N4657" i="7" l="1"/>
  <c r="O4658" i="7" s="1"/>
  <c r="P4657" i="7"/>
  <c r="M4716" i="7"/>
  <c r="L4717" i="7"/>
  <c r="P4658" i="7" l="1"/>
  <c r="N4658" i="7"/>
  <c r="O4659" i="7" s="1"/>
  <c r="M4717" i="7"/>
  <c r="L4718" i="7"/>
  <c r="N4659" i="7" l="1"/>
  <c r="O4660" i="7" s="1"/>
  <c r="P4659" i="7"/>
  <c r="M4718" i="7"/>
  <c r="L4719" i="7"/>
  <c r="P4660" i="7" l="1"/>
  <c r="N4660" i="7"/>
  <c r="O4661" i="7" s="1"/>
  <c r="M4719" i="7"/>
  <c r="L4720" i="7"/>
  <c r="N4661" i="7" l="1"/>
  <c r="O4662" i="7" s="1"/>
  <c r="P4661" i="7"/>
  <c r="M4720" i="7"/>
  <c r="L4721" i="7"/>
  <c r="N4662" i="7" l="1"/>
  <c r="O4663" i="7" s="1"/>
  <c r="P4662" i="7"/>
  <c r="M4721" i="7"/>
  <c r="L4722" i="7"/>
  <c r="P4663" i="7" l="1"/>
  <c r="N4663" i="7"/>
  <c r="O4664" i="7" s="1"/>
  <c r="M4722" i="7"/>
  <c r="L4723" i="7"/>
  <c r="N4664" i="7" l="1"/>
  <c r="O4665" i="7" s="1"/>
  <c r="P4664" i="7"/>
  <c r="M4723" i="7"/>
  <c r="L4724" i="7"/>
  <c r="N4665" i="7" l="1"/>
  <c r="O4666" i="7" s="1"/>
  <c r="P4665" i="7"/>
  <c r="M4724" i="7"/>
  <c r="L4725" i="7"/>
  <c r="P4666" i="7" l="1"/>
  <c r="N4666" i="7"/>
  <c r="O4667" i="7" s="1"/>
  <c r="M4725" i="7"/>
  <c r="L4726" i="7"/>
  <c r="P4667" i="7" l="1"/>
  <c r="N4667" i="7"/>
  <c r="O4668" i="7" s="1"/>
  <c r="M4726" i="7"/>
  <c r="L4727" i="7"/>
  <c r="N4668" i="7" l="1"/>
  <c r="O4669" i="7" s="1"/>
  <c r="P4668" i="7"/>
  <c r="M4727" i="7"/>
  <c r="L4728" i="7"/>
  <c r="P4669" i="7" l="1"/>
  <c r="N4669" i="7"/>
  <c r="O4670" i="7" s="1"/>
  <c r="M4728" i="7"/>
  <c r="L4729" i="7"/>
  <c r="N4670" i="7" l="1"/>
  <c r="O4671" i="7" s="1"/>
  <c r="P4670" i="7"/>
  <c r="M4729" i="7"/>
  <c r="L4730" i="7"/>
  <c r="P4671" i="7" l="1"/>
  <c r="N4671" i="7"/>
  <c r="O4672" i="7" s="1"/>
  <c r="M4730" i="7"/>
  <c r="L4731" i="7"/>
  <c r="P4672" i="7" l="1"/>
  <c r="N4672" i="7"/>
  <c r="O4673" i="7" s="1"/>
  <c r="M4731" i="7"/>
  <c r="L4732" i="7"/>
  <c r="P4673" i="7" l="1"/>
  <c r="N4673" i="7"/>
  <c r="O4674" i="7" s="1"/>
  <c r="M4732" i="7"/>
  <c r="L4733" i="7"/>
  <c r="P4674" i="7" l="1"/>
  <c r="N4674" i="7"/>
  <c r="O4675" i="7" s="1"/>
  <c r="M4733" i="7"/>
  <c r="L4734" i="7"/>
  <c r="N4675" i="7" l="1"/>
  <c r="O4676" i="7" s="1"/>
  <c r="P4675" i="7"/>
  <c r="M4734" i="7"/>
  <c r="L4735" i="7"/>
  <c r="N4676" i="7" l="1"/>
  <c r="O4677" i="7" s="1"/>
  <c r="P4676" i="7"/>
  <c r="M4735" i="7"/>
  <c r="L4736" i="7"/>
  <c r="N4677" i="7" l="1"/>
  <c r="O4678" i="7" s="1"/>
  <c r="P4677" i="7"/>
  <c r="M4736" i="7"/>
  <c r="L4737" i="7"/>
  <c r="N4678" i="7" l="1"/>
  <c r="O4679" i="7" s="1"/>
  <c r="P4678" i="7"/>
  <c r="M4737" i="7"/>
  <c r="L4738" i="7"/>
  <c r="P4679" i="7" l="1"/>
  <c r="N4679" i="7"/>
  <c r="O4680" i="7" s="1"/>
  <c r="M4738" i="7"/>
  <c r="L4739" i="7"/>
  <c r="P4680" i="7" l="1"/>
  <c r="N4680" i="7"/>
  <c r="O4681" i="7" s="1"/>
  <c r="M4739" i="7"/>
  <c r="L4740" i="7"/>
  <c r="P4681" i="7" l="1"/>
  <c r="N4681" i="7"/>
  <c r="O4682" i="7" s="1"/>
  <c r="M4740" i="7"/>
  <c r="L4741" i="7"/>
  <c r="P4682" i="7" l="1"/>
  <c r="N4682" i="7"/>
  <c r="O4683" i="7" s="1"/>
  <c r="M4741" i="7"/>
  <c r="L4742" i="7"/>
  <c r="P4683" i="7" l="1"/>
  <c r="N4683" i="7"/>
  <c r="O4684" i="7" s="1"/>
  <c r="M4742" i="7"/>
  <c r="L4743" i="7"/>
  <c r="N4684" i="7" l="1"/>
  <c r="O4685" i="7" s="1"/>
  <c r="P4684" i="7"/>
  <c r="M4743" i="7"/>
  <c r="L4744" i="7"/>
  <c r="N4685" i="7" l="1"/>
  <c r="O4686" i="7" s="1"/>
  <c r="P4685" i="7"/>
  <c r="M4744" i="7"/>
  <c r="L4745" i="7"/>
  <c r="N4686" i="7" l="1"/>
  <c r="O4687" i="7" s="1"/>
  <c r="P4686" i="7"/>
  <c r="M4745" i="7"/>
  <c r="L4746" i="7"/>
  <c r="P4687" i="7" l="1"/>
  <c r="N4687" i="7"/>
  <c r="O4688" i="7" s="1"/>
  <c r="M4746" i="7"/>
  <c r="L4747" i="7"/>
  <c r="P4688" i="7" l="1"/>
  <c r="N4688" i="7"/>
  <c r="O4689" i="7" s="1"/>
  <c r="M4747" i="7"/>
  <c r="L4748" i="7"/>
  <c r="N4689" i="7" l="1"/>
  <c r="O4690" i="7" s="1"/>
  <c r="P4689" i="7"/>
  <c r="M4748" i="7"/>
  <c r="L4749" i="7"/>
  <c r="N4690" i="7" l="1"/>
  <c r="O4691" i="7" s="1"/>
  <c r="P4690" i="7"/>
  <c r="M4749" i="7"/>
  <c r="L4750" i="7"/>
  <c r="N4691" i="7" l="1"/>
  <c r="O4692" i="7" s="1"/>
  <c r="P4691" i="7"/>
  <c r="M4750" i="7"/>
  <c r="L4751" i="7"/>
  <c r="N4692" i="7" l="1"/>
  <c r="O4693" i="7" s="1"/>
  <c r="P4692" i="7"/>
  <c r="M4751" i="7"/>
  <c r="L4752" i="7"/>
  <c r="N4693" i="7" l="1"/>
  <c r="O4694" i="7" s="1"/>
  <c r="P4693" i="7"/>
  <c r="M4752" i="7"/>
  <c r="L4753" i="7"/>
  <c r="P4694" i="7" l="1"/>
  <c r="N4694" i="7"/>
  <c r="O4695" i="7" s="1"/>
  <c r="M4753" i="7"/>
  <c r="L4754" i="7"/>
  <c r="P4695" i="7" l="1"/>
  <c r="N4695" i="7"/>
  <c r="O4696" i="7" s="1"/>
  <c r="M4754" i="7"/>
  <c r="L4755" i="7"/>
  <c r="N4696" i="7" l="1"/>
  <c r="O4697" i="7" s="1"/>
  <c r="P4696" i="7"/>
  <c r="M4755" i="7"/>
  <c r="L4756" i="7"/>
  <c r="P4697" i="7" l="1"/>
  <c r="N4697" i="7"/>
  <c r="O4698" i="7" s="1"/>
  <c r="M4756" i="7"/>
  <c r="L4757" i="7"/>
  <c r="N4698" i="7" l="1"/>
  <c r="O4699" i="7" s="1"/>
  <c r="P4698" i="7"/>
  <c r="M4757" i="7"/>
  <c r="L4758" i="7"/>
  <c r="N4699" i="7" l="1"/>
  <c r="O4700" i="7" s="1"/>
  <c r="P4699" i="7"/>
  <c r="M4758" i="7"/>
  <c r="L4759" i="7"/>
  <c r="P4700" i="7" l="1"/>
  <c r="N4700" i="7"/>
  <c r="O4701" i="7" s="1"/>
  <c r="M4759" i="7"/>
  <c r="L4760" i="7"/>
  <c r="N4701" i="7" l="1"/>
  <c r="O4702" i="7" s="1"/>
  <c r="P4701" i="7"/>
  <c r="M4760" i="7"/>
  <c r="L4761" i="7"/>
  <c r="P4702" i="7" l="1"/>
  <c r="N4702" i="7"/>
  <c r="O4703" i="7" s="1"/>
  <c r="M4761" i="7"/>
  <c r="L4762" i="7"/>
  <c r="N4703" i="7" l="1"/>
  <c r="O4704" i="7" s="1"/>
  <c r="P4703" i="7"/>
  <c r="M4762" i="7"/>
  <c r="L4763" i="7"/>
  <c r="N4704" i="7" l="1"/>
  <c r="O4705" i="7" s="1"/>
  <c r="P4704" i="7"/>
  <c r="M4763" i="7"/>
  <c r="L4764" i="7"/>
  <c r="N4705" i="7" l="1"/>
  <c r="O4706" i="7" s="1"/>
  <c r="P4705" i="7"/>
  <c r="M4764" i="7"/>
  <c r="L4765" i="7"/>
  <c r="P4706" i="7" l="1"/>
  <c r="N4706" i="7"/>
  <c r="O4707" i="7" s="1"/>
  <c r="M4765" i="7"/>
  <c r="L4766" i="7"/>
  <c r="N4707" i="7" l="1"/>
  <c r="O4708" i="7" s="1"/>
  <c r="P4707" i="7"/>
  <c r="M4766" i="7"/>
  <c r="L4767" i="7"/>
  <c r="N4708" i="7" l="1"/>
  <c r="O4709" i="7" s="1"/>
  <c r="P4708" i="7"/>
  <c r="M4767" i="7"/>
  <c r="L4768" i="7"/>
  <c r="N4709" i="7" l="1"/>
  <c r="O4710" i="7" s="1"/>
  <c r="P4709" i="7"/>
  <c r="M4768" i="7"/>
  <c r="L4769" i="7"/>
  <c r="N4710" i="7" l="1"/>
  <c r="O4711" i="7" s="1"/>
  <c r="P4710" i="7"/>
  <c r="M4769" i="7"/>
  <c r="L4770" i="7"/>
  <c r="N4711" i="7" l="1"/>
  <c r="O4712" i="7" s="1"/>
  <c r="P4711" i="7"/>
  <c r="M4770" i="7"/>
  <c r="L4771" i="7"/>
  <c r="P4712" i="7" l="1"/>
  <c r="N4712" i="7"/>
  <c r="O4713" i="7" s="1"/>
  <c r="M4771" i="7"/>
  <c r="L4772" i="7"/>
  <c r="P4713" i="7" l="1"/>
  <c r="N4713" i="7"/>
  <c r="O4714" i="7" s="1"/>
  <c r="M4772" i="7"/>
  <c r="L4773" i="7"/>
  <c r="P4714" i="7" l="1"/>
  <c r="N4714" i="7"/>
  <c r="O4715" i="7" s="1"/>
  <c r="M4773" i="7"/>
  <c r="L4774" i="7"/>
  <c r="N4715" i="7" l="1"/>
  <c r="O4716" i="7" s="1"/>
  <c r="P4715" i="7"/>
  <c r="M4774" i="7"/>
  <c r="L4775" i="7"/>
  <c r="P4716" i="7" l="1"/>
  <c r="N4716" i="7"/>
  <c r="O4717" i="7" s="1"/>
  <c r="M4775" i="7"/>
  <c r="L4776" i="7"/>
  <c r="N4717" i="7" l="1"/>
  <c r="O4718" i="7" s="1"/>
  <c r="P4717" i="7"/>
  <c r="M4776" i="7"/>
  <c r="L4777" i="7"/>
  <c r="P4718" i="7" l="1"/>
  <c r="N4718" i="7"/>
  <c r="O4719" i="7" s="1"/>
  <c r="M4777" i="7"/>
  <c r="L4778" i="7"/>
  <c r="P4719" i="7" l="1"/>
  <c r="N4719" i="7"/>
  <c r="O4720" i="7" s="1"/>
  <c r="M4778" i="7"/>
  <c r="L4779" i="7"/>
  <c r="P4720" i="7" l="1"/>
  <c r="N4720" i="7"/>
  <c r="O4721" i="7" s="1"/>
  <c r="M4779" i="7"/>
  <c r="L4780" i="7"/>
  <c r="P4721" i="7" l="1"/>
  <c r="N4721" i="7"/>
  <c r="O4722" i="7" s="1"/>
  <c r="M4780" i="7"/>
  <c r="L4781" i="7"/>
  <c r="N4722" i="7" l="1"/>
  <c r="O4723" i="7" s="1"/>
  <c r="P4722" i="7"/>
  <c r="M4781" i="7"/>
  <c r="L4782" i="7"/>
  <c r="P4723" i="7" l="1"/>
  <c r="N4723" i="7"/>
  <c r="O4724" i="7" s="1"/>
  <c r="M4782" i="7"/>
  <c r="L4783" i="7"/>
  <c r="N4724" i="7" l="1"/>
  <c r="O4725" i="7" s="1"/>
  <c r="P4724" i="7"/>
  <c r="M4783" i="7"/>
  <c r="L4784" i="7"/>
  <c r="N4725" i="7" l="1"/>
  <c r="O4726" i="7" s="1"/>
  <c r="P4725" i="7"/>
  <c r="M4784" i="7"/>
  <c r="L4785" i="7"/>
  <c r="P4726" i="7" l="1"/>
  <c r="N4726" i="7"/>
  <c r="O4727" i="7" s="1"/>
  <c r="M4785" i="7"/>
  <c r="L4786" i="7"/>
  <c r="N4727" i="7" l="1"/>
  <c r="O4728" i="7" s="1"/>
  <c r="P4727" i="7"/>
  <c r="M4786" i="7"/>
  <c r="L4787" i="7"/>
  <c r="P4728" i="7" l="1"/>
  <c r="N4728" i="7"/>
  <c r="O4729" i="7" s="1"/>
  <c r="M4787" i="7"/>
  <c r="L4788" i="7"/>
  <c r="N4729" i="7" l="1"/>
  <c r="O4730" i="7" s="1"/>
  <c r="P4729" i="7"/>
  <c r="M4788" i="7"/>
  <c r="L4789" i="7"/>
  <c r="N4730" i="7" l="1"/>
  <c r="O4731" i="7" s="1"/>
  <c r="P4730" i="7"/>
  <c r="M4789" i="7"/>
  <c r="L4790" i="7"/>
  <c r="N4731" i="7" l="1"/>
  <c r="O4732" i="7" s="1"/>
  <c r="P4731" i="7"/>
  <c r="M4790" i="7"/>
  <c r="L4791" i="7"/>
  <c r="P4732" i="7" l="1"/>
  <c r="N4732" i="7"/>
  <c r="O4733" i="7" s="1"/>
  <c r="M4791" i="7"/>
  <c r="L4792" i="7"/>
  <c r="N4733" i="7" l="1"/>
  <c r="O4734" i="7" s="1"/>
  <c r="P4733" i="7"/>
  <c r="M4792" i="7"/>
  <c r="L4793" i="7"/>
  <c r="N4734" i="7" l="1"/>
  <c r="O4735" i="7" s="1"/>
  <c r="P4734" i="7"/>
  <c r="M4793" i="7"/>
  <c r="L4794" i="7"/>
  <c r="N4735" i="7" l="1"/>
  <c r="O4736" i="7" s="1"/>
  <c r="P4735" i="7"/>
  <c r="M4794" i="7"/>
  <c r="L4795" i="7"/>
  <c r="N4736" i="7" l="1"/>
  <c r="O4737" i="7" s="1"/>
  <c r="P4736" i="7"/>
  <c r="M4795" i="7"/>
  <c r="L4796" i="7"/>
  <c r="N4737" i="7" l="1"/>
  <c r="O4738" i="7" s="1"/>
  <c r="P4737" i="7"/>
  <c r="M4796" i="7"/>
  <c r="L4797" i="7"/>
  <c r="P4738" i="7" l="1"/>
  <c r="N4738" i="7"/>
  <c r="O4739" i="7" s="1"/>
  <c r="M4797" i="7"/>
  <c r="L4798" i="7"/>
  <c r="N4739" i="7" l="1"/>
  <c r="O4740" i="7" s="1"/>
  <c r="P4739" i="7"/>
  <c r="M4798" i="7"/>
  <c r="L4799" i="7"/>
  <c r="P4740" i="7" l="1"/>
  <c r="N4740" i="7"/>
  <c r="O4741" i="7" s="1"/>
  <c r="M4799" i="7"/>
  <c r="L4800" i="7"/>
  <c r="P4741" i="7" l="1"/>
  <c r="N4741" i="7"/>
  <c r="O4742" i="7" s="1"/>
  <c r="M4800" i="7"/>
  <c r="L4801" i="7"/>
  <c r="P4742" i="7" l="1"/>
  <c r="N4742" i="7"/>
  <c r="O4743" i="7" s="1"/>
  <c r="M4801" i="7"/>
  <c r="L4802" i="7"/>
  <c r="N4743" i="7" l="1"/>
  <c r="O4744" i="7" s="1"/>
  <c r="P4743" i="7"/>
  <c r="M4802" i="7"/>
  <c r="L4803" i="7"/>
  <c r="N4744" i="7" l="1"/>
  <c r="O4745" i="7" s="1"/>
  <c r="P4744" i="7"/>
  <c r="M4803" i="7"/>
  <c r="L4804" i="7"/>
  <c r="P4745" i="7" l="1"/>
  <c r="N4745" i="7"/>
  <c r="O4746" i="7" s="1"/>
  <c r="M4804" i="7"/>
  <c r="L4805" i="7"/>
  <c r="P4746" i="7" l="1"/>
  <c r="N4746" i="7"/>
  <c r="O4747" i="7" s="1"/>
  <c r="M4805" i="7"/>
  <c r="L4806" i="7"/>
  <c r="N4747" i="7" l="1"/>
  <c r="O4748" i="7" s="1"/>
  <c r="P4747" i="7"/>
  <c r="M4806" i="7"/>
  <c r="L4807" i="7"/>
  <c r="N4748" i="7" l="1"/>
  <c r="O4749" i="7" s="1"/>
  <c r="P4748" i="7"/>
  <c r="M4807" i="7"/>
  <c r="L4808" i="7"/>
  <c r="P4749" i="7" l="1"/>
  <c r="N4749" i="7"/>
  <c r="O4750" i="7" s="1"/>
  <c r="M4808" i="7"/>
  <c r="L4809" i="7"/>
  <c r="N4750" i="7" l="1"/>
  <c r="O4751" i="7" s="1"/>
  <c r="P4750" i="7"/>
  <c r="M4809" i="7"/>
  <c r="L4810" i="7"/>
  <c r="P4751" i="7" l="1"/>
  <c r="N4751" i="7"/>
  <c r="O4752" i="7" s="1"/>
  <c r="M4810" i="7"/>
  <c r="L4811" i="7"/>
  <c r="P4752" i="7" l="1"/>
  <c r="N4752" i="7"/>
  <c r="O4753" i="7" s="1"/>
  <c r="M4811" i="7"/>
  <c r="L4812" i="7"/>
  <c r="N4753" i="7" l="1"/>
  <c r="O4754" i="7" s="1"/>
  <c r="P4753" i="7"/>
  <c r="M4812" i="7"/>
  <c r="L4813" i="7"/>
  <c r="N4754" i="7" l="1"/>
  <c r="O4755" i="7" s="1"/>
  <c r="P4754" i="7"/>
  <c r="M4813" i="7"/>
  <c r="L4814" i="7"/>
  <c r="N4755" i="7" l="1"/>
  <c r="O4756" i="7" s="1"/>
  <c r="P4755" i="7"/>
  <c r="M4814" i="7"/>
  <c r="L4815" i="7"/>
  <c r="P4756" i="7" l="1"/>
  <c r="N4756" i="7"/>
  <c r="O4757" i="7" s="1"/>
  <c r="M4815" i="7"/>
  <c r="L4816" i="7"/>
  <c r="P4757" i="7" l="1"/>
  <c r="N4757" i="7"/>
  <c r="O4758" i="7" s="1"/>
  <c r="M4816" i="7"/>
  <c r="L4817" i="7"/>
  <c r="P4758" i="7" l="1"/>
  <c r="N4758" i="7"/>
  <c r="O4759" i="7" s="1"/>
  <c r="M4817" i="7"/>
  <c r="L4818" i="7"/>
  <c r="P4759" i="7" l="1"/>
  <c r="N4759" i="7"/>
  <c r="O4760" i="7" s="1"/>
  <c r="M4818" i="7"/>
  <c r="L4819" i="7"/>
  <c r="P4760" i="7" l="1"/>
  <c r="N4760" i="7"/>
  <c r="O4761" i="7" s="1"/>
  <c r="M4819" i="7"/>
  <c r="L4820" i="7"/>
  <c r="P4761" i="7" l="1"/>
  <c r="N4761" i="7"/>
  <c r="O4762" i="7" s="1"/>
  <c r="M4820" i="7"/>
  <c r="L4821" i="7"/>
  <c r="N4762" i="7" l="1"/>
  <c r="O4763" i="7" s="1"/>
  <c r="P4762" i="7"/>
  <c r="M4821" i="7"/>
  <c r="L4822" i="7"/>
  <c r="N4763" i="7" l="1"/>
  <c r="O4764" i="7" s="1"/>
  <c r="P4763" i="7"/>
  <c r="M4822" i="7"/>
  <c r="L4823" i="7"/>
  <c r="N4764" i="7" l="1"/>
  <c r="O4765" i="7" s="1"/>
  <c r="P4764" i="7"/>
  <c r="M4823" i="7"/>
  <c r="L4824" i="7"/>
  <c r="N4765" i="7" l="1"/>
  <c r="O4766" i="7" s="1"/>
  <c r="P4765" i="7"/>
  <c r="M4824" i="7"/>
  <c r="L4825" i="7"/>
  <c r="P4766" i="7" l="1"/>
  <c r="N4766" i="7"/>
  <c r="O4767" i="7" s="1"/>
  <c r="M4825" i="7"/>
  <c r="L4826" i="7"/>
  <c r="N4767" i="7" l="1"/>
  <c r="O4768" i="7" s="1"/>
  <c r="P4767" i="7"/>
  <c r="M4826" i="7"/>
  <c r="L4827" i="7"/>
  <c r="N4768" i="7" l="1"/>
  <c r="O4769" i="7" s="1"/>
  <c r="P4768" i="7"/>
  <c r="M4827" i="7"/>
  <c r="L4828" i="7"/>
  <c r="N4769" i="7" l="1"/>
  <c r="O4770" i="7" s="1"/>
  <c r="P4769" i="7"/>
  <c r="M4828" i="7"/>
  <c r="L4829" i="7"/>
  <c r="P4770" i="7" l="1"/>
  <c r="N4770" i="7"/>
  <c r="O4771" i="7" s="1"/>
  <c r="M4829" i="7"/>
  <c r="L4830" i="7"/>
  <c r="P4771" i="7" l="1"/>
  <c r="N4771" i="7"/>
  <c r="O4772" i="7" s="1"/>
  <c r="M4830" i="7"/>
  <c r="L4831" i="7"/>
  <c r="P4772" i="7" l="1"/>
  <c r="N4772" i="7"/>
  <c r="O4773" i="7" s="1"/>
  <c r="M4831" i="7"/>
  <c r="L4832" i="7"/>
  <c r="N4773" i="7" l="1"/>
  <c r="O4774" i="7" s="1"/>
  <c r="P4773" i="7"/>
  <c r="M4832" i="7"/>
  <c r="L4833" i="7"/>
  <c r="N4774" i="7" l="1"/>
  <c r="O4775" i="7" s="1"/>
  <c r="P4774" i="7"/>
  <c r="M4833" i="7"/>
  <c r="L4834" i="7"/>
  <c r="N4775" i="7" l="1"/>
  <c r="O4776" i="7" s="1"/>
  <c r="P4775" i="7"/>
  <c r="M4834" i="7"/>
  <c r="L4835" i="7"/>
  <c r="N4776" i="7" l="1"/>
  <c r="O4777" i="7" s="1"/>
  <c r="P4776" i="7"/>
  <c r="M4835" i="7"/>
  <c r="L4836" i="7"/>
  <c r="P4777" i="7" l="1"/>
  <c r="N4777" i="7"/>
  <c r="O4778" i="7" s="1"/>
  <c r="M4836" i="7"/>
  <c r="L4837" i="7"/>
  <c r="N4778" i="7" l="1"/>
  <c r="O4779" i="7" s="1"/>
  <c r="P4778" i="7"/>
  <c r="M4837" i="7"/>
  <c r="L4838" i="7"/>
  <c r="N4779" i="7" l="1"/>
  <c r="O4780" i="7" s="1"/>
  <c r="P4779" i="7"/>
  <c r="M4838" i="7"/>
  <c r="L4839" i="7"/>
  <c r="P4780" i="7" l="1"/>
  <c r="N4780" i="7"/>
  <c r="O4781" i="7" s="1"/>
  <c r="M4839" i="7"/>
  <c r="L4840" i="7"/>
  <c r="P4781" i="7" l="1"/>
  <c r="N4781" i="7"/>
  <c r="O4782" i="7" s="1"/>
  <c r="M4840" i="7"/>
  <c r="L4841" i="7"/>
  <c r="P4782" i="7" l="1"/>
  <c r="N4782" i="7"/>
  <c r="O4783" i="7" s="1"/>
  <c r="M4841" i="7"/>
  <c r="L4842" i="7"/>
  <c r="N4783" i="7" l="1"/>
  <c r="O4784" i="7" s="1"/>
  <c r="P4783" i="7"/>
  <c r="M4842" i="7"/>
  <c r="L4843" i="7"/>
  <c r="P4784" i="7" l="1"/>
  <c r="N4784" i="7"/>
  <c r="O4785" i="7" s="1"/>
  <c r="M4843" i="7"/>
  <c r="L4844" i="7"/>
  <c r="N4785" i="7" l="1"/>
  <c r="O4786" i="7" s="1"/>
  <c r="P4785" i="7"/>
  <c r="M4844" i="7"/>
  <c r="L4845" i="7"/>
  <c r="P4786" i="7" l="1"/>
  <c r="N4786" i="7"/>
  <c r="O4787" i="7" s="1"/>
  <c r="M4845" i="7"/>
  <c r="L4846" i="7"/>
  <c r="N4787" i="7" l="1"/>
  <c r="O4788" i="7" s="1"/>
  <c r="P4787" i="7"/>
  <c r="M4846" i="7"/>
  <c r="L4847" i="7"/>
  <c r="N4788" i="7" l="1"/>
  <c r="O4789" i="7" s="1"/>
  <c r="P4788" i="7"/>
  <c r="M4847" i="7"/>
  <c r="L4848" i="7"/>
  <c r="P4789" i="7" l="1"/>
  <c r="N4789" i="7"/>
  <c r="O4790" i="7" s="1"/>
  <c r="M4848" i="7"/>
  <c r="L4849" i="7"/>
  <c r="P4790" i="7" l="1"/>
  <c r="N4790" i="7"/>
  <c r="O4791" i="7" s="1"/>
  <c r="M4849" i="7"/>
  <c r="L4850" i="7"/>
  <c r="P4791" i="7" l="1"/>
  <c r="N4791" i="7"/>
  <c r="O4792" i="7" s="1"/>
  <c r="M4850" i="7"/>
  <c r="L4851" i="7"/>
  <c r="N4792" i="7" l="1"/>
  <c r="O4793" i="7" s="1"/>
  <c r="P4792" i="7"/>
  <c r="M4851" i="7"/>
  <c r="L4852" i="7"/>
  <c r="P4793" i="7" l="1"/>
  <c r="N4793" i="7"/>
  <c r="O4794" i="7" s="1"/>
  <c r="M4852" i="7"/>
  <c r="L4853" i="7"/>
  <c r="P4794" i="7" l="1"/>
  <c r="N4794" i="7"/>
  <c r="O4795" i="7" s="1"/>
  <c r="M4853" i="7"/>
  <c r="L4854" i="7"/>
  <c r="P4795" i="7" l="1"/>
  <c r="N4795" i="7"/>
  <c r="O4796" i="7" s="1"/>
  <c r="M4854" i="7"/>
  <c r="L4855" i="7"/>
  <c r="N4796" i="7" l="1"/>
  <c r="O4797" i="7" s="1"/>
  <c r="P4796" i="7"/>
  <c r="M4855" i="7"/>
  <c r="L4856" i="7"/>
  <c r="P4797" i="7" l="1"/>
  <c r="N4797" i="7"/>
  <c r="O4798" i="7" s="1"/>
  <c r="M4856" i="7"/>
  <c r="L4857" i="7"/>
  <c r="N4798" i="7" l="1"/>
  <c r="O4799" i="7" s="1"/>
  <c r="P4798" i="7"/>
  <c r="M4857" i="7"/>
  <c r="L4858" i="7"/>
  <c r="N4799" i="7" l="1"/>
  <c r="O4800" i="7" s="1"/>
  <c r="P4799" i="7"/>
  <c r="M4858" i="7"/>
  <c r="L4859" i="7"/>
  <c r="N4800" i="7" l="1"/>
  <c r="O4801" i="7" s="1"/>
  <c r="P4800" i="7"/>
  <c r="M4859" i="7"/>
  <c r="L4860" i="7"/>
  <c r="N4801" i="7" l="1"/>
  <c r="O4802" i="7" s="1"/>
  <c r="P4801" i="7"/>
  <c r="M4860" i="7"/>
  <c r="L4861" i="7"/>
  <c r="P4802" i="7" l="1"/>
  <c r="N4802" i="7"/>
  <c r="O4803" i="7" s="1"/>
  <c r="M4861" i="7"/>
  <c r="L4862" i="7"/>
  <c r="P4803" i="7" l="1"/>
  <c r="N4803" i="7"/>
  <c r="O4804" i="7" s="1"/>
  <c r="M4862" i="7"/>
  <c r="L4863" i="7"/>
  <c r="N4804" i="7" l="1"/>
  <c r="O4805" i="7" s="1"/>
  <c r="P4804" i="7"/>
  <c r="M4863" i="7"/>
  <c r="L4864" i="7"/>
  <c r="P4805" i="7" l="1"/>
  <c r="N4805" i="7"/>
  <c r="O4806" i="7" s="1"/>
  <c r="M4864" i="7"/>
  <c r="L4865" i="7"/>
  <c r="N4806" i="7" l="1"/>
  <c r="O4807" i="7" s="1"/>
  <c r="P4806" i="7"/>
  <c r="M4865" i="7"/>
  <c r="L4866" i="7"/>
  <c r="P4807" i="7" l="1"/>
  <c r="N4807" i="7"/>
  <c r="O4808" i="7" s="1"/>
  <c r="M4866" i="7"/>
  <c r="L4867" i="7"/>
  <c r="N4808" i="7" l="1"/>
  <c r="O4809" i="7" s="1"/>
  <c r="P4808" i="7"/>
  <c r="M4867" i="7"/>
  <c r="L4868" i="7"/>
  <c r="P4809" i="7" l="1"/>
  <c r="N4809" i="7"/>
  <c r="O4810" i="7" s="1"/>
  <c r="M4868" i="7"/>
  <c r="L4869" i="7"/>
  <c r="P4810" i="7" l="1"/>
  <c r="N4810" i="7"/>
  <c r="O4811" i="7" s="1"/>
  <c r="M4869" i="7"/>
  <c r="L4870" i="7"/>
  <c r="N4811" i="7" l="1"/>
  <c r="O4812" i="7" s="1"/>
  <c r="P4811" i="7"/>
  <c r="M4870" i="7"/>
  <c r="L4871" i="7"/>
  <c r="P4812" i="7" l="1"/>
  <c r="N4812" i="7"/>
  <c r="O4813" i="7" s="1"/>
  <c r="M4871" i="7"/>
  <c r="L4872" i="7"/>
  <c r="P4813" i="7" l="1"/>
  <c r="N4813" i="7"/>
  <c r="O4814" i="7" s="1"/>
  <c r="M4872" i="7"/>
  <c r="L4873" i="7"/>
  <c r="N4814" i="7" l="1"/>
  <c r="O4815" i="7" s="1"/>
  <c r="P4814" i="7"/>
  <c r="M4873" i="7"/>
  <c r="L4874" i="7"/>
  <c r="P4815" i="7" l="1"/>
  <c r="N4815" i="7"/>
  <c r="O4816" i="7" s="1"/>
  <c r="M4874" i="7"/>
  <c r="L4875" i="7"/>
  <c r="P4816" i="7" l="1"/>
  <c r="N4816" i="7"/>
  <c r="O4817" i="7" s="1"/>
  <c r="M4875" i="7"/>
  <c r="L4876" i="7"/>
  <c r="P4817" i="7" l="1"/>
  <c r="N4817" i="7"/>
  <c r="O4818" i="7" s="1"/>
  <c r="M4876" i="7"/>
  <c r="L4877" i="7"/>
  <c r="N4818" i="7" l="1"/>
  <c r="O4819" i="7" s="1"/>
  <c r="P4818" i="7"/>
  <c r="M4877" i="7"/>
  <c r="L4878" i="7"/>
  <c r="P4819" i="7" l="1"/>
  <c r="N4819" i="7"/>
  <c r="O4820" i="7" s="1"/>
  <c r="M4878" i="7"/>
  <c r="L4879" i="7"/>
  <c r="N4820" i="7" l="1"/>
  <c r="O4821" i="7" s="1"/>
  <c r="P4820" i="7"/>
  <c r="M4879" i="7"/>
  <c r="L4880" i="7"/>
  <c r="N4821" i="7" l="1"/>
  <c r="O4822" i="7" s="1"/>
  <c r="P4821" i="7"/>
  <c r="M4880" i="7"/>
  <c r="L4881" i="7"/>
  <c r="P4822" i="7" l="1"/>
  <c r="N4822" i="7"/>
  <c r="O4823" i="7" s="1"/>
  <c r="M4881" i="7"/>
  <c r="L4882" i="7"/>
  <c r="P4823" i="7" l="1"/>
  <c r="N4823" i="7"/>
  <c r="O4824" i="7" s="1"/>
  <c r="M4882" i="7"/>
  <c r="L4883" i="7"/>
  <c r="P4824" i="7" l="1"/>
  <c r="N4824" i="7"/>
  <c r="O4825" i="7" s="1"/>
  <c r="M4883" i="7"/>
  <c r="L4884" i="7"/>
  <c r="N4825" i="7" l="1"/>
  <c r="O4826" i="7" s="1"/>
  <c r="P4825" i="7"/>
  <c r="M4884" i="7"/>
  <c r="L4885" i="7"/>
  <c r="P4826" i="7" l="1"/>
  <c r="N4826" i="7"/>
  <c r="O4827" i="7" s="1"/>
  <c r="M4885" i="7"/>
  <c r="L4886" i="7"/>
  <c r="P4827" i="7" l="1"/>
  <c r="N4827" i="7"/>
  <c r="O4828" i="7" s="1"/>
  <c r="M4886" i="7"/>
  <c r="L4887" i="7"/>
  <c r="P4828" i="7" l="1"/>
  <c r="N4828" i="7"/>
  <c r="O4829" i="7" s="1"/>
  <c r="M4887" i="7"/>
  <c r="L4888" i="7"/>
  <c r="P4829" i="7" l="1"/>
  <c r="N4829" i="7"/>
  <c r="O4830" i="7" s="1"/>
  <c r="M4888" i="7"/>
  <c r="L4889" i="7"/>
  <c r="P4830" i="7" l="1"/>
  <c r="N4830" i="7"/>
  <c r="O4831" i="7" s="1"/>
  <c r="M4889" i="7"/>
  <c r="L4890" i="7"/>
  <c r="N4831" i="7" l="1"/>
  <c r="O4832" i="7" s="1"/>
  <c r="P4831" i="7"/>
  <c r="M4890" i="7"/>
  <c r="L4891" i="7"/>
  <c r="P4832" i="7" l="1"/>
  <c r="N4832" i="7"/>
  <c r="O4833" i="7" s="1"/>
  <c r="M4891" i="7"/>
  <c r="L4892" i="7"/>
  <c r="P4833" i="7" l="1"/>
  <c r="N4833" i="7"/>
  <c r="O4834" i="7" s="1"/>
  <c r="M4892" i="7"/>
  <c r="L4893" i="7"/>
  <c r="P4834" i="7" l="1"/>
  <c r="N4834" i="7"/>
  <c r="O4835" i="7" s="1"/>
  <c r="M4893" i="7"/>
  <c r="L4894" i="7"/>
  <c r="N4835" i="7" l="1"/>
  <c r="O4836" i="7" s="1"/>
  <c r="P4835" i="7"/>
  <c r="M4894" i="7"/>
  <c r="L4895" i="7"/>
  <c r="P4836" i="7" l="1"/>
  <c r="N4836" i="7"/>
  <c r="O4837" i="7" s="1"/>
  <c r="M4895" i="7"/>
  <c r="L4896" i="7"/>
  <c r="P4837" i="7" l="1"/>
  <c r="N4837" i="7"/>
  <c r="O4838" i="7" s="1"/>
  <c r="M4896" i="7"/>
  <c r="L4897" i="7"/>
  <c r="N4838" i="7" l="1"/>
  <c r="O4839" i="7" s="1"/>
  <c r="P4838" i="7"/>
  <c r="M4897" i="7"/>
  <c r="L4898" i="7"/>
  <c r="P4839" i="7" l="1"/>
  <c r="N4839" i="7"/>
  <c r="O4840" i="7" s="1"/>
  <c r="M4898" i="7"/>
  <c r="L4899" i="7"/>
  <c r="P4840" i="7" l="1"/>
  <c r="N4840" i="7"/>
  <c r="O4841" i="7" s="1"/>
  <c r="M4899" i="7"/>
  <c r="L4900" i="7"/>
  <c r="P4841" i="7" l="1"/>
  <c r="N4841" i="7"/>
  <c r="O4842" i="7" s="1"/>
  <c r="M4900" i="7"/>
  <c r="L4901" i="7"/>
  <c r="N4842" i="7" l="1"/>
  <c r="O4843" i="7" s="1"/>
  <c r="P4842" i="7"/>
  <c r="M4901" i="7"/>
  <c r="L4902" i="7"/>
  <c r="P4843" i="7" l="1"/>
  <c r="N4843" i="7"/>
  <c r="O4844" i="7" s="1"/>
  <c r="M4902" i="7"/>
  <c r="L4903" i="7"/>
  <c r="N4844" i="7" l="1"/>
  <c r="O4845" i="7" s="1"/>
  <c r="P4844" i="7"/>
  <c r="M4903" i="7"/>
  <c r="L4904" i="7"/>
  <c r="P4845" i="7" l="1"/>
  <c r="N4845" i="7"/>
  <c r="O4846" i="7" s="1"/>
  <c r="M4904" i="7"/>
  <c r="L4905" i="7"/>
  <c r="P4846" i="7" l="1"/>
  <c r="N4846" i="7"/>
  <c r="O4847" i="7" s="1"/>
  <c r="M4905" i="7"/>
  <c r="L4906" i="7"/>
  <c r="P4847" i="7" l="1"/>
  <c r="N4847" i="7"/>
  <c r="O4848" i="7" s="1"/>
  <c r="M4906" i="7"/>
  <c r="L4907" i="7"/>
  <c r="P4848" i="7" l="1"/>
  <c r="N4848" i="7"/>
  <c r="O4849" i="7" s="1"/>
  <c r="M4907" i="7"/>
  <c r="L4908" i="7"/>
  <c r="P4849" i="7" l="1"/>
  <c r="N4849" i="7"/>
  <c r="O4850" i="7" s="1"/>
  <c r="M4908" i="7"/>
  <c r="L4909" i="7"/>
  <c r="N4850" i="7" l="1"/>
  <c r="O4851" i="7" s="1"/>
  <c r="P4850" i="7"/>
  <c r="M4909" i="7"/>
  <c r="L4910" i="7"/>
  <c r="P4851" i="7" l="1"/>
  <c r="N4851" i="7"/>
  <c r="O4852" i="7" s="1"/>
  <c r="M4910" i="7"/>
  <c r="L4911" i="7"/>
  <c r="N4852" i="7" l="1"/>
  <c r="O4853" i="7" s="1"/>
  <c r="P4852" i="7"/>
  <c r="M4911" i="7"/>
  <c r="L4912" i="7"/>
  <c r="P4853" i="7" l="1"/>
  <c r="N4853" i="7"/>
  <c r="O4854" i="7" s="1"/>
  <c r="M4912" i="7"/>
  <c r="L4913" i="7"/>
  <c r="N4854" i="7" l="1"/>
  <c r="O4855" i="7" s="1"/>
  <c r="P4854" i="7"/>
  <c r="M4913" i="7"/>
  <c r="L4914" i="7"/>
  <c r="P4855" i="7" l="1"/>
  <c r="N4855" i="7"/>
  <c r="O4856" i="7" s="1"/>
  <c r="M4914" i="7"/>
  <c r="L4915" i="7"/>
  <c r="N4856" i="7" l="1"/>
  <c r="O4857" i="7" s="1"/>
  <c r="P4856" i="7"/>
  <c r="M4915" i="7"/>
  <c r="L4916" i="7"/>
  <c r="N4857" i="7" l="1"/>
  <c r="O4858" i="7" s="1"/>
  <c r="P4857" i="7"/>
  <c r="M4916" i="7"/>
  <c r="L4917" i="7"/>
  <c r="N4858" i="7" l="1"/>
  <c r="O4859" i="7" s="1"/>
  <c r="P4858" i="7"/>
  <c r="M4917" i="7"/>
  <c r="L4918" i="7"/>
  <c r="N4859" i="7" l="1"/>
  <c r="O4860" i="7" s="1"/>
  <c r="P4859" i="7"/>
  <c r="M4918" i="7"/>
  <c r="L4919" i="7"/>
  <c r="N4860" i="7" l="1"/>
  <c r="O4861" i="7" s="1"/>
  <c r="P4860" i="7"/>
  <c r="M4919" i="7"/>
  <c r="L4920" i="7"/>
  <c r="N4861" i="7" l="1"/>
  <c r="O4862" i="7" s="1"/>
  <c r="P4861" i="7"/>
  <c r="M4920" i="7"/>
  <c r="L4921" i="7"/>
  <c r="N4862" i="7" l="1"/>
  <c r="O4863" i="7" s="1"/>
  <c r="P4862" i="7"/>
  <c r="M4921" i="7"/>
  <c r="L4922" i="7"/>
  <c r="P4863" i="7" l="1"/>
  <c r="N4863" i="7"/>
  <c r="O4864" i="7" s="1"/>
  <c r="M4922" i="7"/>
  <c r="L4923" i="7"/>
  <c r="P4864" i="7" l="1"/>
  <c r="N4864" i="7"/>
  <c r="O4865" i="7" s="1"/>
  <c r="M4923" i="7"/>
  <c r="L4924" i="7"/>
  <c r="P4865" i="7" l="1"/>
  <c r="N4865" i="7"/>
  <c r="O4866" i="7" s="1"/>
  <c r="M4924" i="7"/>
  <c r="L4925" i="7"/>
  <c r="P4866" i="7" l="1"/>
  <c r="N4866" i="7"/>
  <c r="O4867" i="7" s="1"/>
  <c r="M4925" i="7"/>
  <c r="L4926" i="7"/>
  <c r="P4867" i="7" l="1"/>
  <c r="N4867" i="7"/>
  <c r="O4868" i="7" s="1"/>
  <c r="M4926" i="7"/>
  <c r="L4927" i="7"/>
  <c r="P4868" i="7" l="1"/>
  <c r="N4868" i="7"/>
  <c r="O4869" i="7" s="1"/>
  <c r="M4927" i="7"/>
  <c r="L4928" i="7"/>
  <c r="N4869" i="7" l="1"/>
  <c r="O4870" i="7" s="1"/>
  <c r="P4869" i="7"/>
  <c r="M4928" i="7"/>
  <c r="L4929" i="7"/>
  <c r="N4870" i="7" l="1"/>
  <c r="O4871" i="7" s="1"/>
  <c r="P4870" i="7"/>
  <c r="M4929" i="7"/>
  <c r="L4930" i="7"/>
  <c r="P4871" i="7" l="1"/>
  <c r="N4871" i="7"/>
  <c r="O4872" i="7" s="1"/>
  <c r="M4930" i="7"/>
  <c r="L4931" i="7"/>
  <c r="N4872" i="7" l="1"/>
  <c r="O4873" i="7" s="1"/>
  <c r="P4872" i="7"/>
  <c r="M4931" i="7"/>
  <c r="L4932" i="7"/>
  <c r="N4873" i="7" l="1"/>
  <c r="O4874" i="7" s="1"/>
  <c r="P4873" i="7"/>
  <c r="M4932" i="7"/>
  <c r="L4933" i="7"/>
  <c r="N4874" i="7" l="1"/>
  <c r="O4875" i="7" s="1"/>
  <c r="P4874" i="7"/>
  <c r="M4933" i="7"/>
  <c r="L4934" i="7"/>
  <c r="N4875" i="7" l="1"/>
  <c r="O4876" i="7" s="1"/>
  <c r="P4875" i="7"/>
  <c r="M4934" i="7"/>
  <c r="L4935" i="7"/>
  <c r="N4876" i="7" l="1"/>
  <c r="O4877" i="7" s="1"/>
  <c r="P4876" i="7"/>
  <c r="M4935" i="7"/>
  <c r="L4936" i="7"/>
  <c r="N4877" i="7" l="1"/>
  <c r="O4878" i="7" s="1"/>
  <c r="P4877" i="7"/>
  <c r="M4936" i="7"/>
  <c r="L4937" i="7"/>
  <c r="N4878" i="7" l="1"/>
  <c r="O4879" i="7" s="1"/>
  <c r="P4878" i="7"/>
  <c r="M4937" i="7"/>
  <c r="L4938" i="7"/>
  <c r="P4879" i="7" l="1"/>
  <c r="N4879" i="7"/>
  <c r="O4880" i="7" s="1"/>
  <c r="M4938" i="7"/>
  <c r="L4939" i="7"/>
  <c r="N4880" i="7" l="1"/>
  <c r="O4881" i="7" s="1"/>
  <c r="P4880" i="7"/>
  <c r="M4939" i="7"/>
  <c r="L4940" i="7"/>
  <c r="N4881" i="7" l="1"/>
  <c r="O4882" i="7" s="1"/>
  <c r="P4881" i="7"/>
  <c r="M4940" i="7"/>
  <c r="L4941" i="7"/>
  <c r="N4882" i="7" l="1"/>
  <c r="O4883" i="7" s="1"/>
  <c r="P4882" i="7"/>
  <c r="M4941" i="7"/>
  <c r="L4942" i="7"/>
  <c r="N4883" i="7" l="1"/>
  <c r="O4884" i="7" s="1"/>
  <c r="P4883" i="7"/>
  <c r="M4942" i="7"/>
  <c r="L4943" i="7"/>
  <c r="N4884" i="7" l="1"/>
  <c r="O4885" i="7" s="1"/>
  <c r="P4884" i="7"/>
  <c r="M4943" i="7"/>
  <c r="L4944" i="7"/>
  <c r="P4885" i="7" l="1"/>
  <c r="N4885" i="7"/>
  <c r="O4886" i="7" s="1"/>
  <c r="M4944" i="7"/>
  <c r="L4945" i="7"/>
  <c r="N4886" i="7" l="1"/>
  <c r="O4887" i="7" s="1"/>
  <c r="P4886" i="7"/>
  <c r="M4945" i="7"/>
  <c r="L4946" i="7"/>
  <c r="P4887" i="7" l="1"/>
  <c r="N4887" i="7"/>
  <c r="O4888" i="7" s="1"/>
  <c r="M4946" i="7"/>
  <c r="L4947" i="7"/>
  <c r="N4888" i="7" l="1"/>
  <c r="O4889" i="7" s="1"/>
  <c r="P4888" i="7"/>
  <c r="M4947" i="7"/>
  <c r="L4948" i="7"/>
  <c r="N4889" i="7" l="1"/>
  <c r="O4890" i="7" s="1"/>
  <c r="P4889" i="7"/>
  <c r="M4948" i="7"/>
  <c r="L4949" i="7"/>
  <c r="N4890" i="7" l="1"/>
  <c r="O4891" i="7" s="1"/>
  <c r="P4890" i="7"/>
  <c r="M4949" i="7"/>
  <c r="L4950" i="7"/>
  <c r="N4891" i="7" l="1"/>
  <c r="O4892" i="7" s="1"/>
  <c r="P4891" i="7"/>
  <c r="M4950" i="7"/>
  <c r="L4951" i="7"/>
  <c r="P4892" i="7" l="1"/>
  <c r="N4892" i="7"/>
  <c r="O4893" i="7" s="1"/>
  <c r="M4951" i="7"/>
  <c r="L4952" i="7"/>
  <c r="N4893" i="7" l="1"/>
  <c r="O4894" i="7" s="1"/>
  <c r="P4893" i="7"/>
  <c r="M4952" i="7"/>
  <c r="L4953" i="7"/>
  <c r="P4894" i="7" l="1"/>
  <c r="N4894" i="7"/>
  <c r="O4895" i="7" s="1"/>
  <c r="M4953" i="7"/>
  <c r="L4954" i="7"/>
  <c r="P4895" i="7" l="1"/>
  <c r="N4895" i="7"/>
  <c r="O4896" i="7" s="1"/>
  <c r="M4954" i="7"/>
  <c r="L4955" i="7"/>
  <c r="P4896" i="7" l="1"/>
  <c r="N4896" i="7"/>
  <c r="O4897" i="7" s="1"/>
  <c r="M4955" i="7"/>
  <c r="L4956" i="7"/>
  <c r="P4897" i="7" l="1"/>
  <c r="N4897" i="7"/>
  <c r="O4898" i="7" s="1"/>
  <c r="M4956" i="7"/>
  <c r="L4957" i="7"/>
  <c r="P4898" i="7" l="1"/>
  <c r="N4898" i="7"/>
  <c r="O4899" i="7" s="1"/>
  <c r="M4957" i="7"/>
  <c r="L4958" i="7"/>
  <c r="P4899" i="7" l="1"/>
  <c r="N4899" i="7"/>
  <c r="O4900" i="7" s="1"/>
  <c r="M4958" i="7"/>
  <c r="L4959" i="7"/>
  <c r="N4900" i="7" l="1"/>
  <c r="O4901" i="7" s="1"/>
  <c r="P4900" i="7"/>
  <c r="M4959" i="7"/>
  <c r="L4960" i="7"/>
  <c r="N4901" i="7" l="1"/>
  <c r="O4902" i="7" s="1"/>
  <c r="P4901" i="7"/>
  <c r="M4960" i="7"/>
  <c r="L4961" i="7"/>
  <c r="N4902" i="7" l="1"/>
  <c r="O4903" i="7" s="1"/>
  <c r="P4902" i="7"/>
  <c r="M4961" i="7"/>
  <c r="L4962" i="7"/>
  <c r="P4903" i="7" l="1"/>
  <c r="N4903" i="7"/>
  <c r="O4904" i="7" s="1"/>
  <c r="M4962" i="7"/>
  <c r="L4963" i="7"/>
  <c r="N4904" i="7" l="1"/>
  <c r="O4905" i="7" s="1"/>
  <c r="P4904" i="7"/>
  <c r="M4963" i="7"/>
  <c r="L4964" i="7"/>
  <c r="N4905" i="7" l="1"/>
  <c r="O4906" i="7" s="1"/>
  <c r="P4905" i="7"/>
  <c r="M4964" i="7"/>
  <c r="L4965" i="7"/>
  <c r="N4906" i="7" l="1"/>
  <c r="O4907" i="7" s="1"/>
  <c r="P4906" i="7"/>
  <c r="M4965" i="7"/>
  <c r="L4966" i="7"/>
  <c r="P4907" i="7" l="1"/>
  <c r="N4907" i="7"/>
  <c r="O4908" i="7" s="1"/>
  <c r="M4966" i="7"/>
  <c r="L4967" i="7"/>
  <c r="P4908" i="7" l="1"/>
  <c r="N4908" i="7"/>
  <c r="O4909" i="7" s="1"/>
  <c r="M4967" i="7"/>
  <c r="L4968" i="7"/>
  <c r="P4909" i="7" l="1"/>
  <c r="N4909" i="7"/>
  <c r="O4910" i="7" s="1"/>
  <c r="M4968" i="7"/>
  <c r="L4969" i="7"/>
  <c r="N4910" i="7" l="1"/>
  <c r="O4911" i="7" s="1"/>
  <c r="P4910" i="7"/>
  <c r="M4969" i="7"/>
  <c r="L4970" i="7"/>
  <c r="N4911" i="7" l="1"/>
  <c r="O4912" i="7" s="1"/>
  <c r="P4911" i="7"/>
  <c r="M4970" i="7"/>
  <c r="L4971" i="7"/>
  <c r="N4912" i="7" l="1"/>
  <c r="O4913" i="7" s="1"/>
  <c r="P4912" i="7"/>
  <c r="M4971" i="7"/>
  <c r="L4972" i="7"/>
  <c r="P4913" i="7" l="1"/>
  <c r="N4913" i="7"/>
  <c r="O4914" i="7" s="1"/>
  <c r="M4972" i="7"/>
  <c r="L4973" i="7"/>
  <c r="N4914" i="7" l="1"/>
  <c r="O4915" i="7" s="1"/>
  <c r="P4914" i="7"/>
  <c r="M4973" i="7"/>
  <c r="L4974" i="7"/>
  <c r="N4915" i="7" l="1"/>
  <c r="O4916" i="7" s="1"/>
  <c r="P4915" i="7"/>
  <c r="M4974" i="7"/>
  <c r="L4975" i="7"/>
  <c r="N4916" i="7" l="1"/>
  <c r="O4917" i="7" s="1"/>
  <c r="P4916" i="7"/>
  <c r="M4975" i="7"/>
  <c r="L4976" i="7"/>
  <c r="P4917" i="7" l="1"/>
  <c r="N4917" i="7"/>
  <c r="O4918" i="7" s="1"/>
  <c r="M4976" i="7"/>
  <c r="L4977" i="7"/>
  <c r="N4918" i="7" l="1"/>
  <c r="O4919" i="7" s="1"/>
  <c r="P4918" i="7"/>
  <c r="M4977" i="7"/>
  <c r="L4978" i="7"/>
  <c r="N4919" i="7" l="1"/>
  <c r="O4920" i="7" s="1"/>
  <c r="P4919" i="7"/>
  <c r="M4978" i="7"/>
  <c r="L4979" i="7"/>
  <c r="P4920" i="7" l="1"/>
  <c r="N4920" i="7"/>
  <c r="O4921" i="7" s="1"/>
  <c r="M4979" i="7"/>
  <c r="L4980" i="7"/>
  <c r="P4921" i="7" l="1"/>
  <c r="N4921" i="7"/>
  <c r="O4922" i="7" s="1"/>
  <c r="M4980" i="7"/>
  <c r="L4981" i="7"/>
  <c r="N4922" i="7" l="1"/>
  <c r="O4923" i="7" s="1"/>
  <c r="P4922" i="7"/>
  <c r="M4981" i="7"/>
  <c r="L4982" i="7"/>
  <c r="N4923" i="7" l="1"/>
  <c r="O4924" i="7" s="1"/>
  <c r="P4923" i="7"/>
  <c r="M4982" i="7"/>
  <c r="L4983" i="7"/>
  <c r="N4924" i="7" l="1"/>
  <c r="O4925" i="7" s="1"/>
  <c r="P4924" i="7"/>
  <c r="M4983" i="7"/>
  <c r="L4984" i="7"/>
  <c r="N4925" i="7" l="1"/>
  <c r="O4926" i="7" s="1"/>
  <c r="P4925" i="7"/>
  <c r="M4984" i="7"/>
  <c r="L4985" i="7"/>
  <c r="P4926" i="7" l="1"/>
  <c r="N4926" i="7"/>
  <c r="O4927" i="7" s="1"/>
  <c r="M4985" i="7"/>
  <c r="L4986" i="7"/>
  <c r="N4927" i="7" l="1"/>
  <c r="O4928" i="7" s="1"/>
  <c r="P4927" i="7"/>
  <c r="M4986" i="7"/>
  <c r="L4987" i="7"/>
  <c r="N4928" i="7" l="1"/>
  <c r="O4929" i="7" s="1"/>
  <c r="P4928" i="7"/>
  <c r="M4987" i="7"/>
  <c r="L4988" i="7"/>
  <c r="N4929" i="7" l="1"/>
  <c r="O4930" i="7" s="1"/>
  <c r="P4929" i="7"/>
  <c r="M4988" i="7"/>
  <c r="L4989" i="7"/>
  <c r="P4930" i="7" l="1"/>
  <c r="N4930" i="7"/>
  <c r="O4931" i="7" s="1"/>
  <c r="M4989" i="7"/>
  <c r="L4990" i="7"/>
  <c r="N4931" i="7" l="1"/>
  <c r="O4932" i="7" s="1"/>
  <c r="P4931" i="7"/>
  <c r="M4990" i="7"/>
  <c r="L4991" i="7"/>
  <c r="P4932" i="7" l="1"/>
  <c r="N4932" i="7"/>
  <c r="O4933" i="7" s="1"/>
  <c r="M4991" i="7"/>
  <c r="L4992" i="7"/>
  <c r="P4933" i="7" l="1"/>
  <c r="N4933" i="7"/>
  <c r="O4934" i="7" s="1"/>
  <c r="M4992" i="7"/>
  <c r="L4993" i="7"/>
  <c r="P4934" i="7" l="1"/>
  <c r="N4934" i="7"/>
  <c r="O4935" i="7" s="1"/>
  <c r="M4993" i="7"/>
  <c r="L4994" i="7"/>
  <c r="P4935" i="7" l="1"/>
  <c r="N4935" i="7"/>
  <c r="O4936" i="7" s="1"/>
  <c r="M4994" i="7"/>
  <c r="L4995" i="7"/>
  <c r="N4936" i="7" l="1"/>
  <c r="O4937" i="7" s="1"/>
  <c r="P4936" i="7"/>
  <c r="M4995" i="7"/>
  <c r="L4996" i="7"/>
  <c r="N4937" i="7" l="1"/>
  <c r="O4938" i="7" s="1"/>
  <c r="P4937" i="7"/>
  <c r="M4996" i="7"/>
  <c r="L4997" i="7"/>
  <c r="P4938" i="7" l="1"/>
  <c r="N4938" i="7"/>
  <c r="O4939" i="7" s="1"/>
  <c r="M4997" i="7"/>
  <c r="L4998" i="7"/>
  <c r="P4939" i="7" l="1"/>
  <c r="N4939" i="7"/>
  <c r="O4940" i="7" s="1"/>
  <c r="M4998" i="7"/>
  <c r="L4999" i="7"/>
  <c r="N4940" i="7" l="1"/>
  <c r="O4941" i="7" s="1"/>
  <c r="P4940" i="7"/>
  <c r="M4999" i="7"/>
  <c r="L5000" i="7"/>
  <c r="P4941" i="7" l="1"/>
  <c r="N4941" i="7"/>
  <c r="O4942" i="7" s="1"/>
  <c r="M5000" i="7"/>
  <c r="L5001" i="7"/>
  <c r="P4942" i="7" l="1"/>
  <c r="N4942" i="7"/>
  <c r="O4943" i="7" s="1"/>
  <c r="M5001" i="7"/>
  <c r="L5002" i="7"/>
  <c r="P4943" i="7" l="1"/>
  <c r="N4943" i="7"/>
  <c r="O4944" i="7" s="1"/>
  <c r="M5002" i="7"/>
  <c r="L5003" i="7"/>
  <c r="N4944" i="7" l="1"/>
  <c r="O4945" i="7" s="1"/>
  <c r="P4944" i="7"/>
  <c r="M5003" i="7"/>
  <c r="L5004" i="7"/>
  <c r="N4945" i="7" l="1"/>
  <c r="O4946" i="7" s="1"/>
  <c r="P4945" i="7"/>
  <c r="M5004" i="7"/>
  <c r="L5005" i="7"/>
  <c r="P4946" i="7" l="1"/>
  <c r="N4946" i="7"/>
  <c r="O4947" i="7" s="1"/>
  <c r="M5005" i="7"/>
  <c r="L5006" i="7"/>
  <c r="N4947" i="7" l="1"/>
  <c r="O4948" i="7" s="1"/>
  <c r="P4947" i="7"/>
  <c r="M5006" i="7"/>
  <c r="L5007" i="7"/>
  <c r="P4948" i="7" l="1"/>
  <c r="N4948" i="7"/>
  <c r="O4949" i="7" s="1"/>
  <c r="M5007" i="7"/>
  <c r="L5008" i="7"/>
  <c r="P4949" i="7" l="1"/>
  <c r="N4949" i="7"/>
  <c r="O4950" i="7" s="1"/>
  <c r="M5008" i="7"/>
  <c r="L5009" i="7"/>
  <c r="N4950" i="7" l="1"/>
  <c r="O4951" i="7" s="1"/>
  <c r="P4950" i="7"/>
  <c r="M5009" i="7"/>
  <c r="L5010" i="7"/>
  <c r="P4951" i="7" l="1"/>
  <c r="N4951" i="7"/>
  <c r="O4952" i="7" s="1"/>
  <c r="M5010" i="7"/>
  <c r="L5011" i="7"/>
  <c r="P4952" i="7" l="1"/>
  <c r="N4952" i="7"/>
  <c r="O4953" i="7" s="1"/>
  <c r="M5011" i="7"/>
  <c r="L5012" i="7"/>
  <c r="P4953" i="7" l="1"/>
  <c r="N4953" i="7"/>
  <c r="O4954" i="7" s="1"/>
  <c r="M5012" i="7"/>
  <c r="L5013" i="7"/>
  <c r="P4954" i="7" l="1"/>
  <c r="N4954" i="7"/>
  <c r="O4955" i="7" s="1"/>
  <c r="M5013" i="7"/>
  <c r="L5014" i="7"/>
  <c r="N4955" i="7" l="1"/>
  <c r="O4956" i="7" s="1"/>
  <c r="P4955" i="7"/>
  <c r="M5014" i="7"/>
  <c r="L5015" i="7"/>
  <c r="P4956" i="7" l="1"/>
  <c r="N4956" i="7"/>
  <c r="O4957" i="7" s="1"/>
  <c r="M5015" i="7"/>
  <c r="L5016" i="7"/>
  <c r="N4957" i="7" l="1"/>
  <c r="O4958" i="7" s="1"/>
  <c r="P4957" i="7"/>
  <c r="M5016" i="7"/>
  <c r="L5017" i="7"/>
  <c r="N4958" i="7" l="1"/>
  <c r="O4959" i="7" s="1"/>
  <c r="P4958" i="7"/>
  <c r="M5017" i="7"/>
  <c r="L5018" i="7"/>
  <c r="N4959" i="7" l="1"/>
  <c r="O4960" i="7" s="1"/>
  <c r="P4959" i="7"/>
  <c r="M5018" i="7"/>
  <c r="L5019" i="7"/>
  <c r="N4960" i="7" l="1"/>
  <c r="O4961" i="7" s="1"/>
  <c r="P4960" i="7"/>
  <c r="M5019" i="7"/>
  <c r="L5020" i="7"/>
  <c r="P4961" i="7" l="1"/>
  <c r="N4961" i="7"/>
  <c r="O4962" i="7" s="1"/>
  <c r="M5020" i="7"/>
  <c r="L5021" i="7"/>
  <c r="P4962" i="7" l="1"/>
  <c r="N4962" i="7"/>
  <c r="O4963" i="7" s="1"/>
  <c r="M5021" i="7"/>
  <c r="L5022" i="7"/>
  <c r="P4963" i="7" l="1"/>
  <c r="N4963" i="7"/>
  <c r="O4964" i="7" s="1"/>
  <c r="M5022" i="7"/>
  <c r="L5023" i="7"/>
  <c r="N4964" i="7" l="1"/>
  <c r="O4965" i="7" s="1"/>
  <c r="P4964" i="7"/>
  <c r="M5023" i="7"/>
  <c r="L5024" i="7"/>
  <c r="N4965" i="7" l="1"/>
  <c r="O4966" i="7" s="1"/>
  <c r="P4965" i="7"/>
  <c r="M5024" i="7"/>
  <c r="L5025" i="7"/>
  <c r="P4966" i="7" l="1"/>
  <c r="N4966" i="7"/>
  <c r="O4967" i="7" s="1"/>
  <c r="M5025" i="7"/>
  <c r="L5026" i="7"/>
  <c r="N4967" i="7" l="1"/>
  <c r="O4968" i="7" s="1"/>
  <c r="P4967" i="7"/>
  <c r="M5026" i="7"/>
  <c r="L5027" i="7"/>
  <c r="N4968" i="7" l="1"/>
  <c r="O4969" i="7" s="1"/>
  <c r="P4968" i="7"/>
  <c r="M5027" i="7"/>
  <c r="L5028" i="7"/>
  <c r="N4969" i="7" l="1"/>
  <c r="O4970" i="7" s="1"/>
  <c r="P4969" i="7"/>
  <c r="M5028" i="7"/>
  <c r="L5029" i="7"/>
  <c r="P4970" i="7" l="1"/>
  <c r="N4970" i="7"/>
  <c r="O4971" i="7" s="1"/>
  <c r="M5029" i="7"/>
  <c r="L5030" i="7"/>
  <c r="P4971" i="7" l="1"/>
  <c r="N4971" i="7"/>
  <c r="O4972" i="7" s="1"/>
  <c r="M5030" i="7"/>
  <c r="L5031" i="7"/>
  <c r="N4972" i="7" l="1"/>
  <c r="O4973" i="7" s="1"/>
  <c r="P4972" i="7"/>
  <c r="M5031" i="7"/>
  <c r="L5032" i="7"/>
  <c r="P4973" i="7" l="1"/>
  <c r="N4973" i="7"/>
  <c r="O4974" i="7" s="1"/>
  <c r="M5032" i="7"/>
  <c r="L5033" i="7"/>
  <c r="N4974" i="7" l="1"/>
  <c r="O4975" i="7" s="1"/>
  <c r="P4974" i="7"/>
  <c r="M5033" i="7"/>
  <c r="L5034" i="7"/>
  <c r="N4975" i="7" l="1"/>
  <c r="O4976" i="7" s="1"/>
  <c r="P4975" i="7"/>
  <c r="M5034" i="7"/>
  <c r="L5035" i="7"/>
  <c r="P4976" i="7" l="1"/>
  <c r="N4976" i="7"/>
  <c r="O4977" i="7" s="1"/>
  <c r="M5035" i="7"/>
  <c r="L5036" i="7"/>
  <c r="N4977" i="7" l="1"/>
  <c r="O4978" i="7" s="1"/>
  <c r="P4977" i="7"/>
  <c r="M5036" i="7"/>
  <c r="L5037" i="7"/>
  <c r="N4978" i="7" l="1"/>
  <c r="O4979" i="7" s="1"/>
  <c r="P4978" i="7"/>
  <c r="M5037" i="7"/>
  <c r="L5038" i="7"/>
  <c r="P4979" i="7" l="1"/>
  <c r="N4979" i="7"/>
  <c r="O4980" i="7" s="1"/>
  <c r="M5038" i="7"/>
  <c r="L5039" i="7"/>
  <c r="N4980" i="7" l="1"/>
  <c r="O4981" i="7" s="1"/>
  <c r="P4980" i="7"/>
  <c r="M5039" i="7"/>
  <c r="L5040" i="7"/>
  <c r="P4981" i="7" l="1"/>
  <c r="N4981" i="7"/>
  <c r="O4982" i="7" s="1"/>
  <c r="M5040" i="7"/>
  <c r="L5041" i="7"/>
  <c r="N4982" i="7" l="1"/>
  <c r="O4983" i="7" s="1"/>
  <c r="P4982" i="7"/>
  <c r="M5041" i="7"/>
  <c r="L5042" i="7"/>
  <c r="P4983" i="7" l="1"/>
  <c r="N4983" i="7"/>
  <c r="O4984" i="7" s="1"/>
  <c r="M5042" i="7"/>
  <c r="L5043" i="7"/>
  <c r="N4984" i="7" l="1"/>
  <c r="O4985" i="7" s="1"/>
  <c r="P4984" i="7"/>
  <c r="M5043" i="7"/>
  <c r="L5044" i="7"/>
  <c r="N4985" i="7" l="1"/>
  <c r="O4986" i="7" s="1"/>
  <c r="P4985" i="7"/>
  <c r="M5044" i="7"/>
  <c r="L5045" i="7"/>
  <c r="N4986" i="7" l="1"/>
  <c r="O4987" i="7" s="1"/>
  <c r="P4986" i="7"/>
  <c r="M5045" i="7"/>
  <c r="L5046" i="7"/>
  <c r="N4987" i="7" l="1"/>
  <c r="O4988" i="7" s="1"/>
  <c r="P4987" i="7"/>
  <c r="M5046" i="7"/>
  <c r="L5047" i="7"/>
  <c r="N4988" i="7" l="1"/>
  <c r="O4989" i="7" s="1"/>
  <c r="P4988" i="7"/>
  <c r="M5047" i="7"/>
  <c r="L5048" i="7"/>
  <c r="N4989" i="7" l="1"/>
  <c r="O4990" i="7" s="1"/>
  <c r="P4989" i="7"/>
  <c r="M5048" i="7"/>
  <c r="L5049" i="7"/>
  <c r="N4990" i="7" l="1"/>
  <c r="O4991" i="7" s="1"/>
  <c r="P4990" i="7"/>
  <c r="M5049" i="7"/>
  <c r="L5050" i="7"/>
  <c r="N4991" i="7" l="1"/>
  <c r="O4992" i="7" s="1"/>
  <c r="P4991" i="7"/>
  <c r="M5050" i="7"/>
  <c r="L5051" i="7"/>
  <c r="N4992" i="7" l="1"/>
  <c r="O4993" i="7" s="1"/>
  <c r="P4992" i="7"/>
  <c r="M5051" i="7"/>
  <c r="L5052" i="7"/>
  <c r="P4993" i="7" l="1"/>
  <c r="N4993" i="7"/>
  <c r="O4994" i="7" s="1"/>
  <c r="M5052" i="7"/>
  <c r="L5053" i="7"/>
  <c r="N4994" i="7" l="1"/>
  <c r="O4995" i="7" s="1"/>
  <c r="P4994" i="7"/>
  <c r="M5053" i="7"/>
  <c r="L5054" i="7"/>
  <c r="N4995" i="7" l="1"/>
  <c r="O4996" i="7" s="1"/>
  <c r="P4995" i="7"/>
  <c r="M5054" i="7"/>
  <c r="L5055" i="7"/>
  <c r="P4996" i="7" l="1"/>
  <c r="N4996" i="7"/>
  <c r="O4997" i="7" s="1"/>
  <c r="M5055" i="7"/>
  <c r="L5056" i="7"/>
  <c r="N4997" i="7" l="1"/>
  <c r="O4998" i="7" s="1"/>
  <c r="P4997" i="7"/>
  <c r="M5056" i="7"/>
  <c r="L5057" i="7"/>
  <c r="N4998" i="7" l="1"/>
  <c r="O4999" i="7" s="1"/>
  <c r="P4998" i="7"/>
  <c r="M5057" i="7"/>
  <c r="L5058" i="7"/>
  <c r="N4999" i="7" l="1"/>
  <c r="O5000" i="7" s="1"/>
  <c r="P4999" i="7"/>
  <c r="M5058" i="7"/>
  <c r="L5059" i="7"/>
  <c r="P5000" i="7" l="1"/>
  <c r="N5000" i="7"/>
  <c r="O5001" i="7" s="1"/>
  <c r="M5059" i="7"/>
  <c r="L5060" i="7"/>
  <c r="P5001" i="7" l="1"/>
  <c r="N5001" i="7"/>
  <c r="O5002" i="7" s="1"/>
  <c r="M5060" i="7"/>
  <c r="L5061" i="7"/>
  <c r="N5002" i="7" l="1"/>
  <c r="O5003" i="7" s="1"/>
  <c r="P5002" i="7"/>
  <c r="M5061" i="7"/>
  <c r="L5062" i="7"/>
  <c r="P5003" i="7" l="1"/>
  <c r="N5003" i="7"/>
  <c r="O5004" i="7" s="1"/>
  <c r="M5062" i="7"/>
  <c r="L5063" i="7"/>
  <c r="N5004" i="7" l="1"/>
  <c r="O5005" i="7" s="1"/>
  <c r="P5004" i="7"/>
  <c r="M5063" i="7"/>
  <c r="L5064" i="7"/>
  <c r="N5005" i="7" l="1"/>
  <c r="O5006" i="7" s="1"/>
  <c r="P5005" i="7"/>
  <c r="M5064" i="7"/>
  <c r="L5065" i="7"/>
  <c r="P5006" i="7" l="1"/>
  <c r="N5006" i="7"/>
  <c r="O5007" i="7" s="1"/>
  <c r="M5065" i="7"/>
  <c r="L5066" i="7"/>
  <c r="N5007" i="7" l="1"/>
  <c r="O5008" i="7" s="1"/>
  <c r="P5007" i="7"/>
  <c r="M5066" i="7"/>
  <c r="L5067" i="7"/>
  <c r="N5008" i="7" l="1"/>
  <c r="O5009" i="7" s="1"/>
  <c r="P5008" i="7"/>
  <c r="M5067" i="7"/>
  <c r="L5068" i="7"/>
  <c r="N5009" i="7" l="1"/>
  <c r="O5010" i="7" s="1"/>
  <c r="P5009" i="7"/>
  <c r="M5068" i="7"/>
  <c r="L5069" i="7"/>
  <c r="P5010" i="7" l="1"/>
  <c r="N5010" i="7"/>
  <c r="O5011" i="7" s="1"/>
  <c r="M5069" i="7"/>
  <c r="L5070" i="7"/>
  <c r="P5011" i="7" l="1"/>
  <c r="N5011" i="7"/>
  <c r="O5012" i="7" s="1"/>
  <c r="M5070" i="7"/>
  <c r="L5071" i="7"/>
  <c r="P5012" i="7" l="1"/>
  <c r="N5012" i="7"/>
  <c r="O5013" i="7" s="1"/>
  <c r="M5071" i="7"/>
  <c r="L5072" i="7"/>
  <c r="P5013" i="7" l="1"/>
  <c r="N5013" i="7"/>
  <c r="O5014" i="7" s="1"/>
  <c r="M5072" i="7"/>
  <c r="L5073" i="7"/>
  <c r="P5014" i="7" l="1"/>
  <c r="N5014" i="7"/>
  <c r="O5015" i="7" s="1"/>
  <c r="M5073" i="7"/>
  <c r="L5074" i="7"/>
  <c r="P5015" i="7" l="1"/>
  <c r="N5015" i="7"/>
  <c r="O5016" i="7" s="1"/>
  <c r="M5074" i="7"/>
  <c r="L5075" i="7"/>
  <c r="N5016" i="7" l="1"/>
  <c r="O5017" i="7" s="1"/>
  <c r="P5016" i="7"/>
  <c r="M5075" i="7"/>
  <c r="L5076" i="7"/>
  <c r="P5017" i="7" l="1"/>
  <c r="N5017" i="7"/>
  <c r="O5018" i="7" s="1"/>
  <c r="M5076" i="7"/>
  <c r="L5077" i="7"/>
  <c r="N5018" i="7" l="1"/>
  <c r="O5019" i="7" s="1"/>
  <c r="P5018" i="7"/>
  <c r="M5077" i="7"/>
  <c r="L5078" i="7"/>
  <c r="P5019" i="7" l="1"/>
  <c r="N5019" i="7"/>
  <c r="O5020" i="7" s="1"/>
  <c r="M5078" i="7"/>
  <c r="L5079" i="7"/>
  <c r="P5020" i="7" l="1"/>
  <c r="N5020" i="7"/>
  <c r="O5021" i="7" s="1"/>
  <c r="M5079" i="7"/>
  <c r="L5080" i="7"/>
  <c r="P5021" i="7" l="1"/>
  <c r="N5021" i="7"/>
  <c r="O5022" i="7" s="1"/>
  <c r="M5080" i="7"/>
  <c r="L5081" i="7"/>
  <c r="N5022" i="7" l="1"/>
  <c r="O5023" i="7" s="1"/>
  <c r="P5022" i="7"/>
  <c r="M5081" i="7"/>
  <c r="L5082" i="7"/>
  <c r="P5023" i="7" l="1"/>
  <c r="N5023" i="7"/>
  <c r="O5024" i="7" s="1"/>
  <c r="M5082" i="7"/>
  <c r="L5083" i="7"/>
  <c r="N5024" i="7" l="1"/>
  <c r="O5025" i="7" s="1"/>
  <c r="P5024" i="7"/>
  <c r="M5083" i="7"/>
  <c r="L5084" i="7"/>
  <c r="N5025" i="7" l="1"/>
  <c r="O5026" i="7" s="1"/>
  <c r="P5025" i="7"/>
  <c r="M5084" i="7"/>
  <c r="L5085" i="7"/>
  <c r="N5026" i="7" l="1"/>
  <c r="O5027" i="7" s="1"/>
  <c r="P5026" i="7"/>
  <c r="M5085" i="7"/>
  <c r="L5086" i="7"/>
  <c r="N5027" i="7" l="1"/>
  <c r="O5028" i="7" s="1"/>
  <c r="P5027" i="7"/>
  <c r="M5086" i="7"/>
  <c r="L5087" i="7"/>
  <c r="N5028" i="7" l="1"/>
  <c r="O5029" i="7" s="1"/>
  <c r="P5028" i="7"/>
  <c r="M5087" i="7"/>
  <c r="L5088" i="7"/>
  <c r="P5029" i="7" l="1"/>
  <c r="N5029" i="7"/>
  <c r="O5030" i="7" s="1"/>
  <c r="M5088" i="7"/>
  <c r="L5089" i="7"/>
  <c r="P5030" i="7" l="1"/>
  <c r="N5030" i="7"/>
  <c r="O5031" i="7" s="1"/>
  <c r="M5089" i="7"/>
  <c r="L5090" i="7"/>
  <c r="N5031" i="7" l="1"/>
  <c r="O5032" i="7" s="1"/>
  <c r="P5031" i="7"/>
  <c r="M5090" i="7"/>
  <c r="L5091" i="7"/>
  <c r="N5032" i="7" l="1"/>
  <c r="O5033" i="7" s="1"/>
  <c r="P5032" i="7"/>
  <c r="M5091" i="7"/>
  <c r="L5092" i="7"/>
  <c r="N5033" i="7" l="1"/>
  <c r="O5034" i="7" s="1"/>
  <c r="P5033" i="7"/>
  <c r="M5092" i="7"/>
  <c r="L5093" i="7"/>
  <c r="N5034" i="7" l="1"/>
  <c r="O5035" i="7" s="1"/>
  <c r="P5034" i="7"/>
  <c r="M5093" i="7"/>
  <c r="L5094" i="7"/>
  <c r="N5035" i="7" l="1"/>
  <c r="O5036" i="7" s="1"/>
  <c r="P5035" i="7"/>
  <c r="M5094" i="7"/>
  <c r="L5095" i="7"/>
  <c r="N5036" i="7" l="1"/>
  <c r="O5037" i="7" s="1"/>
  <c r="P5036" i="7"/>
  <c r="M5095" i="7"/>
  <c r="L5096" i="7"/>
  <c r="N5037" i="7" l="1"/>
  <c r="O5038" i="7" s="1"/>
  <c r="P5037" i="7"/>
  <c r="M5096" i="7"/>
  <c r="L5097" i="7"/>
  <c r="N5038" i="7" l="1"/>
  <c r="O5039" i="7" s="1"/>
  <c r="P5038" i="7"/>
  <c r="M5097" i="7"/>
  <c r="L5098" i="7"/>
  <c r="N5039" i="7" l="1"/>
  <c r="O5040" i="7" s="1"/>
  <c r="P5039" i="7"/>
  <c r="M5098" i="7"/>
  <c r="L5099" i="7"/>
  <c r="P5040" i="7" l="1"/>
  <c r="N5040" i="7"/>
  <c r="O5041" i="7" s="1"/>
  <c r="M5099" i="7"/>
  <c r="L5100" i="7"/>
  <c r="N5041" i="7" l="1"/>
  <c r="O5042" i="7" s="1"/>
  <c r="P5041" i="7"/>
  <c r="M5100" i="7"/>
  <c r="L5101" i="7"/>
  <c r="P5042" i="7" l="1"/>
  <c r="N5042" i="7"/>
  <c r="O5043" i="7" s="1"/>
  <c r="M5101" i="7"/>
  <c r="L5102" i="7"/>
  <c r="N5043" i="7" l="1"/>
  <c r="O5044" i="7" s="1"/>
  <c r="P5043" i="7"/>
  <c r="M5102" i="7"/>
  <c r="L5103" i="7"/>
  <c r="N5044" i="7" l="1"/>
  <c r="O5045" i="7" s="1"/>
  <c r="P5044" i="7"/>
  <c r="M5103" i="7"/>
  <c r="L5104" i="7"/>
  <c r="N5045" i="7" l="1"/>
  <c r="O5046" i="7" s="1"/>
  <c r="P5045" i="7"/>
  <c r="M5104" i="7"/>
  <c r="L5105" i="7"/>
  <c r="P5046" i="7" l="1"/>
  <c r="N5046" i="7"/>
  <c r="O5047" i="7" s="1"/>
  <c r="M5105" i="7"/>
  <c r="L5106" i="7"/>
  <c r="N5047" i="7" l="1"/>
  <c r="O5048" i="7" s="1"/>
  <c r="P5047" i="7"/>
  <c r="M5106" i="7"/>
  <c r="L5107" i="7"/>
  <c r="P5048" i="7" l="1"/>
  <c r="N5048" i="7"/>
  <c r="O5049" i="7" s="1"/>
  <c r="M5107" i="7"/>
  <c r="L5108" i="7"/>
  <c r="P5049" i="7" l="1"/>
  <c r="N5049" i="7"/>
  <c r="O5050" i="7" s="1"/>
  <c r="M5108" i="7"/>
  <c r="L5109" i="7"/>
  <c r="P5050" i="7" l="1"/>
  <c r="N5050" i="7"/>
  <c r="O5051" i="7" s="1"/>
  <c r="M5109" i="7"/>
  <c r="L5110" i="7"/>
  <c r="N5051" i="7" l="1"/>
  <c r="O5052" i="7" s="1"/>
  <c r="P5051" i="7"/>
  <c r="M5110" i="7"/>
  <c r="L5111" i="7"/>
  <c r="P5052" i="7" l="1"/>
  <c r="N5052" i="7"/>
  <c r="O5053" i="7" s="1"/>
  <c r="M5111" i="7"/>
  <c r="L5112" i="7"/>
  <c r="N5053" i="7" l="1"/>
  <c r="O5054" i="7" s="1"/>
  <c r="P5053" i="7"/>
  <c r="M5112" i="7"/>
  <c r="L5113" i="7"/>
  <c r="P5054" i="7" l="1"/>
  <c r="N5054" i="7"/>
  <c r="O5055" i="7" s="1"/>
  <c r="M5113" i="7"/>
  <c r="L5114" i="7"/>
  <c r="P5055" i="7" l="1"/>
  <c r="N5055" i="7"/>
  <c r="O5056" i="7" s="1"/>
  <c r="M5114" i="7"/>
  <c r="L5115" i="7"/>
  <c r="P5056" i="7" l="1"/>
  <c r="N5056" i="7"/>
  <c r="O5057" i="7" s="1"/>
  <c r="M5115" i="7"/>
  <c r="L5116" i="7"/>
  <c r="N5057" i="7" l="1"/>
  <c r="O5058" i="7" s="1"/>
  <c r="P5057" i="7"/>
  <c r="M5116" i="7"/>
  <c r="L5117" i="7"/>
  <c r="P5058" i="7" l="1"/>
  <c r="N5058" i="7"/>
  <c r="O5059" i="7" s="1"/>
  <c r="M5117" i="7"/>
  <c r="L5118" i="7"/>
  <c r="N5059" i="7" l="1"/>
  <c r="O5060" i="7" s="1"/>
  <c r="P5059" i="7"/>
  <c r="M5118" i="7"/>
  <c r="L5119" i="7"/>
  <c r="N5060" i="7" l="1"/>
  <c r="O5061" i="7" s="1"/>
  <c r="P5060" i="7"/>
  <c r="M5119" i="7"/>
  <c r="L5120" i="7"/>
  <c r="P5061" i="7" l="1"/>
  <c r="N5061" i="7"/>
  <c r="O5062" i="7" s="1"/>
  <c r="M5120" i="7"/>
  <c r="L5121" i="7"/>
  <c r="N5062" i="7" l="1"/>
  <c r="O5063" i="7" s="1"/>
  <c r="P5062" i="7"/>
  <c r="M5121" i="7"/>
  <c r="L5122" i="7"/>
  <c r="N5063" i="7" l="1"/>
  <c r="O5064" i="7" s="1"/>
  <c r="P5063" i="7"/>
  <c r="M5122" i="7"/>
  <c r="L5123" i="7"/>
  <c r="N5064" i="7" l="1"/>
  <c r="O5065" i="7" s="1"/>
  <c r="P5064" i="7"/>
  <c r="M5123" i="7"/>
  <c r="L5124" i="7"/>
  <c r="P5065" i="7" l="1"/>
  <c r="N5065" i="7"/>
  <c r="O5066" i="7" s="1"/>
  <c r="M5124" i="7"/>
  <c r="L5125" i="7"/>
  <c r="N5066" i="7" l="1"/>
  <c r="O5067" i="7" s="1"/>
  <c r="P5066" i="7"/>
  <c r="M5125" i="7"/>
  <c r="L5126" i="7"/>
  <c r="N5067" i="7" l="1"/>
  <c r="O5068" i="7" s="1"/>
  <c r="P5067" i="7"/>
  <c r="M5126" i="7"/>
  <c r="L5127" i="7"/>
  <c r="N5068" i="7" l="1"/>
  <c r="O5069" i="7" s="1"/>
  <c r="P5068" i="7"/>
  <c r="M5127" i="7"/>
  <c r="L5128" i="7"/>
  <c r="P5069" i="7" l="1"/>
  <c r="N5069" i="7"/>
  <c r="O5070" i="7" s="1"/>
  <c r="M5128" i="7"/>
  <c r="L5129" i="7"/>
  <c r="N5070" i="7" l="1"/>
  <c r="O5071" i="7" s="1"/>
  <c r="P5070" i="7"/>
  <c r="M5129" i="7"/>
  <c r="L5130" i="7"/>
  <c r="N5071" i="7" l="1"/>
  <c r="O5072" i="7" s="1"/>
  <c r="P5071" i="7"/>
  <c r="M5130" i="7"/>
  <c r="L5131" i="7"/>
  <c r="N5072" i="7" l="1"/>
  <c r="O5073" i="7" s="1"/>
  <c r="P5072" i="7"/>
  <c r="M5131" i="7"/>
  <c r="L5132" i="7"/>
  <c r="N5073" i="7" l="1"/>
  <c r="O5074" i="7" s="1"/>
  <c r="P5073" i="7"/>
  <c r="M5132" i="7"/>
  <c r="L5133" i="7"/>
  <c r="P5074" i="7" l="1"/>
  <c r="N5074" i="7"/>
  <c r="O5075" i="7" s="1"/>
  <c r="M5133" i="7"/>
  <c r="L5134" i="7"/>
  <c r="N5075" i="7" l="1"/>
  <c r="O5076" i="7" s="1"/>
  <c r="P5075" i="7"/>
  <c r="M5134" i="7"/>
  <c r="L5135" i="7"/>
  <c r="N5076" i="7" l="1"/>
  <c r="O5077" i="7" s="1"/>
  <c r="P5076" i="7"/>
  <c r="M5135" i="7"/>
  <c r="L5136" i="7"/>
  <c r="N5077" i="7" l="1"/>
  <c r="O5078" i="7" s="1"/>
  <c r="P5077" i="7"/>
  <c r="M5136" i="7"/>
  <c r="L5137" i="7"/>
  <c r="P5078" i="7" l="1"/>
  <c r="N5078" i="7"/>
  <c r="O5079" i="7" s="1"/>
  <c r="M5137" i="7"/>
  <c r="L5138" i="7"/>
  <c r="P5079" i="7" l="1"/>
  <c r="N5079" i="7"/>
  <c r="O5080" i="7" s="1"/>
  <c r="M5138" i="7"/>
  <c r="L5139" i="7"/>
  <c r="P5080" i="7" l="1"/>
  <c r="N5080" i="7"/>
  <c r="O5081" i="7" s="1"/>
  <c r="M5139" i="7"/>
  <c r="L5140" i="7"/>
  <c r="P5081" i="7" l="1"/>
  <c r="N5081" i="7"/>
  <c r="O5082" i="7" s="1"/>
  <c r="M5140" i="7"/>
  <c r="L5141" i="7"/>
  <c r="N5082" i="7" l="1"/>
  <c r="O5083" i="7" s="1"/>
  <c r="P5082" i="7"/>
  <c r="M5141" i="7"/>
  <c r="L5142" i="7"/>
  <c r="N5083" i="7" l="1"/>
  <c r="O5084" i="7" s="1"/>
  <c r="P5083" i="7"/>
  <c r="M5142" i="7"/>
  <c r="L5143" i="7"/>
  <c r="N5084" i="7" l="1"/>
  <c r="O5085" i="7" s="1"/>
  <c r="P5084" i="7"/>
  <c r="M5143" i="7"/>
  <c r="L5144" i="7"/>
  <c r="P5085" i="7" l="1"/>
  <c r="N5085" i="7"/>
  <c r="O5086" i="7" s="1"/>
  <c r="M5144" i="7"/>
  <c r="L5145" i="7"/>
  <c r="P5086" i="7" l="1"/>
  <c r="N5086" i="7"/>
  <c r="O5087" i="7" s="1"/>
  <c r="M5145" i="7"/>
  <c r="L5146" i="7"/>
  <c r="P5087" i="7" l="1"/>
  <c r="N5087" i="7"/>
  <c r="O5088" i="7" s="1"/>
  <c r="M5146" i="7"/>
  <c r="L5147" i="7"/>
  <c r="N5088" i="7" l="1"/>
  <c r="O5089" i="7" s="1"/>
  <c r="P5088" i="7"/>
  <c r="M5147" i="7"/>
  <c r="L5148" i="7"/>
  <c r="N5089" i="7" l="1"/>
  <c r="O5090" i="7" s="1"/>
  <c r="P5089" i="7"/>
  <c r="M5148" i="7"/>
  <c r="L5149" i="7"/>
  <c r="N5090" i="7" l="1"/>
  <c r="O5091" i="7" s="1"/>
  <c r="P5090" i="7"/>
  <c r="M5149" i="7"/>
  <c r="L5150" i="7"/>
  <c r="N5091" i="7" l="1"/>
  <c r="O5092" i="7" s="1"/>
  <c r="P5091" i="7"/>
  <c r="M5150" i="7"/>
  <c r="L5151" i="7"/>
  <c r="N5092" i="7" l="1"/>
  <c r="O5093" i="7" s="1"/>
  <c r="P5092" i="7"/>
  <c r="M5151" i="7"/>
  <c r="L5152" i="7"/>
  <c r="N5093" i="7" l="1"/>
  <c r="O5094" i="7" s="1"/>
  <c r="P5093" i="7"/>
  <c r="M5152" i="7"/>
  <c r="L5153" i="7"/>
  <c r="N5094" i="7" l="1"/>
  <c r="O5095" i="7" s="1"/>
  <c r="P5094" i="7"/>
  <c r="M5153" i="7"/>
  <c r="L5154" i="7"/>
  <c r="N5095" i="7" l="1"/>
  <c r="O5096" i="7" s="1"/>
  <c r="P5095" i="7"/>
  <c r="M5154" i="7"/>
  <c r="L5155" i="7"/>
  <c r="N5096" i="7" l="1"/>
  <c r="O5097" i="7" s="1"/>
  <c r="P5096" i="7"/>
  <c r="M5155" i="7"/>
  <c r="L5156" i="7"/>
  <c r="P5097" i="7" l="1"/>
  <c r="N5097" i="7"/>
  <c r="O5098" i="7" s="1"/>
  <c r="M5156" i="7"/>
  <c r="L5157" i="7"/>
  <c r="N5098" i="7" l="1"/>
  <c r="O5099" i="7" s="1"/>
  <c r="P5098" i="7"/>
  <c r="M5157" i="7"/>
  <c r="L5158" i="7"/>
  <c r="N5099" i="7" l="1"/>
  <c r="O5100" i="7" s="1"/>
  <c r="P5099" i="7"/>
  <c r="M5158" i="7"/>
  <c r="L5159" i="7"/>
  <c r="N5100" i="7" l="1"/>
  <c r="O5101" i="7" s="1"/>
  <c r="P5100" i="7"/>
  <c r="M5159" i="7"/>
  <c r="L5160" i="7"/>
  <c r="P5101" i="7" l="1"/>
  <c r="N5101" i="7"/>
  <c r="O5102" i="7" s="1"/>
  <c r="M5160" i="7"/>
  <c r="L5161" i="7"/>
  <c r="P5102" i="7" l="1"/>
  <c r="N5102" i="7"/>
  <c r="O5103" i="7" s="1"/>
  <c r="M5161" i="7"/>
  <c r="L5162" i="7"/>
  <c r="N5103" i="7" l="1"/>
  <c r="O5104" i="7" s="1"/>
  <c r="P5103" i="7"/>
  <c r="M5162" i="7"/>
  <c r="L5163" i="7"/>
  <c r="N5104" i="7" l="1"/>
  <c r="O5105" i="7" s="1"/>
  <c r="P5104" i="7"/>
  <c r="M5163" i="7"/>
  <c r="L5164" i="7"/>
  <c r="N5105" i="7" l="1"/>
  <c r="O5106" i="7" s="1"/>
  <c r="P5105" i="7"/>
  <c r="M5164" i="7"/>
  <c r="L5165" i="7"/>
  <c r="P5106" i="7" l="1"/>
  <c r="N5106" i="7"/>
  <c r="O5107" i="7" s="1"/>
  <c r="M5165" i="7"/>
  <c r="L5166" i="7"/>
  <c r="P5107" i="7" l="1"/>
  <c r="N5107" i="7"/>
  <c r="O5108" i="7" s="1"/>
  <c r="M5166" i="7"/>
  <c r="L5167" i="7"/>
  <c r="N5108" i="7" l="1"/>
  <c r="O5109" i="7" s="1"/>
  <c r="P5108" i="7"/>
  <c r="M5167" i="7"/>
  <c r="L5168" i="7"/>
  <c r="N5109" i="7" l="1"/>
  <c r="O5110" i="7" s="1"/>
  <c r="P5109" i="7"/>
  <c r="M5168" i="7"/>
  <c r="L5169" i="7"/>
  <c r="N5110" i="7" l="1"/>
  <c r="O5111" i="7" s="1"/>
  <c r="P5110" i="7"/>
  <c r="M5169" i="7"/>
  <c r="L5170" i="7"/>
  <c r="N5111" i="7" l="1"/>
  <c r="O5112" i="7" s="1"/>
  <c r="P5111" i="7"/>
  <c r="M5170" i="7"/>
  <c r="L5171" i="7"/>
  <c r="P5112" i="7" l="1"/>
  <c r="N5112" i="7"/>
  <c r="O5113" i="7" s="1"/>
  <c r="M5171" i="7"/>
  <c r="L5172" i="7"/>
  <c r="P5113" i="7" l="1"/>
  <c r="N5113" i="7"/>
  <c r="O5114" i="7" s="1"/>
  <c r="M5172" i="7"/>
  <c r="L5173" i="7"/>
  <c r="P5114" i="7" l="1"/>
  <c r="N5114" i="7"/>
  <c r="O5115" i="7" s="1"/>
  <c r="M5173" i="7"/>
  <c r="L5174" i="7"/>
  <c r="N5115" i="7" l="1"/>
  <c r="O5116" i="7" s="1"/>
  <c r="P5115" i="7"/>
  <c r="M5174" i="7"/>
  <c r="L5175" i="7"/>
  <c r="P5116" i="7" l="1"/>
  <c r="N5116" i="7"/>
  <c r="O5117" i="7" s="1"/>
  <c r="M5175" i="7"/>
  <c r="L5176" i="7"/>
  <c r="N5117" i="7" l="1"/>
  <c r="O5118" i="7" s="1"/>
  <c r="P5117" i="7"/>
  <c r="M5176" i="7"/>
  <c r="L5177" i="7"/>
  <c r="N5118" i="7" l="1"/>
  <c r="O5119" i="7" s="1"/>
  <c r="P5118" i="7"/>
  <c r="M5177" i="7"/>
  <c r="L5178" i="7"/>
  <c r="N5119" i="7" l="1"/>
  <c r="O5120" i="7" s="1"/>
  <c r="P5119" i="7"/>
  <c r="M5178" i="7"/>
  <c r="L5179" i="7"/>
  <c r="N5120" i="7" l="1"/>
  <c r="O5121" i="7" s="1"/>
  <c r="P5120" i="7"/>
  <c r="M5179" i="7"/>
  <c r="L5180" i="7"/>
  <c r="N5121" i="7" l="1"/>
  <c r="O5122" i="7" s="1"/>
  <c r="P5121" i="7"/>
  <c r="M5180" i="7"/>
  <c r="L5181" i="7"/>
  <c r="P5122" i="7" l="1"/>
  <c r="N5122" i="7"/>
  <c r="O5123" i="7" s="1"/>
  <c r="M5181" i="7"/>
  <c r="L5182" i="7"/>
  <c r="N5123" i="7" l="1"/>
  <c r="O5124" i="7" s="1"/>
  <c r="P5123" i="7"/>
  <c r="M5182" i="7"/>
  <c r="L5183" i="7"/>
  <c r="P5124" i="7" l="1"/>
  <c r="N5124" i="7"/>
  <c r="O5125" i="7" s="1"/>
  <c r="M5183" i="7"/>
  <c r="L5184" i="7"/>
  <c r="N5125" i="7" l="1"/>
  <c r="O5126" i="7" s="1"/>
  <c r="P5125" i="7"/>
  <c r="M5184" i="7"/>
  <c r="L5185" i="7"/>
  <c r="N5126" i="7" l="1"/>
  <c r="O5127" i="7" s="1"/>
  <c r="P5126" i="7"/>
  <c r="M5185" i="7"/>
  <c r="L5186" i="7"/>
  <c r="P5127" i="7" l="1"/>
  <c r="N5127" i="7"/>
  <c r="O5128" i="7" s="1"/>
  <c r="M5186" i="7"/>
  <c r="L5187" i="7"/>
  <c r="N5128" i="7" l="1"/>
  <c r="O5129" i="7" s="1"/>
  <c r="P5128" i="7"/>
  <c r="M5187" i="7"/>
  <c r="L5188" i="7"/>
  <c r="P5129" i="7" l="1"/>
  <c r="N5129" i="7"/>
  <c r="O5130" i="7" s="1"/>
  <c r="M5188" i="7"/>
  <c r="L5189" i="7"/>
  <c r="N5130" i="7" l="1"/>
  <c r="O5131" i="7" s="1"/>
  <c r="P5130" i="7"/>
  <c r="M5189" i="7"/>
  <c r="L5190" i="7"/>
  <c r="N5131" i="7" l="1"/>
  <c r="O5132" i="7" s="1"/>
  <c r="P5131" i="7"/>
  <c r="M5190" i="7"/>
  <c r="L5191" i="7"/>
  <c r="N5132" i="7" l="1"/>
  <c r="O5133" i="7" s="1"/>
  <c r="P5132" i="7"/>
  <c r="M5191" i="7"/>
  <c r="L5192" i="7"/>
  <c r="P5133" i="7" l="1"/>
  <c r="N5133" i="7"/>
  <c r="O5134" i="7" s="1"/>
  <c r="M5192" i="7"/>
  <c r="L5193" i="7"/>
  <c r="P5134" i="7" l="1"/>
  <c r="N5134" i="7"/>
  <c r="O5135" i="7" s="1"/>
  <c r="M5193" i="7"/>
  <c r="L5194" i="7"/>
  <c r="P5135" i="7" l="1"/>
  <c r="N5135" i="7"/>
  <c r="O5136" i="7" s="1"/>
  <c r="M5194" i="7"/>
  <c r="L5195" i="7"/>
  <c r="N5136" i="7" l="1"/>
  <c r="O5137" i="7" s="1"/>
  <c r="P5136" i="7"/>
  <c r="M5195" i="7"/>
  <c r="L5196" i="7"/>
  <c r="N5137" i="7" l="1"/>
  <c r="O5138" i="7" s="1"/>
  <c r="P5137" i="7"/>
  <c r="M5196" i="7"/>
  <c r="L5197" i="7"/>
  <c r="N5138" i="7" l="1"/>
  <c r="O5139" i="7" s="1"/>
  <c r="P5138" i="7"/>
  <c r="M5197" i="7"/>
  <c r="L5198" i="7"/>
  <c r="N5139" i="7" l="1"/>
  <c r="O5140" i="7" s="1"/>
  <c r="P5139" i="7"/>
  <c r="M5198" i="7"/>
  <c r="L5199" i="7"/>
  <c r="N5140" i="7" l="1"/>
  <c r="O5141" i="7" s="1"/>
  <c r="P5140" i="7"/>
  <c r="M5199" i="7"/>
  <c r="L5200" i="7"/>
  <c r="P5141" i="7" l="1"/>
  <c r="N5141" i="7"/>
  <c r="O5142" i="7" s="1"/>
  <c r="M5200" i="7"/>
  <c r="L5201" i="7"/>
  <c r="N5142" i="7" l="1"/>
  <c r="O5143" i="7" s="1"/>
  <c r="P5142" i="7"/>
  <c r="M5201" i="7"/>
  <c r="L5202" i="7"/>
  <c r="N5143" i="7" l="1"/>
  <c r="O5144" i="7" s="1"/>
  <c r="P5143" i="7"/>
  <c r="M5202" i="7"/>
  <c r="L5203" i="7"/>
  <c r="P5144" i="7" l="1"/>
  <c r="N5144" i="7"/>
  <c r="O5145" i="7" s="1"/>
  <c r="M5203" i="7"/>
  <c r="L5204" i="7"/>
  <c r="N5145" i="7" l="1"/>
  <c r="O5146" i="7" s="1"/>
  <c r="P5145" i="7"/>
  <c r="M5204" i="7"/>
  <c r="L5205" i="7"/>
  <c r="N5146" i="7" l="1"/>
  <c r="O5147" i="7" s="1"/>
  <c r="P5146" i="7"/>
  <c r="M5205" i="7"/>
  <c r="L5206" i="7"/>
  <c r="P5147" i="7" l="1"/>
  <c r="N5147" i="7"/>
  <c r="O5148" i="7" s="1"/>
  <c r="M5206" i="7"/>
  <c r="L5207" i="7"/>
  <c r="P5148" i="7" l="1"/>
  <c r="N5148" i="7"/>
  <c r="O5149" i="7" s="1"/>
  <c r="M5207" i="7"/>
  <c r="L5208" i="7"/>
  <c r="N5149" i="7" l="1"/>
  <c r="O5150" i="7" s="1"/>
  <c r="P5149" i="7"/>
  <c r="M5208" i="7"/>
  <c r="L5209" i="7"/>
  <c r="P5150" i="7" l="1"/>
  <c r="N5150" i="7"/>
  <c r="O5151" i="7" s="1"/>
  <c r="M5209" i="7"/>
  <c r="L5210" i="7"/>
  <c r="P5151" i="7" l="1"/>
  <c r="N5151" i="7"/>
  <c r="O5152" i="7" s="1"/>
  <c r="M5210" i="7"/>
  <c r="L5211" i="7"/>
  <c r="N5152" i="7" l="1"/>
  <c r="O5153" i="7" s="1"/>
  <c r="P5152" i="7"/>
  <c r="M5211" i="7"/>
  <c r="L5212" i="7"/>
  <c r="N5153" i="7" l="1"/>
  <c r="O5154" i="7" s="1"/>
  <c r="P5153" i="7"/>
  <c r="M5212" i="7"/>
  <c r="L5213" i="7"/>
  <c r="N5154" i="7" l="1"/>
  <c r="O5155" i="7" s="1"/>
  <c r="P5154" i="7"/>
  <c r="M5213" i="7"/>
  <c r="L5214" i="7"/>
  <c r="P5155" i="7" l="1"/>
  <c r="N5155" i="7"/>
  <c r="O5156" i="7" s="1"/>
  <c r="M5214" i="7"/>
  <c r="L5215" i="7"/>
  <c r="P5156" i="7" l="1"/>
  <c r="N5156" i="7"/>
  <c r="O5157" i="7" s="1"/>
  <c r="M5215" i="7"/>
  <c r="L5216" i="7"/>
  <c r="N5157" i="7" l="1"/>
  <c r="O5158" i="7" s="1"/>
  <c r="P5157" i="7"/>
  <c r="M5216" i="7"/>
  <c r="L5217" i="7"/>
  <c r="N5158" i="7" l="1"/>
  <c r="O5159" i="7" s="1"/>
  <c r="P5158" i="7"/>
  <c r="M5217" i="7"/>
  <c r="L5218" i="7"/>
  <c r="N5159" i="7" l="1"/>
  <c r="O5160" i="7" s="1"/>
  <c r="P5159" i="7"/>
  <c r="M5218" i="7"/>
  <c r="L5219" i="7"/>
  <c r="N5160" i="7" l="1"/>
  <c r="O5161" i="7" s="1"/>
  <c r="P5160" i="7"/>
  <c r="M5219" i="7"/>
  <c r="L5220" i="7"/>
  <c r="N5161" i="7" l="1"/>
  <c r="O5162" i="7" s="1"/>
  <c r="P5161" i="7"/>
  <c r="M5220" i="7"/>
  <c r="L5221" i="7"/>
  <c r="P5162" i="7" l="1"/>
  <c r="N5162" i="7"/>
  <c r="O5163" i="7" s="1"/>
  <c r="M5221" i="7"/>
  <c r="L5222" i="7"/>
  <c r="P5163" i="7" l="1"/>
  <c r="N5163" i="7"/>
  <c r="O5164" i="7" s="1"/>
  <c r="M5222" i="7"/>
  <c r="L5223" i="7"/>
  <c r="P5164" i="7" l="1"/>
  <c r="N5164" i="7"/>
  <c r="O5165" i="7" s="1"/>
  <c r="M5223" i="7"/>
  <c r="L5224" i="7"/>
  <c r="P5165" i="7" l="1"/>
  <c r="N5165" i="7"/>
  <c r="O5166" i="7" s="1"/>
  <c r="M5224" i="7"/>
  <c r="L5225" i="7"/>
  <c r="P5166" i="7" l="1"/>
  <c r="N5166" i="7"/>
  <c r="O5167" i="7" s="1"/>
  <c r="M5225" i="7"/>
  <c r="L5226" i="7"/>
  <c r="P5167" i="7" l="1"/>
  <c r="N5167" i="7"/>
  <c r="O5168" i="7" s="1"/>
  <c r="M5226" i="7"/>
  <c r="L5227" i="7"/>
  <c r="P5168" i="7" l="1"/>
  <c r="N5168" i="7"/>
  <c r="O5169" i="7" s="1"/>
  <c r="M5227" i="7"/>
  <c r="L5228" i="7"/>
  <c r="P5169" i="7" l="1"/>
  <c r="N5169" i="7"/>
  <c r="O5170" i="7" s="1"/>
  <c r="M5228" i="7"/>
  <c r="L5229" i="7"/>
  <c r="N5170" i="7" l="1"/>
  <c r="O5171" i="7" s="1"/>
  <c r="P5170" i="7"/>
  <c r="M5229" i="7"/>
  <c r="L5230" i="7"/>
  <c r="P5171" i="7" l="1"/>
  <c r="N5171" i="7"/>
  <c r="O5172" i="7" s="1"/>
  <c r="M5230" i="7"/>
  <c r="L5231" i="7"/>
  <c r="P5172" i="7" l="1"/>
  <c r="N5172" i="7"/>
  <c r="O5173" i="7" s="1"/>
  <c r="M5231" i="7"/>
  <c r="L5232" i="7"/>
  <c r="N5173" i="7" l="1"/>
  <c r="O5174" i="7" s="1"/>
  <c r="P5173" i="7"/>
  <c r="M5232" i="7"/>
  <c r="L5233" i="7"/>
  <c r="N5174" i="7" l="1"/>
  <c r="O5175" i="7" s="1"/>
  <c r="P5174" i="7"/>
  <c r="M5233" i="7"/>
  <c r="L5234" i="7"/>
  <c r="N5175" i="7" l="1"/>
  <c r="O5176" i="7" s="1"/>
  <c r="P5175" i="7"/>
  <c r="M5234" i="7"/>
  <c r="L5235" i="7"/>
  <c r="P5176" i="7" l="1"/>
  <c r="N5176" i="7"/>
  <c r="O5177" i="7" s="1"/>
  <c r="M5235" i="7"/>
  <c r="L5236" i="7"/>
  <c r="P5177" i="7" l="1"/>
  <c r="N5177" i="7"/>
  <c r="O5178" i="7" s="1"/>
  <c r="M5236" i="7"/>
  <c r="L5237" i="7"/>
  <c r="N5178" i="7" l="1"/>
  <c r="O5179" i="7" s="1"/>
  <c r="P5178" i="7"/>
  <c r="M5237" i="7"/>
  <c r="L5238" i="7"/>
  <c r="P5179" i="7" l="1"/>
  <c r="N5179" i="7"/>
  <c r="O5180" i="7" s="1"/>
  <c r="M5238" i="7"/>
  <c r="L5239" i="7"/>
  <c r="N5180" i="7" l="1"/>
  <c r="O5181" i="7" s="1"/>
  <c r="P5180" i="7"/>
  <c r="M5239" i="7"/>
  <c r="L5240" i="7"/>
  <c r="P5181" i="7" l="1"/>
  <c r="N5181" i="7"/>
  <c r="O5182" i="7" s="1"/>
  <c r="M5240" i="7"/>
  <c r="L5241" i="7"/>
  <c r="N5182" i="7" l="1"/>
  <c r="O5183" i="7" s="1"/>
  <c r="P5182" i="7"/>
  <c r="M5241" i="7"/>
  <c r="L5242" i="7"/>
  <c r="P5183" i="7" l="1"/>
  <c r="N5183" i="7"/>
  <c r="O5184" i="7" s="1"/>
  <c r="M5242" i="7"/>
  <c r="L5243" i="7"/>
  <c r="N5184" i="7" l="1"/>
  <c r="O5185" i="7" s="1"/>
  <c r="P5184" i="7"/>
  <c r="M5243" i="7"/>
  <c r="L5244" i="7"/>
  <c r="N5185" i="7" l="1"/>
  <c r="O5186" i="7" s="1"/>
  <c r="P5185" i="7"/>
  <c r="M5244" i="7"/>
  <c r="L5245" i="7"/>
  <c r="P5186" i="7" l="1"/>
  <c r="N5186" i="7"/>
  <c r="O5187" i="7" s="1"/>
  <c r="M5245" i="7"/>
  <c r="L5246" i="7"/>
  <c r="N5187" i="7" l="1"/>
  <c r="O5188" i="7" s="1"/>
  <c r="P5187" i="7"/>
  <c r="M5246" i="7"/>
  <c r="L5247" i="7"/>
  <c r="N5188" i="7" l="1"/>
  <c r="O5189" i="7" s="1"/>
  <c r="P5188" i="7"/>
  <c r="M5247" i="7"/>
  <c r="L5248" i="7"/>
  <c r="P5189" i="7" l="1"/>
  <c r="N5189" i="7"/>
  <c r="O5190" i="7" s="1"/>
  <c r="M5248" i="7"/>
  <c r="L5249" i="7"/>
  <c r="P5190" i="7" l="1"/>
  <c r="N5190" i="7"/>
  <c r="O5191" i="7" s="1"/>
  <c r="M5249" i="7"/>
  <c r="L5250" i="7"/>
  <c r="P5191" i="7" l="1"/>
  <c r="N5191" i="7"/>
  <c r="O5192" i="7" s="1"/>
  <c r="M5250" i="7"/>
  <c r="L5251" i="7"/>
  <c r="P5192" i="7" l="1"/>
  <c r="N5192" i="7"/>
  <c r="O5193" i="7" s="1"/>
  <c r="M5251" i="7"/>
  <c r="L5252" i="7"/>
  <c r="N5193" i="7" l="1"/>
  <c r="O5194" i="7" s="1"/>
  <c r="P5193" i="7"/>
  <c r="M5252" i="7"/>
  <c r="L5253" i="7"/>
  <c r="P5194" i="7" l="1"/>
  <c r="N5194" i="7"/>
  <c r="O5195" i="7" s="1"/>
  <c r="M5253" i="7"/>
  <c r="L5254" i="7"/>
  <c r="N5195" i="7" l="1"/>
  <c r="O5196" i="7" s="1"/>
  <c r="P5195" i="7"/>
  <c r="M5254" i="7"/>
  <c r="L5255" i="7"/>
  <c r="P5196" i="7" l="1"/>
  <c r="N5196" i="7"/>
  <c r="O5197" i="7" s="1"/>
  <c r="M5255" i="7"/>
  <c r="L5256" i="7"/>
  <c r="N5197" i="7" l="1"/>
  <c r="O5198" i="7" s="1"/>
  <c r="P5197" i="7"/>
  <c r="M5256" i="7"/>
  <c r="L5257" i="7"/>
  <c r="P5198" i="7" l="1"/>
  <c r="N5198" i="7"/>
  <c r="O5199" i="7" s="1"/>
  <c r="M5257" i="7"/>
  <c r="L5258" i="7"/>
  <c r="N5199" i="7" l="1"/>
  <c r="O5200" i="7" s="1"/>
  <c r="P5199" i="7"/>
  <c r="M5258" i="7"/>
  <c r="L5259" i="7"/>
  <c r="N5200" i="7" l="1"/>
  <c r="O5201" i="7" s="1"/>
  <c r="P5200" i="7"/>
  <c r="M5259" i="7"/>
  <c r="L5260" i="7"/>
  <c r="N5201" i="7" l="1"/>
  <c r="O5202" i="7" s="1"/>
  <c r="P5201" i="7"/>
  <c r="M5260" i="7"/>
  <c r="L5261" i="7"/>
  <c r="N5202" i="7" l="1"/>
  <c r="O5203" i="7" s="1"/>
  <c r="P5202" i="7"/>
  <c r="M5261" i="7"/>
  <c r="L5262" i="7"/>
  <c r="P5203" i="7" l="1"/>
  <c r="N5203" i="7"/>
  <c r="O5204" i="7" s="1"/>
  <c r="M5262" i="7"/>
  <c r="L5263" i="7"/>
  <c r="P5204" i="7" l="1"/>
  <c r="N5204" i="7"/>
  <c r="O5205" i="7" s="1"/>
  <c r="M5263" i="7"/>
  <c r="L5264" i="7"/>
  <c r="N5205" i="7" l="1"/>
  <c r="O5206" i="7" s="1"/>
  <c r="P5205" i="7"/>
  <c r="M5264" i="7"/>
  <c r="L5265" i="7"/>
  <c r="P5206" i="7" l="1"/>
  <c r="N5206" i="7"/>
  <c r="O5207" i="7" s="1"/>
  <c r="M5265" i="7"/>
  <c r="L5266" i="7"/>
  <c r="N5207" i="7" l="1"/>
  <c r="O5208" i="7" s="1"/>
  <c r="P5207" i="7"/>
  <c r="M5266" i="7"/>
  <c r="L5267" i="7"/>
  <c r="N5208" i="7" l="1"/>
  <c r="O5209" i="7" s="1"/>
  <c r="P5208" i="7"/>
  <c r="M5267" i="7"/>
  <c r="L5268" i="7"/>
  <c r="N5209" i="7" l="1"/>
  <c r="O5210" i="7" s="1"/>
  <c r="P5209" i="7"/>
  <c r="M5268" i="7"/>
  <c r="L5269" i="7"/>
  <c r="N5210" i="7" l="1"/>
  <c r="O5211" i="7" s="1"/>
  <c r="P5210" i="7"/>
  <c r="M5269" i="7"/>
  <c r="L5270" i="7"/>
  <c r="P5211" i="7" l="1"/>
  <c r="N5211" i="7"/>
  <c r="O5212" i="7" s="1"/>
  <c r="M5270" i="7"/>
  <c r="L5271" i="7"/>
  <c r="P5212" i="7" l="1"/>
  <c r="N5212" i="7"/>
  <c r="O5213" i="7" s="1"/>
  <c r="M5271" i="7"/>
  <c r="L5272" i="7"/>
  <c r="P5213" i="7" l="1"/>
  <c r="N5213" i="7"/>
  <c r="O5214" i="7" s="1"/>
  <c r="M5272" i="7"/>
  <c r="L5273" i="7"/>
  <c r="N5214" i="7" l="1"/>
  <c r="O5215" i="7" s="1"/>
  <c r="P5214" i="7"/>
  <c r="M5273" i="7"/>
  <c r="L5274" i="7"/>
  <c r="N5215" i="7" l="1"/>
  <c r="O5216" i="7" s="1"/>
  <c r="P5215" i="7"/>
  <c r="M5274" i="7"/>
  <c r="L5275" i="7"/>
  <c r="P5216" i="7" l="1"/>
  <c r="N5216" i="7"/>
  <c r="O5217" i="7" s="1"/>
  <c r="M5275" i="7"/>
  <c r="L5276" i="7"/>
  <c r="N5217" i="7" l="1"/>
  <c r="O5218" i="7" s="1"/>
  <c r="P5217" i="7"/>
  <c r="M5276" i="7"/>
  <c r="L5277" i="7"/>
  <c r="N5218" i="7" l="1"/>
  <c r="O5219" i="7" s="1"/>
  <c r="P5218" i="7"/>
  <c r="M5277" i="7"/>
  <c r="L5278" i="7"/>
  <c r="P5219" i="7" l="1"/>
  <c r="N5219" i="7"/>
  <c r="O5220" i="7" s="1"/>
  <c r="M5278" i="7"/>
  <c r="L5279" i="7"/>
  <c r="P5220" i="7" l="1"/>
  <c r="N5220" i="7"/>
  <c r="O5221" i="7" s="1"/>
  <c r="M5279" i="7"/>
  <c r="L5280" i="7"/>
  <c r="P5221" i="7" l="1"/>
  <c r="N5221" i="7"/>
  <c r="O5222" i="7" s="1"/>
  <c r="M5280" i="7"/>
  <c r="L5281" i="7"/>
  <c r="P5222" i="7" l="1"/>
  <c r="N5222" i="7"/>
  <c r="O5223" i="7" s="1"/>
  <c r="M5281" i="7"/>
  <c r="L5282" i="7"/>
  <c r="N5223" i="7" l="1"/>
  <c r="O5224" i="7" s="1"/>
  <c r="P5223" i="7"/>
  <c r="M5282" i="7"/>
  <c r="L5283" i="7"/>
  <c r="P5224" i="7" l="1"/>
  <c r="N5224" i="7"/>
  <c r="O5225" i="7" s="1"/>
  <c r="M5283" i="7"/>
  <c r="L5284" i="7"/>
  <c r="N5225" i="7" l="1"/>
  <c r="O5226" i="7" s="1"/>
  <c r="P5225" i="7"/>
  <c r="M5284" i="7"/>
  <c r="L5285" i="7"/>
  <c r="N5226" i="7" l="1"/>
  <c r="O5227" i="7" s="1"/>
  <c r="P5226" i="7"/>
  <c r="M5285" i="7"/>
  <c r="L5286" i="7"/>
  <c r="N5227" i="7" l="1"/>
  <c r="O5228" i="7" s="1"/>
  <c r="P5227" i="7"/>
  <c r="M5286" i="7"/>
  <c r="L5287" i="7"/>
  <c r="P5228" i="7" l="1"/>
  <c r="N5228" i="7"/>
  <c r="O5229" i="7" s="1"/>
  <c r="M5287" i="7"/>
  <c r="L5288" i="7"/>
  <c r="N5229" i="7" l="1"/>
  <c r="O5230" i="7" s="1"/>
  <c r="P5229" i="7"/>
  <c r="M5288" i="7"/>
  <c r="L5289" i="7"/>
  <c r="N5230" i="7" l="1"/>
  <c r="O5231" i="7" s="1"/>
  <c r="P5230" i="7"/>
  <c r="M5289" i="7"/>
  <c r="L5290" i="7"/>
  <c r="N5231" i="7" l="1"/>
  <c r="O5232" i="7" s="1"/>
  <c r="P5231" i="7"/>
  <c r="M5290" i="7"/>
  <c r="L5291" i="7"/>
  <c r="P5232" i="7" l="1"/>
  <c r="N5232" i="7"/>
  <c r="O5233" i="7" s="1"/>
  <c r="M5291" i="7"/>
  <c r="L5292" i="7"/>
  <c r="P5233" i="7" l="1"/>
  <c r="N5233" i="7"/>
  <c r="O5234" i="7" s="1"/>
  <c r="M5292" i="7"/>
  <c r="L5293" i="7"/>
  <c r="N5234" i="7" l="1"/>
  <c r="O5235" i="7" s="1"/>
  <c r="P5234" i="7"/>
  <c r="M5293" i="7"/>
  <c r="L5294" i="7"/>
  <c r="N5235" i="7" l="1"/>
  <c r="O5236" i="7" s="1"/>
  <c r="P5235" i="7"/>
  <c r="M5294" i="7"/>
  <c r="L5295" i="7"/>
  <c r="N5236" i="7" l="1"/>
  <c r="O5237" i="7" s="1"/>
  <c r="P5236" i="7"/>
  <c r="M5295" i="7"/>
  <c r="L5296" i="7"/>
  <c r="N5237" i="7" l="1"/>
  <c r="O5238" i="7" s="1"/>
  <c r="P5237" i="7"/>
  <c r="M5296" i="7"/>
  <c r="L5297" i="7"/>
  <c r="N5238" i="7" l="1"/>
  <c r="O5239" i="7" s="1"/>
  <c r="P5238" i="7"/>
  <c r="M5297" i="7"/>
  <c r="L5298" i="7"/>
  <c r="N5239" i="7" l="1"/>
  <c r="O5240" i="7" s="1"/>
  <c r="P5239" i="7"/>
  <c r="M5298" i="7"/>
  <c r="L5299" i="7"/>
  <c r="N5240" i="7" l="1"/>
  <c r="O5241" i="7" s="1"/>
  <c r="P5240" i="7"/>
  <c r="M5299" i="7"/>
  <c r="L5300" i="7"/>
  <c r="N5241" i="7" l="1"/>
  <c r="O5242" i="7" s="1"/>
  <c r="P5241" i="7"/>
  <c r="M5300" i="7"/>
  <c r="L5301" i="7"/>
  <c r="N5242" i="7" l="1"/>
  <c r="O5243" i="7" s="1"/>
  <c r="P5242" i="7"/>
  <c r="M5301" i="7"/>
  <c r="L5302" i="7"/>
  <c r="P5243" i="7" l="1"/>
  <c r="N5243" i="7"/>
  <c r="O5244" i="7" s="1"/>
  <c r="M5302" i="7"/>
  <c r="L5303" i="7"/>
  <c r="N5244" i="7" l="1"/>
  <c r="O5245" i="7" s="1"/>
  <c r="P5244" i="7"/>
  <c r="M5303" i="7"/>
  <c r="L5304" i="7"/>
  <c r="N5245" i="7" l="1"/>
  <c r="O5246" i="7" s="1"/>
  <c r="P5245" i="7"/>
  <c r="M5304" i="7"/>
  <c r="L5305" i="7"/>
  <c r="N5246" i="7" l="1"/>
  <c r="O5247" i="7" s="1"/>
  <c r="P5246" i="7"/>
  <c r="M5305" i="7"/>
  <c r="L5306" i="7"/>
  <c r="N5247" i="7" l="1"/>
  <c r="O5248" i="7" s="1"/>
  <c r="P5247" i="7"/>
  <c r="M5306" i="7"/>
  <c r="L5307" i="7"/>
  <c r="P5248" i="7" l="1"/>
  <c r="N5248" i="7"/>
  <c r="O5249" i="7" s="1"/>
  <c r="M5307" i="7"/>
  <c r="L5308" i="7"/>
  <c r="P5249" i="7" l="1"/>
  <c r="N5249" i="7"/>
  <c r="O5250" i="7" s="1"/>
  <c r="M5308" i="7"/>
  <c r="L5309" i="7"/>
  <c r="P5250" i="7" l="1"/>
  <c r="N5250" i="7"/>
  <c r="O5251" i="7" s="1"/>
  <c r="M5309" i="7"/>
  <c r="L5310" i="7"/>
  <c r="N5251" i="7" l="1"/>
  <c r="O5252" i="7" s="1"/>
  <c r="P5251" i="7"/>
  <c r="M5310" i="7"/>
  <c r="L5311" i="7"/>
  <c r="N5252" i="7" l="1"/>
  <c r="O5253" i="7" s="1"/>
  <c r="P5252" i="7"/>
  <c r="M5311" i="7"/>
  <c r="L5312" i="7"/>
  <c r="P5253" i="7" l="1"/>
  <c r="N5253" i="7"/>
  <c r="O5254" i="7" s="1"/>
  <c r="M5312" i="7"/>
  <c r="L5313" i="7"/>
  <c r="N5254" i="7" l="1"/>
  <c r="O5255" i="7" s="1"/>
  <c r="P5254" i="7"/>
  <c r="M5313" i="7"/>
  <c r="L5314" i="7"/>
  <c r="P5255" i="7" l="1"/>
  <c r="N5255" i="7"/>
  <c r="O5256" i="7" s="1"/>
  <c r="M5314" i="7"/>
  <c r="L5315" i="7"/>
  <c r="N5256" i="7" l="1"/>
  <c r="O5257" i="7" s="1"/>
  <c r="P5256" i="7"/>
  <c r="M5315" i="7"/>
  <c r="L5316" i="7"/>
  <c r="N5257" i="7" l="1"/>
  <c r="O5258" i="7" s="1"/>
  <c r="P5257" i="7"/>
  <c r="M5316" i="7"/>
  <c r="L5317" i="7"/>
  <c r="N5258" i="7" l="1"/>
  <c r="O5259" i="7" s="1"/>
  <c r="P5258" i="7"/>
  <c r="M5317" i="7"/>
  <c r="L5318" i="7"/>
  <c r="P5259" i="7" l="1"/>
  <c r="N5259" i="7"/>
  <c r="O5260" i="7" s="1"/>
  <c r="M5318" i="7"/>
  <c r="L5319" i="7"/>
  <c r="P5260" i="7" l="1"/>
  <c r="N5260" i="7"/>
  <c r="O5261" i="7" s="1"/>
  <c r="M5319" i="7"/>
  <c r="L5320" i="7"/>
  <c r="N5261" i="7" l="1"/>
  <c r="O5262" i="7" s="1"/>
  <c r="P5261" i="7"/>
  <c r="M5320" i="7"/>
  <c r="L5321" i="7"/>
  <c r="P5262" i="7" l="1"/>
  <c r="N5262" i="7"/>
  <c r="O5263" i="7" s="1"/>
  <c r="M5321" i="7"/>
  <c r="L5322" i="7"/>
  <c r="P5263" i="7" l="1"/>
  <c r="N5263" i="7"/>
  <c r="O5264" i="7" s="1"/>
  <c r="M5322" i="7"/>
  <c r="L5323" i="7"/>
  <c r="N5264" i="7" l="1"/>
  <c r="O5265" i="7" s="1"/>
  <c r="P5264" i="7"/>
  <c r="M5323" i="7"/>
  <c r="L5324" i="7"/>
  <c r="N5265" i="7" l="1"/>
  <c r="O5266" i="7" s="1"/>
  <c r="P5265" i="7"/>
  <c r="M5324" i="7"/>
  <c r="L5325" i="7"/>
  <c r="P5266" i="7" l="1"/>
  <c r="N5266" i="7"/>
  <c r="O5267" i="7" s="1"/>
  <c r="M5325" i="7"/>
  <c r="L5326" i="7"/>
  <c r="N5267" i="7" l="1"/>
  <c r="O5268" i="7" s="1"/>
  <c r="P5267" i="7"/>
  <c r="M5326" i="7"/>
  <c r="L5327" i="7"/>
  <c r="P5268" i="7" l="1"/>
  <c r="N5268" i="7"/>
  <c r="O5269" i="7" s="1"/>
  <c r="M5327" i="7"/>
  <c r="L5328" i="7"/>
  <c r="P5269" i="7" l="1"/>
  <c r="N5269" i="7"/>
  <c r="O5270" i="7" s="1"/>
  <c r="M5328" i="7"/>
  <c r="L5329" i="7"/>
  <c r="N5270" i="7" l="1"/>
  <c r="O5271" i="7" s="1"/>
  <c r="P5270" i="7"/>
  <c r="M5329" i="7"/>
  <c r="L5330" i="7"/>
  <c r="P5271" i="7" l="1"/>
  <c r="N5271" i="7"/>
  <c r="O5272" i="7" s="1"/>
  <c r="M5330" i="7"/>
  <c r="L5331" i="7"/>
  <c r="P5272" i="7" l="1"/>
  <c r="N5272" i="7"/>
  <c r="O5273" i="7" s="1"/>
  <c r="M5331" i="7"/>
  <c r="L5332" i="7"/>
  <c r="N5273" i="7" l="1"/>
  <c r="O5274" i="7" s="1"/>
  <c r="P5273" i="7"/>
  <c r="M5332" i="7"/>
  <c r="L5333" i="7"/>
  <c r="P5274" i="7" l="1"/>
  <c r="N5274" i="7"/>
  <c r="O5275" i="7" s="1"/>
  <c r="M5333" i="7"/>
  <c r="L5334" i="7"/>
  <c r="N5275" i="7" l="1"/>
  <c r="O5276" i="7" s="1"/>
  <c r="P5275" i="7"/>
  <c r="M5334" i="7"/>
  <c r="L5335" i="7"/>
  <c r="P5276" i="7" l="1"/>
  <c r="N5276" i="7"/>
  <c r="O5277" i="7" s="1"/>
  <c r="M5335" i="7"/>
  <c r="L5336" i="7"/>
  <c r="N5277" i="7" l="1"/>
  <c r="O5278" i="7" s="1"/>
  <c r="P5277" i="7"/>
  <c r="M5336" i="7"/>
  <c r="L5337" i="7"/>
  <c r="P5278" i="7" l="1"/>
  <c r="N5278" i="7"/>
  <c r="O5279" i="7" s="1"/>
  <c r="M5337" i="7"/>
  <c r="L5338" i="7"/>
  <c r="N5279" i="7" l="1"/>
  <c r="O5280" i="7" s="1"/>
  <c r="P5279" i="7"/>
  <c r="M5338" i="7"/>
  <c r="L5339" i="7"/>
  <c r="N5280" i="7" l="1"/>
  <c r="O5281" i="7" s="1"/>
  <c r="P5280" i="7"/>
  <c r="M5339" i="7"/>
  <c r="L5340" i="7"/>
  <c r="N5281" i="7" l="1"/>
  <c r="O5282" i="7" s="1"/>
  <c r="P5281" i="7"/>
  <c r="M5340" i="7"/>
  <c r="L5341" i="7"/>
  <c r="N5282" i="7" l="1"/>
  <c r="O5283" i="7" s="1"/>
  <c r="P5282" i="7"/>
  <c r="M5341" i="7"/>
  <c r="L5342" i="7"/>
  <c r="N5283" i="7" l="1"/>
  <c r="O5284" i="7" s="1"/>
  <c r="P5283" i="7"/>
  <c r="M5342" i="7"/>
  <c r="L5343" i="7"/>
  <c r="P5284" i="7" l="1"/>
  <c r="N5284" i="7"/>
  <c r="O5285" i="7" s="1"/>
  <c r="M5343" i="7"/>
  <c r="L5344" i="7"/>
  <c r="P5285" i="7" l="1"/>
  <c r="N5285" i="7"/>
  <c r="O5286" i="7" s="1"/>
  <c r="M5344" i="7"/>
  <c r="L5345" i="7"/>
  <c r="N5286" i="7" l="1"/>
  <c r="O5287" i="7" s="1"/>
  <c r="P5286" i="7"/>
  <c r="M5345" i="7"/>
  <c r="L5346" i="7"/>
  <c r="P5287" i="7" l="1"/>
  <c r="N5287" i="7"/>
  <c r="O5288" i="7" s="1"/>
  <c r="M5346" i="7"/>
  <c r="L5347" i="7"/>
  <c r="P5288" i="7" l="1"/>
  <c r="N5288" i="7"/>
  <c r="O5289" i="7" s="1"/>
  <c r="M5347" i="7"/>
  <c r="L5348" i="7"/>
  <c r="N5289" i="7" l="1"/>
  <c r="O5290" i="7" s="1"/>
  <c r="P5289" i="7"/>
  <c r="M5348" i="7"/>
  <c r="L5349" i="7"/>
  <c r="P5290" i="7" l="1"/>
  <c r="N5290" i="7"/>
  <c r="O5291" i="7" s="1"/>
  <c r="M5349" i="7"/>
  <c r="L5350" i="7"/>
  <c r="P5291" i="7" l="1"/>
  <c r="N5291" i="7"/>
  <c r="O5292" i="7" s="1"/>
  <c r="M5350" i="7"/>
  <c r="L5351" i="7"/>
  <c r="P5292" i="7" l="1"/>
  <c r="N5292" i="7"/>
  <c r="O5293" i="7" s="1"/>
  <c r="M5351" i="7"/>
  <c r="L5352" i="7"/>
  <c r="N5293" i="7" l="1"/>
  <c r="O5294" i="7" s="1"/>
  <c r="P5293" i="7"/>
  <c r="M5352" i="7"/>
  <c r="L5353" i="7"/>
  <c r="N5294" i="7" l="1"/>
  <c r="O5295" i="7" s="1"/>
  <c r="P5294" i="7"/>
  <c r="M5353" i="7"/>
  <c r="L5354" i="7"/>
  <c r="N5295" i="7" l="1"/>
  <c r="O5296" i="7" s="1"/>
  <c r="P5295" i="7"/>
  <c r="M5354" i="7"/>
  <c r="L5355" i="7"/>
  <c r="N5296" i="7" l="1"/>
  <c r="O5297" i="7" s="1"/>
  <c r="P5296" i="7"/>
  <c r="M5355" i="7"/>
  <c r="L5356" i="7"/>
  <c r="N5297" i="7" l="1"/>
  <c r="O5298" i="7" s="1"/>
  <c r="P5297" i="7"/>
  <c r="M5356" i="7"/>
  <c r="L5357" i="7"/>
  <c r="N5298" i="7" l="1"/>
  <c r="O5299" i="7" s="1"/>
  <c r="P5298" i="7"/>
  <c r="M5357" i="7"/>
  <c r="L5358" i="7"/>
  <c r="N5299" i="7" l="1"/>
  <c r="O5300" i="7" s="1"/>
  <c r="P5299" i="7"/>
  <c r="M5358" i="7"/>
  <c r="L5359" i="7"/>
  <c r="N5300" i="7" l="1"/>
  <c r="O5301" i="7" s="1"/>
  <c r="P5300" i="7"/>
  <c r="M5359" i="7"/>
  <c r="L5360" i="7"/>
  <c r="P5301" i="7" l="1"/>
  <c r="N5301" i="7"/>
  <c r="O5302" i="7" s="1"/>
  <c r="M5360" i="7"/>
  <c r="L5361" i="7"/>
  <c r="P5302" i="7" l="1"/>
  <c r="N5302" i="7"/>
  <c r="O5303" i="7" s="1"/>
  <c r="M5361" i="7"/>
  <c r="L5362" i="7"/>
  <c r="N5303" i="7" l="1"/>
  <c r="O5304" i="7" s="1"/>
  <c r="P5303" i="7"/>
  <c r="M5362" i="7"/>
  <c r="L5363" i="7"/>
  <c r="N5304" i="7" l="1"/>
  <c r="O5305" i="7" s="1"/>
  <c r="P5304" i="7"/>
  <c r="M5363" i="7"/>
  <c r="L5364" i="7"/>
  <c r="N5305" i="7" l="1"/>
  <c r="O5306" i="7" s="1"/>
  <c r="P5305" i="7"/>
  <c r="M5364" i="7"/>
  <c r="L5365" i="7"/>
  <c r="N5306" i="7" l="1"/>
  <c r="O5307" i="7" s="1"/>
  <c r="P5306" i="7"/>
  <c r="M5365" i="7"/>
  <c r="L5366" i="7"/>
  <c r="P5307" i="7" l="1"/>
  <c r="N5307" i="7"/>
  <c r="O5308" i="7" s="1"/>
  <c r="M5366" i="7"/>
  <c r="L5367" i="7"/>
  <c r="P5308" i="7" l="1"/>
  <c r="N5308" i="7"/>
  <c r="O5309" i="7" s="1"/>
  <c r="M5367" i="7"/>
  <c r="L5368" i="7"/>
  <c r="P5309" i="7" l="1"/>
  <c r="N5309" i="7"/>
  <c r="O5310" i="7" s="1"/>
  <c r="M5368" i="7"/>
  <c r="L5369" i="7"/>
  <c r="N5310" i="7" l="1"/>
  <c r="O5311" i="7" s="1"/>
  <c r="P5310" i="7"/>
  <c r="M5369" i="7"/>
  <c r="L5370" i="7"/>
  <c r="N5311" i="7" l="1"/>
  <c r="O5312" i="7" s="1"/>
  <c r="P5311" i="7"/>
  <c r="M5370" i="7"/>
  <c r="L5371" i="7"/>
  <c r="P5312" i="7" l="1"/>
  <c r="N5312" i="7"/>
  <c r="O5313" i="7" s="1"/>
  <c r="M5371" i="7"/>
  <c r="L5372" i="7"/>
  <c r="N5313" i="7" l="1"/>
  <c r="O5314" i="7" s="1"/>
  <c r="P5313" i="7"/>
  <c r="M5372" i="7"/>
  <c r="L5373" i="7"/>
  <c r="N5314" i="7" l="1"/>
  <c r="O5315" i="7" s="1"/>
  <c r="P5314" i="7"/>
  <c r="M5373" i="7"/>
  <c r="L5374" i="7"/>
  <c r="P5315" i="7" l="1"/>
  <c r="N5315" i="7"/>
  <c r="O5316" i="7" s="1"/>
  <c r="M5374" i="7"/>
  <c r="L5375" i="7"/>
  <c r="N5316" i="7" l="1"/>
  <c r="O5317" i="7" s="1"/>
  <c r="P5316" i="7"/>
  <c r="M5375" i="7"/>
  <c r="L5376" i="7"/>
  <c r="N5317" i="7" l="1"/>
  <c r="O5318" i="7" s="1"/>
  <c r="P5317" i="7"/>
  <c r="M5376" i="7"/>
  <c r="L5377" i="7"/>
  <c r="P5318" i="7" l="1"/>
  <c r="N5318" i="7"/>
  <c r="O5319" i="7" s="1"/>
  <c r="M5377" i="7"/>
  <c r="L5378" i="7"/>
  <c r="N5319" i="7" l="1"/>
  <c r="O5320" i="7" s="1"/>
  <c r="P5319" i="7"/>
  <c r="M5378" i="7"/>
  <c r="L5379" i="7"/>
  <c r="P5320" i="7" l="1"/>
  <c r="N5320" i="7"/>
  <c r="O5321" i="7" s="1"/>
  <c r="M5379" i="7"/>
  <c r="L5380" i="7"/>
  <c r="N5321" i="7" l="1"/>
  <c r="O5322" i="7" s="1"/>
  <c r="P5321" i="7"/>
  <c r="M5380" i="7"/>
  <c r="L5381" i="7"/>
  <c r="P5322" i="7" l="1"/>
  <c r="N5322" i="7"/>
  <c r="O5323" i="7" s="1"/>
  <c r="M5381" i="7"/>
  <c r="L5382" i="7"/>
  <c r="N5323" i="7" l="1"/>
  <c r="O5324" i="7" s="1"/>
  <c r="P5323" i="7"/>
  <c r="M5382" i="7"/>
  <c r="L5383" i="7"/>
  <c r="P5324" i="7" l="1"/>
  <c r="N5324" i="7"/>
  <c r="O5325" i="7" s="1"/>
  <c r="M5383" i="7"/>
  <c r="L5384" i="7"/>
  <c r="P5325" i="7" l="1"/>
  <c r="N5325" i="7"/>
  <c r="O5326" i="7" s="1"/>
  <c r="M5384" i="7"/>
  <c r="L5385" i="7"/>
  <c r="N5326" i="7" l="1"/>
  <c r="O5327" i="7" s="1"/>
  <c r="P5326" i="7"/>
  <c r="M5385" i="7"/>
  <c r="L5386" i="7"/>
  <c r="N5327" i="7" l="1"/>
  <c r="O5328" i="7" s="1"/>
  <c r="P5327" i="7"/>
  <c r="M5386" i="7"/>
  <c r="L5387" i="7"/>
  <c r="N5328" i="7" l="1"/>
  <c r="O5329" i="7" s="1"/>
  <c r="P5328" i="7"/>
  <c r="M5387" i="7"/>
  <c r="L5388" i="7"/>
  <c r="N5329" i="7" l="1"/>
  <c r="O5330" i="7" s="1"/>
  <c r="P5329" i="7"/>
  <c r="M5388" i="7"/>
  <c r="L5389" i="7"/>
  <c r="P5330" i="7" l="1"/>
  <c r="N5330" i="7"/>
  <c r="O5331" i="7" s="1"/>
  <c r="M5389" i="7"/>
  <c r="L5390" i="7"/>
  <c r="N5331" i="7" l="1"/>
  <c r="O5332" i="7" s="1"/>
  <c r="P5331" i="7"/>
  <c r="M5390" i="7"/>
  <c r="L5391" i="7"/>
  <c r="N5332" i="7" l="1"/>
  <c r="O5333" i="7" s="1"/>
  <c r="P5332" i="7"/>
  <c r="M5391" i="7"/>
  <c r="L5392" i="7"/>
  <c r="P5333" i="7" l="1"/>
  <c r="N5333" i="7"/>
  <c r="O5334" i="7" s="1"/>
  <c r="M5392" i="7"/>
  <c r="L5393" i="7"/>
  <c r="P5334" i="7" l="1"/>
  <c r="N5334" i="7"/>
  <c r="O5335" i="7" s="1"/>
  <c r="M5393" i="7"/>
  <c r="L5394" i="7"/>
  <c r="N5335" i="7" l="1"/>
  <c r="O5336" i="7" s="1"/>
  <c r="P5335" i="7"/>
  <c r="M5394" i="7"/>
  <c r="L5395" i="7"/>
  <c r="N5336" i="7" l="1"/>
  <c r="O5337" i="7" s="1"/>
  <c r="P5336" i="7"/>
  <c r="M5395" i="7"/>
  <c r="L5396" i="7"/>
  <c r="N5337" i="7" l="1"/>
  <c r="O5338" i="7" s="1"/>
  <c r="P5337" i="7"/>
  <c r="M5396" i="7"/>
  <c r="L5397" i="7"/>
  <c r="P5338" i="7" l="1"/>
  <c r="N5338" i="7"/>
  <c r="O5339" i="7" s="1"/>
  <c r="M5397" i="7"/>
  <c r="L5398" i="7"/>
  <c r="P5339" i="7" l="1"/>
  <c r="N5339" i="7"/>
  <c r="O5340" i="7" s="1"/>
  <c r="M5398" i="7"/>
  <c r="L5399" i="7"/>
  <c r="P5340" i="7" l="1"/>
  <c r="N5340" i="7"/>
  <c r="O5341" i="7" s="1"/>
  <c r="M5399" i="7"/>
  <c r="L5400" i="7"/>
  <c r="N5341" i="7" l="1"/>
  <c r="O5342" i="7" s="1"/>
  <c r="P5341" i="7"/>
  <c r="M5400" i="7"/>
  <c r="L5401" i="7"/>
  <c r="N5342" i="7" l="1"/>
  <c r="O5343" i="7" s="1"/>
  <c r="P5342" i="7"/>
  <c r="M5401" i="7"/>
  <c r="L5402" i="7"/>
  <c r="N5343" i="7" l="1"/>
  <c r="O5344" i="7" s="1"/>
  <c r="P5343" i="7"/>
  <c r="M5402" i="7"/>
  <c r="L5403" i="7"/>
  <c r="P5344" i="7" l="1"/>
  <c r="N5344" i="7"/>
  <c r="O5345" i="7" s="1"/>
  <c r="M5403" i="7"/>
  <c r="L5404" i="7"/>
  <c r="P5345" i="7" l="1"/>
  <c r="N5345" i="7"/>
  <c r="O5346" i="7" s="1"/>
  <c r="M5404" i="7"/>
  <c r="L5405" i="7"/>
  <c r="P5346" i="7" l="1"/>
  <c r="N5346" i="7"/>
  <c r="O5347" i="7" s="1"/>
  <c r="M5405" i="7"/>
  <c r="L5406" i="7"/>
  <c r="P5347" i="7" l="1"/>
  <c r="N5347" i="7"/>
  <c r="O5348" i="7" s="1"/>
  <c r="M5406" i="7"/>
  <c r="L5407" i="7"/>
  <c r="N5348" i="7" l="1"/>
  <c r="O5349" i="7" s="1"/>
  <c r="P5348" i="7"/>
  <c r="M5407" i="7"/>
  <c r="L5408" i="7"/>
  <c r="P5349" i="7" l="1"/>
  <c r="N5349" i="7"/>
  <c r="O5350" i="7" s="1"/>
  <c r="M5408" i="7"/>
  <c r="L5409" i="7"/>
  <c r="N5350" i="7" l="1"/>
  <c r="O5351" i="7" s="1"/>
  <c r="P5350" i="7"/>
  <c r="M5409" i="7"/>
  <c r="L5410" i="7"/>
  <c r="P5351" i="7" l="1"/>
  <c r="N5351" i="7"/>
  <c r="O5352" i="7" s="1"/>
  <c r="M5410" i="7"/>
  <c r="L5411" i="7"/>
  <c r="P5352" i="7" l="1"/>
  <c r="N5352" i="7"/>
  <c r="O5353" i="7" s="1"/>
  <c r="M5411" i="7"/>
  <c r="L5412" i="7"/>
  <c r="P5353" i="7" l="1"/>
  <c r="N5353" i="7"/>
  <c r="O5354" i="7" s="1"/>
  <c r="M5412" i="7"/>
  <c r="L5413" i="7"/>
  <c r="P5354" i="7" l="1"/>
  <c r="N5354" i="7"/>
  <c r="O5355" i="7" s="1"/>
  <c r="M5413" i="7"/>
  <c r="L5414" i="7"/>
  <c r="N5355" i="7" l="1"/>
  <c r="O5356" i="7" s="1"/>
  <c r="P5355" i="7"/>
  <c r="M5414" i="7"/>
  <c r="L5415" i="7"/>
  <c r="N5356" i="7" l="1"/>
  <c r="O5357" i="7" s="1"/>
  <c r="P5356" i="7"/>
  <c r="M5415" i="7"/>
  <c r="L5416" i="7"/>
  <c r="N5357" i="7" l="1"/>
  <c r="O5358" i="7" s="1"/>
  <c r="P5357" i="7"/>
  <c r="M5416" i="7"/>
  <c r="L5417" i="7"/>
  <c r="N5358" i="7" l="1"/>
  <c r="O5359" i="7" s="1"/>
  <c r="P5358" i="7"/>
  <c r="M5417" i="7"/>
  <c r="L5418" i="7"/>
  <c r="N5359" i="7" l="1"/>
  <c r="O5360" i="7" s="1"/>
  <c r="P5359" i="7"/>
  <c r="M5418" i="7"/>
  <c r="L5419" i="7"/>
  <c r="P5360" i="7" l="1"/>
  <c r="N5360" i="7"/>
  <c r="O5361" i="7" s="1"/>
  <c r="M5419" i="7"/>
  <c r="L5420" i="7"/>
  <c r="P5361" i="7" l="1"/>
  <c r="N5361" i="7"/>
  <c r="O5362" i="7" s="1"/>
  <c r="M5420" i="7"/>
  <c r="L5421" i="7"/>
  <c r="P5362" i="7" l="1"/>
  <c r="N5362" i="7"/>
  <c r="O5363" i="7" s="1"/>
  <c r="M5421" i="7"/>
  <c r="L5422" i="7"/>
  <c r="N5363" i="7" l="1"/>
  <c r="O5364" i="7" s="1"/>
  <c r="P5363" i="7"/>
  <c r="M5422" i="7"/>
  <c r="L5423" i="7"/>
  <c r="N5364" i="7" l="1"/>
  <c r="O5365" i="7" s="1"/>
  <c r="P5364" i="7"/>
  <c r="M5423" i="7"/>
  <c r="L5424" i="7"/>
  <c r="P5365" i="7" l="1"/>
  <c r="N5365" i="7"/>
  <c r="O5366" i="7" s="1"/>
  <c r="M5424" i="7"/>
  <c r="L5425" i="7"/>
  <c r="N5366" i="7" l="1"/>
  <c r="O5367" i="7" s="1"/>
  <c r="P5366" i="7"/>
  <c r="M5425" i="7"/>
  <c r="L5426" i="7"/>
  <c r="P5367" i="7" l="1"/>
  <c r="N5367" i="7"/>
  <c r="O5368" i="7" s="1"/>
  <c r="M5426" i="7"/>
  <c r="L5427" i="7"/>
  <c r="N5368" i="7" l="1"/>
  <c r="O5369" i="7" s="1"/>
  <c r="P5368" i="7"/>
  <c r="M5427" i="7"/>
  <c r="L5428" i="7"/>
  <c r="P5369" i="7" l="1"/>
  <c r="N5369" i="7"/>
  <c r="O5370" i="7" s="1"/>
  <c r="M5428" i="7"/>
  <c r="L5429" i="7"/>
  <c r="P5370" i="7" l="1"/>
  <c r="N5370" i="7"/>
  <c r="O5371" i="7" s="1"/>
  <c r="M5429" i="7"/>
  <c r="L5430" i="7"/>
  <c r="N5371" i="7" l="1"/>
  <c r="O5372" i="7" s="1"/>
  <c r="P5371" i="7"/>
  <c r="M5430" i="7"/>
  <c r="L5431" i="7"/>
  <c r="N5372" i="7" l="1"/>
  <c r="O5373" i="7" s="1"/>
  <c r="P5372" i="7"/>
  <c r="M5431" i="7"/>
  <c r="L5432" i="7"/>
  <c r="P5373" i="7" l="1"/>
  <c r="N5373" i="7"/>
  <c r="O5374" i="7" s="1"/>
  <c r="M5432" i="7"/>
  <c r="L5433" i="7"/>
  <c r="P5374" i="7" l="1"/>
  <c r="N5374" i="7"/>
  <c r="O5375" i="7" s="1"/>
  <c r="M5433" i="7"/>
  <c r="L5434" i="7"/>
  <c r="P5375" i="7" l="1"/>
  <c r="N5375" i="7"/>
  <c r="O5376" i="7" s="1"/>
  <c r="M5434" i="7"/>
  <c r="L5435" i="7"/>
  <c r="N5376" i="7" l="1"/>
  <c r="O5377" i="7" s="1"/>
  <c r="P5376" i="7"/>
  <c r="M5435" i="7"/>
  <c r="L5436" i="7"/>
  <c r="N5377" i="7" l="1"/>
  <c r="O5378" i="7" s="1"/>
  <c r="P5377" i="7"/>
  <c r="M5436" i="7"/>
  <c r="L5437" i="7"/>
  <c r="N5378" i="7" l="1"/>
  <c r="O5379" i="7" s="1"/>
  <c r="P5378" i="7"/>
  <c r="M5437" i="7"/>
  <c r="L5438" i="7"/>
  <c r="P5379" i="7" l="1"/>
  <c r="N5379" i="7"/>
  <c r="O5380" i="7" s="1"/>
  <c r="M5438" i="7"/>
  <c r="L5439" i="7"/>
  <c r="P5380" i="7" l="1"/>
  <c r="N5380" i="7"/>
  <c r="O5381" i="7" s="1"/>
  <c r="M5439" i="7"/>
  <c r="L5440" i="7"/>
  <c r="N5381" i="7" l="1"/>
  <c r="O5382" i="7" s="1"/>
  <c r="P5381" i="7"/>
  <c r="M5440" i="7"/>
  <c r="L5441" i="7"/>
  <c r="P5382" i="7" l="1"/>
  <c r="N5382" i="7"/>
  <c r="O5383" i="7" s="1"/>
  <c r="M5441" i="7"/>
  <c r="L5442" i="7"/>
  <c r="N5383" i="7" l="1"/>
  <c r="O5384" i="7" s="1"/>
  <c r="P5383" i="7"/>
  <c r="M5442" i="7"/>
  <c r="L5443" i="7"/>
  <c r="P5384" i="7" l="1"/>
  <c r="N5384" i="7"/>
  <c r="O5385" i="7" s="1"/>
  <c r="M5443" i="7"/>
  <c r="L5444" i="7"/>
  <c r="N5385" i="7" l="1"/>
  <c r="O5386" i="7" s="1"/>
  <c r="P5385" i="7"/>
  <c r="M5444" i="7"/>
  <c r="L5445" i="7"/>
  <c r="N5386" i="7" l="1"/>
  <c r="O5387" i="7" s="1"/>
  <c r="P5386" i="7"/>
  <c r="M5445" i="7"/>
  <c r="L5446" i="7"/>
  <c r="P5387" i="7" l="1"/>
  <c r="N5387" i="7"/>
  <c r="O5388" i="7" s="1"/>
  <c r="M5446" i="7"/>
  <c r="L5447" i="7"/>
  <c r="P5388" i="7" l="1"/>
  <c r="N5388" i="7"/>
  <c r="O5389" i="7" s="1"/>
  <c r="M5447" i="7"/>
  <c r="L5448" i="7"/>
  <c r="P5389" i="7" l="1"/>
  <c r="N5389" i="7"/>
  <c r="O5390" i="7" s="1"/>
  <c r="M5448" i="7"/>
  <c r="L5449" i="7"/>
  <c r="P5390" i="7" l="1"/>
  <c r="N5390" i="7"/>
  <c r="O5391" i="7" s="1"/>
  <c r="M5449" i="7"/>
  <c r="L5450" i="7"/>
  <c r="N5391" i="7" l="1"/>
  <c r="O5392" i="7" s="1"/>
  <c r="P5391" i="7"/>
  <c r="M5450" i="7"/>
  <c r="L5451" i="7"/>
  <c r="P5392" i="7" l="1"/>
  <c r="N5392" i="7"/>
  <c r="O5393" i="7" s="1"/>
  <c r="M5451" i="7"/>
  <c r="L5452" i="7"/>
  <c r="P5393" i="7" l="1"/>
  <c r="N5393" i="7"/>
  <c r="O5394" i="7" s="1"/>
  <c r="M5452" i="7"/>
  <c r="L5453" i="7"/>
  <c r="N5394" i="7" l="1"/>
  <c r="O5395" i="7" s="1"/>
  <c r="P5394" i="7"/>
  <c r="M5453" i="7"/>
  <c r="L5454" i="7"/>
  <c r="P5395" i="7" l="1"/>
  <c r="N5395" i="7"/>
  <c r="O5396" i="7" s="1"/>
  <c r="M5454" i="7"/>
  <c r="L5455" i="7"/>
  <c r="N5396" i="7" l="1"/>
  <c r="O5397" i="7" s="1"/>
  <c r="P5396" i="7"/>
  <c r="M5455" i="7"/>
  <c r="L5456" i="7"/>
  <c r="P5397" i="7" l="1"/>
  <c r="N5397" i="7"/>
  <c r="O5398" i="7" s="1"/>
  <c r="M5456" i="7"/>
  <c r="L5457" i="7"/>
  <c r="N5398" i="7" l="1"/>
  <c r="O5399" i="7" s="1"/>
  <c r="P5398" i="7"/>
  <c r="M5457" i="7"/>
  <c r="L5458" i="7"/>
  <c r="N5399" i="7" l="1"/>
  <c r="O5400" i="7" s="1"/>
  <c r="P5399" i="7"/>
  <c r="M5458" i="7"/>
  <c r="L5459" i="7"/>
  <c r="P5400" i="7" l="1"/>
  <c r="N5400" i="7"/>
  <c r="O5401" i="7" s="1"/>
  <c r="M5459" i="7"/>
  <c r="L5460" i="7"/>
  <c r="P5401" i="7" l="1"/>
  <c r="N5401" i="7"/>
  <c r="O5402" i="7" s="1"/>
  <c r="M5460" i="7"/>
  <c r="L5461" i="7"/>
  <c r="P5402" i="7" l="1"/>
  <c r="N5402" i="7"/>
  <c r="O5403" i="7" s="1"/>
  <c r="M5461" i="7"/>
  <c r="L5462" i="7"/>
  <c r="P5403" i="7" l="1"/>
  <c r="N5403" i="7"/>
  <c r="O5404" i="7" s="1"/>
  <c r="M5462" i="7"/>
  <c r="L5463" i="7"/>
  <c r="P5404" i="7" l="1"/>
  <c r="N5404" i="7"/>
  <c r="O5405" i="7" s="1"/>
  <c r="M5463" i="7"/>
  <c r="L5464" i="7"/>
  <c r="N5405" i="7" l="1"/>
  <c r="O5406" i="7" s="1"/>
  <c r="P5405" i="7"/>
  <c r="M5464" i="7"/>
  <c r="L5465" i="7"/>
  <c r="N5406" i="7" l="1"/>
  <c r="O5407" i="7" s="1"/>
  <c r="P5406" i="7"/>
  <c r="M5465" i="7"/>
  <c r="L5466" i="7"/>
  <c r="N5407" i="7" l="1"/>
  <c r="O5408" i="7" s="1"/>
  <c r="P5407" i="7"/>
  <c r="M5466" i="7"/>
  <c r="L5467" i="7"/>
  <c r="P5408" i="7" l="1"/>
  <c r="N5408" i="7"/>
  <c r="O5409" i="7" s="1"/>
  <c r="M5467" i="7"/>
  <c r="L5468" i="7"/>
  <c r="N5409" i="7" l="1"/>
  <c r="O5410" i="7" s="1"/>
  <c r="P5409" i="7"/>
  <c r="M5468" i="7"/>
  <c r="L5469" i="7"/>
  <c r="N5410" i="7" l="1"/>
  <c r="O5411" i="7" s="1"/>
  <c r="P5410" i="7"/>
  <c r="M5469" i="7"/>
  <c r="L5470" i="7"/>
  <c r="N5411" i="7" l="1"/>
  <c r="O5412" i="7" s="1"/>
  <c r="P5411" i="7"/>
  <c r="M5470" i="7"/>
  <c r="L5471" i="7"/>
  <c r="N5412" i="7" l="1"/>
  <c r="O5413" i="7" s="1"/>
  <c r="P5412" i="7"/>
  <c r="M5471" i="7"/>
  <c r="L5472" i="7"/>
  <c r="N5413" i="7" l="1"/>
  <c r="O5414" i="7" s="1"/>
  <c r="P5413" i="7"/>
  <c r="M5472" i="7"/>
  <c r="L5473" i="7"/>
  <c r="N5414" i="7" l="1"/>
  <c r="O5415" i="7" s="1"/>
  <c r="P5414" i="7"/>
  <c r="M5473" i="7"/>
  <c r="L5474" i="7"/>
  <c r="N5415" i="7" l="1"/>
  <c r="O5416" i="7" s="1"/>
  <c r="P5415" i="7"/>
  <c r="M5474" i="7"/>
  <c r="L5475" i="7"/>
  <c r="N5416" i="7" l="1"/>
  <c r="O5417" i="7" s="1"/>
  <c r="P5416" i="7"/>
  <c r="M5475" i="7"/>
  <c r="L5476" i="7"/>
  <c r="N5417" i="7" l="1"/>
  <c r="O5418" i="7" s="1"/>
  <c r="P5417" i="7"/>
  <c r="M5476" i="7"/>
  <c r="L5477" i="7"/>
  <c r="N5418" i="7" l="1"/>
  <c r="O5419" i="7" s="1"/>
  <c r="P5418" i="7"/>
  <c r="M5477" i="7"/>
  <c r="L5478" i="7"/>
  <c r="P5419" i="7" l="1"/>
  <c r="N5419" i="7"/>
  <c r="O5420" i="7" s="1"/>
  <c r="M5478" i="7"/>
  <c r="L5479" i="7"/>
  <c r="N5420" i="7" l="1"/>
  <c r="O5421" i="7" s="1"/>
  <c r="P5420" i="7"/>
  <c r="M5479" i="7"/>
  <c r="L5480" i="7"/>
  <c r="P5421" i="7" l="1"/>
  <c r="N5421" i="7"/>
  <c r="O5422" i="7" s="1"/>
  <c r="M5480" i="7"/>
  <c r="L5481" i="7"/>
  <c r="N5422" i="7" l="1"/>
  <c r="O5423" i="7" s="1"/>
  <c r="P5422" i="7"/>
  <c r="M5481" i="7"/>
  <c r="L5482" i="7"/>
  <c r="P5423" i="7" l="1"/>
  <c r="N5423" i="7"/>
  <c r="O5424" i="7" s="1"/>
  <c r="M5482" i="7"/>
  <c r="L5483" i="7"/>
  <c r="N5424" i="7" l="1"/>
  <c r="O5425" i="7" s="1"/>
  <c r="P5424" i="7"/>
  <c r="M5483" i="7"/>
  <c r="L5484" i="7"/>
  <c r="N5425" i="7" l="1"/>
  <c r="O5426" i="7" s="1"/>
  <c r="P5425" i="7"/>
  <c r="M5484" i="7"/>
  <c r="L5485" i="7"/>
  <c r="P5426" i="7" l="1"/>
  <c r="N5426" i="7"/>
  <c r="O5427" i="7" s="1"/>
  <c r="M5485" i="7"/>
  <c r="L5486" i="7"/>
  <c r="P5427" i="7" l="1"/>
  <c r="N5427" i="7"/>
  <c r="O5428" i="7" s="1"/>
  <c r="M5486" i="7"/>
  <c r="L5487" i="7"/>
  <c r="P5428" i="7" l="1"/>
  <c r="N5428" i="7"/>
  <c r="O5429" i="7" s="1"/>
  <c r="M5487" i="7"/>
  <c r="L5488" i="7"/>
  <c r="N5429" i="7" l="1"/>
  <c r="O5430" i="7" s="1"/>
  <c r="P5429" i="7"/>
  <c r="M5488" i="7"/>
  <c r="L5489" i="7"/>
  <c r="P5430" i="7" l="1"/>
  <c r="N5430" i="7"/>
  <c r="O5431" i="7" s="1"/>
  <c r="M5489" i="7"/>
  <c r="L5490" i="7"/>
  <c r="N5431" i="7" l="1"/>
  <c r="O5432" i="7" s="1"/>
  <c r="P5431" i="7"/>
  <c r="M5490" i="7"/>
  <c r="L5491" i="7"/>
  <c r="N5432" i="7" l="1"/>
  <c r="O5433" i="7" s="1"/>
  <c r="P5432" i="7"/>
  <c r="M5491" i="7"/>
  <c r="L5492" i="7"/>
  <c r="N5433" i="7" l="1"/>
  <c r="O5434" i="7" s="1"/>
  <c r="P5433" i="7"/>
  <c r="M5492" i="7"/>
  <c r="L5493" i="7"/>
  <c r="P5434" i="7" l="1"/>
  <c r="N5434" i="7"/>
  <c r="O5435" i="7" s="1"/>
  <c r="M5493" i="7"/>
  <c r="L5494" i="7"/>
  <c r="P5435" i="7" l="1"/>
  <c r="N5435" i="7"/>
  <c r="O5436" i="7" s="1"/>
  <c r="M5494" i="7"/>
  <c r="L5495" i="7"/>
  <c r="P5436" i="7" l="1"/>
  <c r="N5436" i="7"/>
  <c r="O5437" i="7" s="1"/>
  <c r="M5495" i="7"/>
  <c r="L5496" i="7"/>
  <c r="P5437" i="7" l="1"/>
  <c r="N5437" i="7"/>
  <c r="O5438" i="7" s="1"/>
  <c r="M5496" i="7"/>
  <c r="L5497" i="7"/>
  <c r="J80" i="7" s="1"/>
  <c r="P5438" i="7" l="1"/>
  <c r="N5438" i="7"/>
  <c r="O5439" i="7" s="1"/>
  <c r="M5497" i="7"/>
  <c r="M5498" i="7" s="1"/>
  <c r="J24" i="7"/>
  <c r="J24" i="16" s="1"/>
  <c r="J58" i="11" s="1"/>
  <c r="J57" i="11" s="1"/>
  <c r="J22" i="7"/>
  <c r="H24" i="16" s="1"/>
  <c r="H58" i="11" s="1"/>
  <c r="H57" i="11" s="1"/>
  <c r="J52" i="7"/>
  <c r="AL24" i="16" s="1"/>
  <c r="AL58" i="11" s="1"/>
  <c r="AL57" i="11" s="1"/>
  <c r="J57" i="7"/>
  <c r="AQ24" i="16" s="1"/>
  <c r="AQ58" i="11" s="1"/>
  <c r="AQ57" i="11" s="1"/>
  <c r="J37" i="7"/>
  <c r="W24" i="16" s="1"/>
  <c r="W58" i="11" s="1"/>
  <c r="W57" i="11" s="1"/>
  <c r="J21" i="7"/>
  <c r="G24" i="16" s="1"/>
  <c r="G58" i="11" s="1"/>
  <c r="G57" i="11" s="1"/>
  <c r="J33" i="7"/>
  <c r="S24" i="16" s="1"/>
  <c r="S58" i="11" s="1"/>
  <c r="S57" i="11" s="1"/>
  <c r="J58" i="7"/>
  <c r="AR24" i="16" s="1"/>
  <c r="AR58" i="11" s="1"/>
  <c r="AR57" i="11" s="1"/>
  <c r="J56" i="7"/>
  <c r="AP24" i="16" s="1"/>
  <c r="AP58" i="11" s="1"/>
  <c r="AP57" i="11" s="1"/>
  <c r="J48" i="7"/>
  <c r="AH24" i="16" s="1"/>
  <c r="AH58" i="11" s="1"/>
  <c r="AH57" i="11" s="1"/>
  <c r="J39" i="7"/>
  <c r="Y24" i="16" s="1"/>
  <c r="Y58" i="11" s="1"/>
  <c r="Y57" i="11" s="1"/>
  <c r="J35" i="7"/>
  <c r="U24" i="16" s="1"/>
  <c r="U58" i="11" s="1"/>
  <c r="U57" i="11" s="1"/>
  <c r="J55" i="7"/>
  <c r="AO24" i="16" s="1"/>
  <c r="J50" i="7"/>
  <c r="AJ24" i="16" s="1"/>
  <c r="AJ58" i="11" s="1"/>
  <c r="AJ57" i="11" s="1"/>
  <c r="J28" i="7"/>
  <c r="N24" i="16" s="1"/>
  <c r="N58" i="11" s="1"/>
  <c r="N57" i="11" s="1"/>
  <c r="J54" i="7"/>
  <c r="AN24" i="16" s="1"/>
  <c r="AN58" i="11" s="1"/>
  <c r="AN57" i="11" s="1"/>
  <c r="J43" i="7"/>
  <c r="AC24" i="16" s="1"/>
  <c r="AC58" i="11" s="1"/>
  <c r="AC57" i="11" s="1"/>
  <c r="J29" i="7"/>
  <c r="O24" i="16" s="1"/>
  <c r="O58" i="11" s="1"/>
  <c r="O57" i="11" s="1"/>
  <c r="J30" i="7"/>
  <c r="P24" i="16" s="1"/>
  <c r="P58" i="11" s="1"/>
  <c r="P57" i="11" s="1"/>
  <c r="J31" i="7"/>
  <c r="Q24" i="16" s="1"/>
  <c r="Q58" i="11" s="1"/>
  <c r="Q57" i="11" s="1"/>
  <c r="J27" i="7"/>
  <c r="M24" i="16" s="1"/>
  <c r="M58" i="11" s="1"/>
  <c r="M57" i="11" s="1"/>
  <c r="J38" i="7"/>
  <c r="X24" i="16" s="1"/>
  <c r="X58" i="11" s="1"/>
  <c r="X57" i="11" s="1"/>
  <c r="J59" i="7"/>
  <c r="AS24" i="16" s="1"/>
  <c r="AS58" i="11" s="1"/>
  <c r="AS57" i="11" s="1"/>
  <c r="J40" i="7"/>
  <c r="Z24" i="16" s="1"/>
  <c r="Z58" i="11" s="1"/>
  <c r="Z57" i="11" s="1"/>
  <c r="J26" i="7"/>
  <c r="L24" i="16" s="1"/>
  <c r="L58" i="11" s="1"/>
  <c r="L57" i="11" s="1"/>
  <c r="J34" i="7"/>
  <c r="T24" i="16" s="1"/>
  <c r="T58" i="11" s="1"/>
  <c r="T57" i="11" s="1"/>
  <c r="J32" i="7"/>
  <c r="R24" i="16" s="1"/>
  <c r="R58" i="11" s="1"/>
  <c r="R57" i="11" s="1"/>
  <c r="J46" i="7"/>
  <c r="AF24" i="16" s="1"/>
  <c r="AF58" i="11" s="1"/>
  <c r="AF57" i="11" s="1"/>
  <c r="J53" i="7"/>
  <c r="AM24" i="16" s="1"/>
  <c r="AM58" i="11" s="1"/>
  <c r="AM57" i="11" s="1"/>
  <c r="J44" i="7"/>
  <c r="AD24" i="16" s="1"/>
  <c r="AD58" i="11" s="1"/>
  <c r="AD57" i="11" s="1"/>
  <c r="J49" i="7"/>
  <c r="AI24" i="16" s="1"/>
  <c r="AI58" i="11" s="1"/>
  <c r="AI57" i="11" s="1"/>
  <c r="J45" i="7"/>
  <c r="AE24" i="16" s="1"/>
  <c r="AE58" i="11" s="1"/>
  <c r="AE57" i="11" s="1"/>
  <c r="J25" i="7"/>
  <c r="K24" i="16" s="1"/>
  <c r="K58" i="11" s="1"/>
  <c r="K57" i="11" s="1"/>
  <c r="J61" i="7"/>
  <c r="AU24" i="16" s="1"/>
  <c r="AU58" i="11" s="1"/>
  <c r="AU57" i="11" s="1"/>
  <c r="J42" i="7"/>
  <c r="AB24" i="16" s="1"/>
  <c r="AB58" i="11" s="1"/>
  <c r="AB57" i="11" s="1"/>
  <c r="J19" i="7"/>
  <c r="J23" i="7"/>
  <c r="I24" i="16" s="1"/>
  <c r="J20" i="7"/>
  <c r="F24" i="16" s="1"/>
  <c r="F58" i="11" s="1"/>
  <c r="F57" i="11" s="1"/>
  <c r="J41" i="7"/>
  <c r="AA24" i="16" s="1"/>
  <c r="AA58" i="11" s="1"/>
  <c r="AA57" i="11" s="1"/>
  <c r="J51" i="7"/>
  <c r="AK24" i="16" s="1"/>
  <c r="J36" i="7"/>
  <c r="V24" i="16" s="1"/>
  <c r="V58" i="11" s="1"/>
  <c r="V57" i="11" s="1"/>
  <c r="J47" i="7"/>
  <c r="AG24" i="16" s="1"/>
  <c r="L86" i="22" l="1"/>
  <c r="L91" i="22" s="1"/>
  <c r="AG58" i="11"/>
  <c r="AG57" i="11" s="1"/>
  <c r="M86" i="22"/>
  <c r="M91" i="22" s="1"/>
  <c r="AK58" i="11"/>
  <c r="AK57" i="11" s="1"/>
  <c r="N86" i="22"/>
  <c r="N91" i="22" s="1"/>
  <c r="AO58" i="11"/>
  <c r="AO57" i="11" s="1"/>
  <c r="F86" i="22"/>
  <c r="F91" i="22" s="1"/>
  <c r="I58" i="11"/>
  <c r="I57" i="11" s="1"/>
  <c r="G86" i="22"/>
  <c r="G91" i="22" s="1"/>
  <c r="H86" i="22"/>
  <c r="H91" i="22" s="1"/>
  <c r="K86" i="22"/>
  <c r="K91" i="22" s="1"/>
  <c r="I86" i="22"/>
  <c r="I91" i="22" s="1"/>
  <c r="J86" i="22"/>
  <c r="J91" i="22" s="1"/>
  <c r="K105" i="11"/>
  <c r="M105" i="11"/>
  <c r="AP105" i="11"/>
  <c r="AA105" i="11"/>
  <c r="AE105" i="11"/>
  <c r="Q105" i="11"/>
  <c r="AR105" i="11"/>
  <c r="AG105" i="11"/>
  <c r="AI105" i="11"/>
  <c r="P105" i="11"/>
  <c r="S105" i="11"/>
  <c r="AD105" i="11"/>
  <c r="O105" i="11"/>
  <c r="G105" i="11"/>
  <c r="V105" i="11"/>
  <c r="AM105" i="11"/>
  <c r="AC105" i="11"/>
  <c r="W105" i="11"/>
  <c r="AK105" i="11"/>
  <c r="AF105" i="11"/>
  <c r="AN105" i="11"/>
  <c r="AQ105" i="11"/>
  <c r="R105" i="11"/>
  <c r="N105" i="11"/>
  <c r="AL105" i="11"/>
  <c r="T105" i="11"/>
  <c r="AJ105" i="11"/>
  <c r="H105" i="11"/>
  <c r="L105" i="11"/>
  <c r="AO105" i="11"/>
  <c r="J105" i="11"/>
  <c r="Z105" i="11"/>
  <c r="U105" i="11"/>
  <c r="I105" i="11"/>
  <c r="AB105" i="11"/>
  <c r="AS105" i="11"/>
  <c r="Y105" i="11"/>
  <c r="F105" i="11"/>
  <c r="AU105" i="11"/>
  <c r="X105" i="11"/>
  <c r="AH105" i="11"/>
  <c r="E24" i="16"/>
  <c r="N5439" i="7"/>
  <c r="O5440" i="7" s="1"/>
  <c r="P5439" i="7"/>
  <c r="F23" i="16"/>
  <c r="AD23" i="16"/>
  <c r="AD91" i="22"/>
  <c r="AS23" i="16"/>
  <c r="AS91" i="22"/>
  <c r="N23" i="16"/>
  <c r="S23" i="16"/>
  <c r="I23" i="16"/>
  <c r="AM91" i="22"/>
  <c r="AM23" i="16"/>
  <c r="X23" i="16"/>
  <c r="X91" i="22"/>
  <c r="AJ23" i="16"/>
  <c r="AJ91" i="22"/>
  <c r="G23" i="16"/>
  <c r="M23" i="16"/>
  <c r="AO91" i="22"/>
  <c r="AO23" i="16"/>
  <c r="W23" i="16"/>
  <c r="W91" i="22"/>
  <c r="V23" i="16"/>
  <c r="V91" i="22"/>
  <c r="AB91" i="22"/>
  <c r="AB23" i="16"/>
  <c r="AF23" i="16"/>
  <c r="AF91" i="22"/>
  <c r="Q23" i="16"/>
  <c r="U91" i="22"/>
  <c r="U23" i="16"/>
  <c r="AQ91" i="22"/>
  <c r="AQ23" i="16"/>
  <c r="AG91" i="22"/>
  <c r="AG23" i="16"/>
  <c r="AU91" i="22"/>
  <c r="AU23" i="16"/>
  <c r="R23" i="16"/>
  <c r="P23" i="16"/>
  <c r="Y23" i="16"/>
  <c r="Y91" i="22"/>
  <c r="AL23" i="16"/>
  <c r="AL91" i="22"/>
  <c r="K23" i="16"/>
  <c r="T23" i="16"/>
  <c r="O23" i="16"/>
  <c r="AH23" i="16"/>
  <c r="AH91" i="22"/>
  <c r="H23" i="16"/>
  <c r="AE91" i="22"/>
  <c r="AE23" i="16"/>
  <c r="L23" i="16"/>
  <c r="AC91" i="22"/>
  <c r="AC23" i="16"/>
  <c r="AP23" i="16"/>
  <c r="AP91" i="22"/>
  <c r="J23" i="16"/>
  <c r="AK91" i="22"/>
  <c r="AK23" i="16"/>
  <c r="AA91" i="22"/>
  <c r="AA23" i="16"/>
  <c r="AI23" i="16"/>
  <c r="AI91" i="22"/>
  <c r="Z23" i="16"/>
  <c r="Z91" i="22"/>
  <c r="AN91" i="22"/>
  <c r="AN23" i="16"/>
  <c r="AR91" i="22"/>
  <c r="AR23" i="16"/>
  <c r="E86" i="22" l="1"/>
  <c r="E91" i="22" s="1"/>
  <c r="E58" i="11"/>
  <c r="E105" i="11"/>
  <c r="E23" i="16"/>
  <c r="E25" i="16" s="1"/>
  <c r="F22" i="16" s="1"/>
  <c r="F25" i="16" s="1"/>
  <c r="G22" i="16" s="1"/>
  <c r="G25" i="16" s="1"/>
  <c r="H22" i="16" s="1"/>
  <c r="H25" i="16" s="1"/>
  <c r="I22" i="16" s="1"/>
  <c r="I25" i="16" s="1"/>
  <c r="J22" i="16" s="1"/>
  <c r="J25" i="16" s="1"/>
  <c r="K22" i="16" s="1"/>
  <c r="K25" i="16" s="1"/>
  <c r="L22" i="16" s="1"/>
  <c r="L25" i="16" s="1"/>
  <c r="M22" i="16" s="1"/>
  <c r="M25" i="16" s="1"/>
  <c r="N22" i="16" s="1"/>
  <c r="N25" i="16" s="1"/>
  <c r="O22" i="16" s="1"/>
  <c r="O25" i="16" s="1"/>
  <c r="P22" i="16" s="1"/>
  <c r="P25" i="16" s="1"/>
  <c r="Q22" i="16" s="1"/>
  <c r="Q25" i="16" s="1"/>
  <c r="R22" i="16" s="1"/>
  <c r="R25" i="16" s="1"/>
  <c r="S22" i="16" s="1"/>
  <c r="S25" i="16" s="1"/>
  <c r="T22" i="16" s="1"/>
  <c r="T25" i="16" s="1"/>
  <c r="U22" i="16" s="1"/>
  <c r="U25" i="16" s="1"/>
  <c r="V22" i="16" s="1"/>
  <c r="V25" i="16" s="1"/>
  <c r="W22" i="16" s="1"/>
  <c r="W25" i="16" s="1"/>
  <c r="X22" i="16" s="1"/>
  <c r="X25" i="16" s="1"/>
  <c r="Y22" i="16" s="1"/>
  <c r="Y25" i="16" s="1"/>
  <c r="Z22" i="16" s="1"/>
  <c r="Z25" i="16" s="1"/>
  <c r="AA22" i="16" s="1"/>
  <c r="AA25" i="16" s="1"/>
  <c r="AB22" i="16" s="1"/>
  <c r="AB25" i="16" s="1"/>
  <c r="AC22" i="16" s="1"/>
  <c r="AC25" i="16" s="1"/>
  <c r="AD22" i="16" s="1"/>
  <c r="AD25" i="16" s="1"/>
  <c r="AE22" i="16" s="1"/>
  <c r="AE25" i="16" s="1"/>
  <c r="AF22" i="16" s="1"/>
  <c r="AF25" i="16" s="1"/>
  <c r="AG22" i="16" s="1"/>
  <c r="AG25" i="16" s="1"/>
  <c r="AH22" i="16" s="1"/>
  <c r="AH25" i="16" s="1"/>
  <c r="AI22" i="16" s="1"/>
  <c r="AI25" i="16" s="1"/>
  <c r="AJ22" i="16" s="1"/>
  <c r="AJ25" i="16" s="1"/>
  <c r="AK22" i="16" s="1"/>
  <c r="AK25" i="16" s="1"/>
  <c r="AL22" i="16" s="1"/>
  <c r="AL25" i="16" s="1"/>
  <c r="AM22" i="16" s="1"/>
  <c r="AM25" i="16" s="1"/>
  <c r="AN22" i="16" s="1"/>
  <c r="AN25" i="16" s="1"/>
  <c r="AO22" i="16" s="1"/>
  <c r="AO25" i="16" s="1"/>
  <c r="AP22" i="16" s="1"/>
  <c r="AP25" i="16" s="1"/>
  <c r="AQ22" i="16" s="1"/>
  <c r="AQ25" i="16" s="1"/>
  <c r="AR22" i="16" s="1"/>
  <c r="AR25" i="16" s="1"/>
  <c r="AS22" i="16" s="1"/>
  <c r="AS25" i="16" s="1"/>
  <c r="AT22" i="16" s="1"/>
  <c r="N5440" i="7"/>
  <c r="O5441" i="7" s="1"/>
  <c r="P5440" i="7"/>
  <c r="E57" i="11" l="1"/>
  <c r="P5441" i="7"/>
  <c r="N5441" i="7"/>
  <c r="O5442" i="7" s="1"/>
  <c r="E77" i="11"/>
  <c r="E81" i="11" s="1"/>
  <c r="E114" i="11" l="1"/>
  <c r="E115" i="11" s="1"/>
  <c r="E140" i="11" s="1"/>
  <c r="P5442" i="7"/>
  <c r="N5442" i="7"/>
  <c r="O5443" i="7" s="1"/>
  <c r="F113" i="11" l="1"/>
  <c r="E142" i="11"/>
  <c r="P5443" i="7"/>
  <c r="N5443" i="7"/>
  <c r="O5444" i="7" s="1"/>
  <c r="E144" i="11" l="1"/>
  <c r="E172" i="11" s="1"/>
  <c r="P5444" i="7"/>
  <c r="N5444" i="7"/>
  <c r="O5445" i="7" s="1"/>
  <c r="P5445" i="7" l="1"/>
  <c r="N5445" i="7"/>
  <c r="O5446" i="7" s="1"/>
  <c r="E71" i="22"/>
  <c r="F88" i="31" s="1"/>
  <c r="V71" i="22" l="1"/>
  <c r="AK71" i="22"/>
  <c r="AC71" i="22"/>
  <c r="AO71" i="22"/>
  <c r="M71" i="22"/>
  <c r="AI71" i="22"/>
  <c r="AJ71" i="22"/>
  <c r="O71" i="22"/>
  <c r="U71" i="22"/>
  <c r="J71" i="22"/>
  <c r="K88" i="31" s="1"/>
  <c r="N71" i="22"/>
  <c r="AE71" i="22"/>
  <c r="R71" i="22"/>
  <c r="AS71" i="22"/>
  <c r="AN71" i="22"/>
  <c r="Z71" i="22"/>
  <c r="K71" i="22"/>
  <c r="X71" i="22"/>
  <c r="AB71" i="22"/>
  <c r="AP71" i="22"/>
  <c r="L71" i="22"/>
  <c r="AM71" i="22"/>
  <c r="P71" i="22"/>
  <c r="Q71" i="22"/>
  <c r="W71" i="22"/>
  <c r="AR71" i="22"/>
  <c r="AQ71" i="22"/>
  <c r="AG71" i="22"/>
  <c r="AD71" i="22"/>
  <c r="T71" i="22"/>
  <c r="Y71" i="22"/>
  <c r="AA71" i="22"/>
  <c r="AF71" i="22"/>
  <c r="S71" i="22"/>
  <c r="AH71" i="22"/>
  <c r="AL71" i="22"/>
  <c r="N5446" i="7"/>
  <c r="O5447" i="7" s="1"/>
  <c r="P5446" i="7"/>
  <c r="L70" i="34" l="1"/>
  <c r="J70" i="34"/>
  <c r="H70" i="34"/>
  <c r="G70" i="34"/>
  <c r="F70" i="34"/>
  <c r="I70" i="34"/>
  <c r="K70" i="34"/>
  <c r="E70" i="34"/>
  <c r="F30" i="34"/>
  <c r="F31" i="34" s="1"/>
  <c r="J30" i="34"/>
  <c r="J31" i="34" s="1"/>
  <c r="I30" i="34"/>
  <c r="I31" i="34" s="1"/>
  <c r="G30" i="34"/>
  <c r="G31" i="34" s="1"/>
  <c r="L30" i="34"/>
  <c r="L31" i="34" s="1"/>
  <c r="K30" i="34"/>
  <c r="K31" i="34" s="1"/>
  <c r="H30" i="34"/>
  <c r="H31" i="34" s="1"/>
  <c r="E30" i="34"/>
  <c r="E31" i="34" s="1"/>
  <c r="N5447" i="7"/>
  <c r="O5448" i="7" s="1"/>
  <c r="P5447" i="7"/>
  <c r="C70" i="34" l="1"/>
  <c r="K86" i="31"/>
  <c r="I71" i="22"/>
  <c r="J88" i="31" s="1"/>
  <c r="F71" i="22"/>
  <c r="G88" i="31" s="1"/>
  <c r="H71" i="22"/>
  <c r="I88" i="31" s="1"/>
  <c r="G71" i="22"/>
  <c r="H88" i="31" s="1"/>
  <c r="H11" i="34"/>
  <c r="G11" i="34"/>
  <c r="F11" i="34"/>
  <c r="G68" i="34"/>
  <c r="E68" i="34"/>
  <c r="J11" i="34"/>
  <c r="L11" i="34"/>
  <c r="H68" i="34"/>
  <c r="E11" i="34"/>
  <c r="L68" i="34"/>
  <c r="I11" i="34"/>
  <c r="K68" i="34"/>
  <c r="I68" i="34"/>
  <c r="J68" i="34"/>
  <c r="K11" i="34"/>
  <c r="F68" i="34"/>
  <c r="N5448" i="7"/>
  <c r="O5449" i="7" s="1"/>
  <c r="P5448" i="7"/>
  <c r="H16" i="34" l="1"/>
  <c r="L16" i="34"/>
  <c r="E16" i="34"/>
  <c r="K16" i="34"/>
  <c r="J16" i="34"/>
  <c r="G16" i="34"/>
  <c r="I16" i="34"/>
  <c r="F16" i="34"/>
  <c r="C30" i="34"/>
  <c r="C31" i="34" s="1"/>
  <c r="D70" i="34"/>
  <c r="J12" i="34"/>
  <c r="I12" i="34"/>
  <c r="F12" i="34"/>
  <c r="G12" i="34"/>
  <c r="E12" i="34"/>
  <c r="H12" i="34"/>
  <c r="K12" i="34"/>
  <c r="L12" i="34"/>
  <c r="N5449" i="7"/>
  <c r="O5450" i="7" s="1"/>
  <c r="P5449" i="7"/>
  <c r="C11" i="34" l="1"/>
  <c r="C68" i="34"/>
  <c r="C9" i="34"/>
  <c r="D30" i="34"/>
  <c r="D31" i="34" s="1"/>
  <c r="P5450" i="7"/>
  <c r="N5450" i="7"/>
  <c r="O5451" i="7" s="1"/>
  <c r="C16" i="34" l="1"/>
  <c r="C10" i="34"/>
  <c r="C72" i="34"/>
  <c r="C12" i="34"/>
  <c r="D11" i="34"/>
  <c r="D68" i="34"/>
  <c r="J86" i="31"/>
  <c r="P5451" i="7"/>
  <c r="N5451" i="7"/>
  <c r="O5452" i="7" s="1"/>
  <c r="D16" i="34" l="1"/>
  <c r="C32" i="34"/>
  <c r="C33" i="34" s="1"/>
  <c r="D12" i="34"/>
  <c r="P5452" i="7"/>
  <c r="N5452" i="7"/>
  <c r="O5453" i="7" s="1"/>
  <c r="P5453" i="7" l="1"/>
  <c r="N5453" i="7"/>
  <c r="O5454" i="7" s="1"/>
  <c r="D9" i="34" l="1"/>
  <c r="D10" i="34" s="1"/>
  <c r="C98" i="34"/>
  <c r="N5454" i="7"/>
  <c r="O5455" i="7" s="1"/>
  <c r="P5454" i="7"/>
  <c r="D32" i="34" l="1"/>
  <c r="D33" i="34" s="1"/>
  <c r="D72" i="34"/>
  <c r="C100" i="34"/>
  <c r="N5455" i="7"/>
  <c r="O5456" i="7" s="1"/>
  <c r="P5455" i="7"/>
  <c r="P5456" i="7" l="1"/>
  <c r="N5456" i="7"/>
  <c r="O5457" i="7" s="1"/>
  <c r="P5457" i="7" l="1"/>
  <c r="N5457" i="7"/>
  <c r="O5458" i="7" s="1"/>
  <c r="P5458" i="7" l="1"/>
  <c r="N5458" i="7"/>
  <c r="O5459" i="7" s="1"/>
  <c r="E9" i="34" l="1"/>
  <c r="E10" i="34" s="1"/>
  <c r="D100" i="34"/>
  <c r="D98" i="34"/>
  <c r="P5459" i="7"/>
  <c r="N5459" i="7"/>
  <c r="O5460" i="7" s="1"/>
  <c r="E72" i="34" l="1"/>
  <c r="N5460" i="7"/>
  <c r="O5461" i="7" s="1"/>
  <c r="P5460" i="7"/>
  <c r="E32" i="34" l="1"/>
  <c r="E33" i="34" s="1"/>
  <c r="N5461" i="7"/>
  <c r="O5462" i="7" s="1"/>
  <c r="P5461" i="7"/>
  <c r="N5462" i="7" l="1"/>
  <c r="O5463" i="7" s="1"/>
  <c r="P5462" i="7"/>
  <c r="P5463" i="7" l="1"/>
  <c r="N5463" i="7"/>
  <c r="O5464" i="7" s="1"/>
  <c r="F9" i="34" l="1"/>
  <c r="F10" i="34" s="1"/>
  <c r="E98" i="34"/>
  <c r="F72" i="34"/>
  <c r="P5464" i="7"/>
  <c r="N5464" i="7"/>
  <c r="O5465" i="7" s="1"/>
  <c r="F32" i="34" l="1"/>
  <c r="F33" i="34" s="1"/>
  <c r="E100" i="34"/>
  <c r="N5465" i="7"/>
  <c r="O5466" i="7" s="1"/>
  <c r="P5465" i="7"/>
  <c r="N5466" i="7" l="1"/>
  <c r="O5467" i="7" s="1"/>
  <c r="P5466" i="7"/>
  <c r="P5467" i="7" l="1"/>
  <c r="N5467" i="7"/>
  <c r="O5468" i="7" s="1"/>
  <c r="G9" i="34" l="1"/>
  <c r="G10" i="34" s="1"/>
  <c r="P5468" i="7"/>
  <c r="N5468" i="7"/>
  <c r="O5469" i="7" s="1"/>
  <c r="F100" i="34" l="1"/>
  <c r="F98" i="34"/>
  <c r="G72" i="34"/>
  <c r="N5469" i="7"/>
  <c r="O5470" i="7" s="1"/>
  <c r="P5469" i="7"/>
  <c r="G32" i="34" l="1"/>
  <c r="G33" i="34" s="1"/>
  <c r="P5470" i="7"/>
  <c r="N5470" i="7"/>
  <c r="O5471" i="7" s="1"/>
  <c r="N5471" i="7" l="1"/>
  <c r="O5472" i="7" s="1"/>
  <c r="P5471" i="7"/>
  <c r="N5472" i="7" l="1"/>
  <c r="O5473" i="7" s="1"/>
  <c r="P5472" i="7"/>
  <c r="P5473" i="7" l="1"/>
  <c r="N5473" i="7"/>
  <c r="O5474" i="7" s="1"/>
  <c r="H9" i="34" l="1"/>
  <c r="H10" i="34" s="1"/>
  <c r="C251" i="34"/>
  <c r="C242" i="34"/>
  <c r="C238" i="34"/>
  <c r="D235" i="34"/>
  <c r="G100" i="34"/>
  <c r="G98" i="34"/>
  <c r="H72" i="34"/>
  <c r="N5474" i="7"/>
  <c r="O5475" i="7" s="1"/>
  <c r="P5474" i="7"/>
  <c r="H32" i="34" l="1"/>
  <c r="H33" i="34" s="1"/>
  <c r="N5475" i="7"/>
  <c r="O5476" i="7" s="1"/>
  <c r="P5475" i="7"/>
  <c r="P5476" i="7" l="1"/>
  <c r="N5476" i="7"/>
  <c r="O5477" i="7" s="1"/>
  <c r="P5477" i="7" l="1"/>
  <c r="N5477" i="7"/>
  <c r="O5478" i="7" s="1"/>
  <c r="P5478" i="7" l="1"/>
  <c r="N5478" i="7"/>
  <c r="O5479" i="7" s="1"/>
  <c r="H100" i="34" l="1"/>
  <c r="H98" i="34"/>
  <c r="P5479" i="7"/>
  <c r="N5479" i="7"/>
  <c r="O5480" i="7" s="1"/>
  <c r="I9" i="34" l="1"/>
  <c r="I10" i="34" s="1"/>
  <c r="P5480" i="7"/>
  <c r="N5480" i="7"/>
  <c r="O5481" i="7" s="1"/>
  <c r="I72" i="34" l="1"/>
  <c r="I32" i="34"/>
  <c r="I33" i="34" s="1"/>
  <c r="P5481" i="7"/>
  <c r="N5481" i="7"/>
  <c r="O5482" i="7" s="1"/>
  <c r="P5482" i="7" l="1"/>
  <c r="N5482" i="7"/>
  <c r="O5483" i="7" s="1"/>
  <c r="J73" i="7"/>
  <c r="BG24" i="16" s="1"/>
  <c r="BG58" i="11" s="1"/>
  <c r="BG57" i="11" s="1"/>
  <c r="J74" i="7"/>
  <c r="BH24" i="16" s="1"/>
  <c r="BH58" i="11" s="1"/>
  <c r="BH57" i="11" s="1"/>
  <c r="J75" i="7"/>
  <c r="BI24" i="16" s="1"/>
  <c r="J76" i="7"/>
  <c r="BJ24" i="16" s="1"/>
  <c r="BJ58" i="11" s="1"/>
  <c r="BJ57" i="11" s="1"/>
  <c r="J77" i="7"/>
  <c r="BK24" i="16" s="1"/>
  <c r="BK58" i="11" s="1"/>
  <c r="BK57" i="11" s="1"/>
  <c r="J78" i="7"/>
  <c r="BL24" i="16" s="1"/>
  <c r="BL58" i="11" s="1"/>
  <c r="BL57" i="11" s="1"/>
  <c r="J60" i="7"/>
  <c r="J62" i="7"/>
  <c r="AV24" i="16" s="1"/>
  <c r="AV58" i="11" s="1"/>
  <c r="AV57" i="11" s="1"/>
  <c r="J63" i="7"/>
  <c r="AW24" i="16" s="1"/>
  <c r="J64" i="7"/>
  <c r="AX24" i="16" s="1"/>
  <c r="AX58" i="11" s="1"/>
  <c r="AX57" i="11" s="1"/>
  <c r="J65" i="7"/>
  <c r="AY24" i="16" s="1"/>
  <c r="AY58" i="11" s="1"/>
  <c r="AY57" i="11" s="1"/>
  <c r="J66" i="7"/>
  <c r="AZ24" i="16" s="1"/>
  <c r="AZ58" i="11" s="1"/>
  <c r="AZ57" i="11" s="1"/>
  <c r="J67" i="7"/>
  <c r="BA24" i="16" s="1"/>
  <c r="BA58" i="11" s="1"/>
  <c r="BA57" i="11" s="1"/>
  <c r="J68" i="7"/>
  <c r="BB24" i="16" s="1"/>
  <c r="BB58" i="11" s="1"/>
  <c r="BB57" i="11" s="1"/>
  <c r="J69" i="7"/>
  <c r="BC24" i="16" s="1"/>
  <c r="BC58" i="11" s="1"/>
  <c r="BC57" i="11" s="1"/>
  <c r="J70" i="7"/>
  <c r="BD24" i="16" s="1"/>
  <c r="BD58" i="11" s="1"/>
  <c r="BD57" i="11" s="1"/>
  <c r="J71" i="7"/>
  <c r="BE24" i="16" s="1"/>
  <c r="BE58" i="11" s="1"/>
  <c r="BE57" i="11" s="1"/>
  <c r="J72" i="7"/>
  <c r="BF24" i="16" s="1"/>
  <c r="BF58" i="11" s="1"/>
  <c r="BF57" i="11" s="1"/>
  <c r="AT24" i="16"/>
  <c r="P86" i="22" l="1"/>
  <c r="P91" i="22" s="1"/>
  <c r="AW58" i="11"/>
  <c r="AW57" i="11" s="1"/>
  <c r="O86" i="22"/>
  <c r="O91" i="22" s="1"/>
  <c r="AT58" i="11"/>
  <c r="S86" i="22"/>
  <c r="S91" i="22" s="1"/>
  <c r="BI58" i="11"/>
  <c r="BI57" i="11" s="1"/>
  <c r="R86" i="22"/>
  <c r="R91" i="22" s="1"/>
  <c r="Q86" i="22"/>
  <c r="Q91" i="22" s="1"/>
  <c r="AX105" i="11"/>
  <c r="AW105" i="11"/>
  <c r="BB105" i="11"/>
  <c r="AV105" i="11"/>
  <c r="AT105" i="11"/>
  <c r="BF105" i="11"/>
  <c r="BL105" i="11"/>
  <c r="BE105" i="11"/>
  <c r="BK105" i="11"/>
  <c r="BJ105" i="11"/>
  <c r="BI105" i="11"/>
  <c r="BH105" i="11"/>
  <c r="BA105" i="11"/>
  <c r="BG105" i="11"/>
  <c r="BD105" i="11"/>
  <c r="AZ105" i="11"/>
  <c r="BC105" i="11"/>
  <c r="AY105" i="11"/>
  <c r="N5483" i="7"/>
  <c r="O5484" i="7" s="1"/>
  <c r="P5483" i="7"/>
  <c r="BL23" i="16"/>
  <c r="BL91" i="22"/>
  <c r="BK91" i="22"/>
  <c r="BK23" i="16"/>
  <c r="BJ91" i="22"/>
  <c r="BJ23" i="16"/>
  <c r="BI23" i="16"/>
  <c r="BI91" i="22"/>
  <c r="BH91" i="22"/>
  <c r="BH23" i="16"/>
  <c r="BG23" i="16"/>
  <c r="BG91" i="22"/>
  <c r="BC23" i="16"/>
  <c r="BC91" i="22"/>
  <c r="BB23" i="16"/>
  <c r="BB91" i="22"/>
  <c r="BA23" i="16"/>
  <c r="BA91" i="22"/>
  <c r="BD23" i="16"/>
  <c r="BD91" i="22"/>
  <c r="AZ23" i="16"/>
  <c r="AZ91" i="22"/>
  <c r="AY23" i="16"/>
  <c r="AY91" i="22"/>
  <c r="BF23" i="16"/>
  <c r="BF91" i="22"/>
  <c r="AX23" i="16"/>
  <c r="AX91" i="22"/>
  <c r="BE23" i="16"/>
  <c r="BE91" i="22"/>
  <c r="AW91" i="22"/>
  <c r="AW23" i="16"/>
  <c r="AV91" i="22"/>
  <c r="AV23" i="16"/>
  <c r="AT91" i="22"/>
  <c r="AT23" i="16"/>
  <c r="AT57" i="11" l="1"/>
  <c r="P5484" i="7"/>
  <c r="N5484" i="7"/>
  <c r="O5485" i="7" s="1"/>
  <c r="AT25" i="16"/>
  <c r="AU22" i="16" s="1"/>
  <c r="AU25" i="16" s="1"/>
  <c r="AV22" i="16" s="1"/>
  <c r="AV25" i="16" s="1"/>
  <c r="AW22" i="16" s="1"/>
  <c r="AW25" i="16" s="1"/>
  <c r="AX22" i="16" s="1"/>
  <c r="AX25" i="16" s="1"/>
  <c r="AY22" i="16" s="1"/>
  <c r="AY25" i="16" s="1"/>
  <c r="AZ22" i="16" s="1"/>
  <c r="AZ25" i="16" s="1"/>
  <c r="BA22" i="16" s="1"/>
  <c r="BA25" i="16" s="1"/>
  <c r="BB22" i="16" s="1"/>
  <c r="BB25" i="16" s="1"/>
  <c r="BC22" i="16" s="1"/>
  <c r="BC25" i="16" s="1"/>
  <c r="BD22" i="16" s="1"/>
  <c r="BD25" i="16" s="1"/>
  <c r="BE22" i="16" s="1"/>
  <c r="BE25" i="16" s="1"/>
  <c r="BF22" i="16" s="1"/>
  <c r="BF25" i="16" s="1"/>
  <c r="BG22" i="16" s="1"/>
  <c r="BG25" i="16" s="1"/>
  <c r="BH22" i="16" s="1"/>
  <c r="BH25" i="16" s="1"/>
  <c r="BI22" i="16" s="1"/>
  <c r="BI25" i="16" s="1"/>
  <c r="BJ22" i="16" s="1"/>
  <c r="BJ25" i="16" s="1"/>
  <c r="BK22" i="16" s="1"/>
  <c r="BK25" i="16" s="1"/>
  <c r="BL22" i="16" s="1"/>
  <c r="BL25" i="16" s="1"/>
  <c r="BM22" i="16" s="1"/>
  <c r="I100" i="34" l="1"/>
  <c r="I98" i="34"/>
  <c r="N5485" i="7"/>
  <c r="O5486" i="7" s="1"/>
  <c r="P5485" i="7"/>
  <c r="J9" i="34" l="1"/>
  <c r="J10" i="34" s="1"/>
  <c r="N5486" i="7"/>
  <c r="O5487" i="7" s="1"/>
  <c r="P5486" i="7"/>
  <c r="J32" i="34"/>
  <c r="J33" i="34" s="1"/>
  <c r="J72" i="34" l="1"/>
  <c r="N5487" i="7"/>
  <c r="O5488" i="7" s="1"/>
  <c r="P5487" i="7"/>
  <c r="P5488" i="7" l="1"/>
  <c r="N5488" i="7"/>
  <c r="O5489" i="7" s="1"/>
  <c r="AT71" i="22"/>
  <c r="P5489" i="7" l="1"/>
  <c r="N5489" i="7"/>
  <c r="O5490" i="7" s="1"/>
  <c r="BL71" i="22" l="1"/>
  <c r="BC71" i="22"/>
  <c r="BD71" i="22"/>
  <c r="BF71" i="22"/>
  <c r="AZ71" i="22"/>
  <c r="BE71" i="22"/>
  <c r="BB71" i="22"/>
  <c r="BG71" i="22"/>
  <c r="BH71" i="22"/>
  <c r="BI71" i="22"/>
  <c r="BJ71" i="22"/>
  <c r="BA71" i="22"/>
  <c r="AY71" i="22"/>
  <c r="BK71" i="22"/>
  <c r="P5490" i="7"/>
  <c r="N5490" i="7"/>
  <c r="O5491" i="7" s="1"/>
  <c r="R89" i="34"/>
  <c r="J100" i="34" l="1"/>
  <c r="J98" i="34"/>
  <c r="M70" i="34"/>
  <c r="M30" i="34"/>
  <c r="M31" i="34" s="1"/>
  <c r="AX71" i="22"/>
  <c r="AW71" i="22"/>
  <c r="AU71" i="22"/>
  <c r="AV71" i="22"/>
  <c r="O70" i="34"/>
  <c r="Q70" i="34"/>
  <c r="P30" i="34"/>
  <c r="P31" i="34" s="1"/>
  <c r="O30" i="34"/>
  <c r="O31" i="34" s="1"/>
  <c r="Q30" i="34"/>
  <c r="Q31" i="34" s="1"/>
  <c r="P70" i="34"/>
  <c r="P5491" i="7"/>
  <c r="N5491" i="7"/>
  <c r="O5492" i="7" s="1"/>
  <c r="K9" i="34" l="1"/>
  <c r="K10" i="34" s="1"/>
  <c r="M11" i="34"/>
  <c r="M68" i="34"/>
  <c r="N30" i="34"/>
  <c r="N31" i="34" s="1"/>
  <c r="O11" i="34"/>
  <c r="O68" i="34"/>
  <c r="N70" i="34"/>
  <c r="Q68" i="34"/>
  <c r="Q11" i="34"/>
  <c r="P11" i="34"/>
  <c r="P68" i="34"/>
  <c r="P5492" i="7"/>
  <c r="N5492" i="7"/>
  <c r="O5493" i="7" s="1"/>
  <c r="P16" i="34" l="1"/>
  <c r="O16" i="34"/>
  <c r="M16" i="34"/>
  <c r="Q16" i="34"/>
  <c r="M12" i="34"/>
  <c r="K72" i="34"/>
  <c r="Q12" i="34"/>
  <c r="P12" i="34"/>
  <c r="N11" i="34"/>
  <c r="N68" i="34"/>
  <c r="O12" i="34"/>
  <c r="P5493" i="7"/>
  <c r="N5493" i="7"/>
  <c r="O5494" i="7" s="1"/>
  <c r="N16" i="34" l="1"/>
  <c r="K32" i="34"/>
  <c r="K33" i="34" s="1"/>
  <c r="N12" i="34"/>
  <c r="N5494" i="7"/>
  <c r="O5495" i="7" s="1"/>
  <c r="P5494" i="7"/>
  <c r="N5495" i="7" l="1"/>
  <c r="O5496" i="7" s="1"/>
  <c r="P5495" i="7"/>
  <c r="L9" i="34" l="1"/>
  <c r="L10" i="34" s="1"/>
  <c r="N5496" i="7"/>
  <c r="O5497" i="7" s="1"/>
  <c r="P5496" i="7"/>
  <c r="L72" i="34" l="1"/>
  <c r="L32" i="34"/>
  <c r="L33" i="34" s="1"/>
  <c r="K100" i="34"/>
  <c r="K98" i="34"/>
  <c r="P5497" i="7"/>
  <c r="P5498" i="7" s="1"/>
  <c r="O5498" i="7"/>
  <c r="N5497" i="7"/>
  <c r="J79" i="7" l="1"/>
  <c r="BM24" i="16" l="1"/>
  <c r="J81" i="7"/>
  <c r="J12" i="7" s="1"/>
  <c r="J13" i="7" s="1"/>
  <c r="B4" i="33" s="1"/>
  <c r="T86" i="22" l="1"/>
  <c r="T91" i="22" s="1"/>
  <c r="BM58" i="11"/>
  <c r="BM105" i="11"/>
  <c r="BM23" i="16"/>
  <c r="BM91" i="22"/>
  <c r="BM57" i="11" l="1"/>
  <c r="D57" i="11" s="1"/>
  <c r="D58" i="11"/>
  <c r="D106" i="11"/>
  <c r="D105" i="11"/>
  <c r="D120" i="11" a="1"/>
  <c r="D120" i="11" s="1"/>
  <c r="G26" i="21" s="1"/>
  <c r="BM25" i="16"/>
  <c r="L100" i="34" l="1"/>
  <c r="L98" i="34"/>
  <c r="R13" i="34"/>
  <c r="K13" i="34" l="1"/>
  <c r="K113" i="34"/>
  <c r="G13" i="34"/>
  <c r="G113" i="34"/>
  <c r="L13" i="34"/>
  <c r="L113" i="34"/>
  <c r="E13" i="34"/>
  <c r="E113" i="34"/>
  <c r="O13" i="34"/>
  <c r="O113" i="34"/>
  <c r="J13" i="34"/>
  <c r="J113" i="34"/>
  <c r="F13" i="34"/>
  <c r="F113" i="34"/>
  <c r="H13" i="34"/>
  <c r="H113" i="34"/>
  <c r="P13" i="34"/>
  <c r="P113" i="34"/>
  <c r="N13" i="34"/>
  <c r="N113" i="34"/>
  <c r="M13" i="34"/>
  <c r="M113" i="34"/>
  <c r="D13" i="34"/>
  <c r="D113" i="34"/>
  <c r="C13" i="34"/>
  <c r="C113" i="34"/>
  <c r="Q13" i="34"/>
  <c r="Q113" i="34"/>
  <c r="I13" i="34"/>
  <c r="I113" i="34"/>
  <c r="R113" i="34"/>
  <c r="M9" i="34" l="1"/>
  <c r="M10" i="34" s="1"/>
  <c r="BM71" i="22"/>
  <c r="R118" i="34" l="1"/>
  <c r="R18" i="34"/>
  <c r="M72" i="34"/>
  <c r="R30" i="34"/>
  <c r="R31" i="34" s="1"/>
  <c r="R70" i="34"/>
  <c r="O118" i="34" l="1"/>
  <c r="O18" i="34"/>
  <c r="E118" i="34"/>
  <c r="E18" i="34"/>
  <c r="K118" i="34"/>
  <c r="K18" i="34"/>
  <c r="C118" i="34"/>
  <c r="C18" i="34"/>
  <c r="I118" i="34"/>
  <c r="I18" i="34"/>
  <c r="L118" i="34"/>
  <c r="L18" i="34"/>
  <c r="G118" i="34"/>
  <c r="G18" i="34"/>
  <c r="N118" i="34"/>
  <c r="N18" i="34"/>
  <c r="J118" i="34"/>
  <c r="J18" i="34"/>
  <c r="M118" i="34"/>
  <c r="M18" i="34"/>
  <c r="H118" i="34"/>
  <c r="H18" i="34"/>
  <c r="P118" i="34"/>
  <c r="P18" i="34"/>
  <c r="F118" i="34"/>
  <c r="F18" i="34"/>
  <c r="D118" i="34"/>
  <c r="D18" i="34"/>
  <c r="Q118" i="34"/>
  <c r="Q18" i="34"/>
  <c r="M32" i="34"/>
  <c r="M33" i="34" s="1"/>
  <c r="R71" i="34"/>
  <c r="Q71" i="34"/>
  <c r="E71" i="34"/>
  <c r="N71" i="34"/>
  <c r="D71" i="34"/>
  <c r="K71" i="34"/>
  <c r="O71" i="34"/>
  <c r="H71" i="34"/>
  <c r="M71" i="34"/>
  <c r="L71" i="34"/>
  <c r="J71" i="34"/>
  <c r="G71" i="34"/>
  <c r="I71" i="34"/>
  <c r="C71" i="34"/>
  <c r="F71" i="34"/>
  <c r="P71" i="34"/>
  <c r="R11" i="34"/>
  <c r="R68" i="34"/>
  <c r="R116" i="34" l="1"/>
  <c r="G116" i="34"/>
  <c r="H116" i="34"/>
  <c r="I116" i="34"/>
  <c r="J116" i="34"/>
  <c r="L116" i="34"/>
  <c r="F116" i="34"/>
  <c r="E116" i="34"/>
  <c r="K116" i="34"/>
  <c r="D116" i="34"/>
  <c r="C116" i="34"/>
  <c r="P116" i="34"/>
  <c r="O116" i="34"/>
  <c r="Q116" i="34"/>
  <c r="M116" i="34"/>
  <c r="N116" i="34"/>
  <c r="R16" i="34"/>
  <c r="R69" i="34"/>
  <c r="Q69" i="34"/>
  <c r="M69" i="34"/>
  <c r="H69" i="34"/>
  <c r="C69" i="34"/>
  <c r="G69" i="34"/>
  <c r="F69" i="34"/>
  <c r="D69" i="34"/>
  <c r="E69" i="34"/>
  <c r="N69" i="34"/>
  <c r="J69" i="34"/>
  <c r="P69" i="34"/>
  <c r="L69" i="34"/>
  <c r="K69" i="34"/>
  <c r="O69" i="34"/>
  <c r="I69" i="34"/>
  <c r="R12" i="34"/>
  <c r="M98" i="34" l="1"/>
  <c r="M100" i="34"/>
  <c r="N9" i="34" l="1"/>
  <c r="N10" i="34" s="1"/>
  <c r="N72" i="34" l="1"/>
  <c r="N32" i="34" l="1"/>
  <c r="N33" i="34" s="1"/>
  <c r="N100" i="34" l="1"/>
  <c r="N98" i="34"/>
  <c r="O9" i="34" l="1"/>
  <c r="O10" i="34" s="1"/>
  <c r="O72" i="34" l="1"/>
  <c r="O32" i="34" l="1"/>
  <c r="O33" i="34" s="1"/>
  <c r="O100" i="34" l="1"/>
  <c r="O98" i="34"/>
  <c r="P9" i="34" l="1"/>
  <c r="P10" i="34" s="1"/>
  <c r="P72" i="34" l="1"/>
  <c r="P32" i="34" l="1"/>
  <c r="P33" i="34" s="1"/>
  <c r="P100" i="34" l="1"/>
  <c r="P98" i="34"/>
  <c r="Q72" i="34" l="1"/>
  <c r="Q9" i="34"/>
  <c r="Q10" i="34" s="1"/>
  <c r="Q32" i="34" l="1"/>
  <c r="Q33" i="34" s="1"/>
  <c r="R9" i="34" l="1"/>
  <c r="R10" i="34" s="1"/>
  <c r="R72" i="34" l="1"/>
  <c r="R32" i="34"/>
  <c r="R33" i="34" s="1"/>
  <c r="Q100" i="34" l="1"/>
  <c r="Q98" i="34"/>
  <c r="R73" i="34"/>
  <c r="C73" i="34"/>
  <c r="D73" i="34"/>
  <c r="E73" i="34"/>
  <c r="F73" i="34"/>
  <c r="G73" i="34"/>
  <c r="H73" i="34"/>
  <c r="I73" i="34"/>
  <c r="J73" i="34"/>
  <c r="K73" i="34"/>
  <c r="Q73" i="34"/>
  <c r="P73" i="34"/>
  <c r="O73" i="34"/>
  <c r="N73" i="34"/>
  <c r="M73" i="34"/>
  <c r="L73" i="34"/>
  <c r="R100" i="34" l="1"/>
  <c r="R98" i="34"/>
  <c r="I31" i="4" l="1"/>
  <c r="I32" i="4"/>
  <c r="L89" i="34" l="1"/>
  <c r="H89" i="34"/>
  <c r="O89" i="34"/>
  <c r="J89" i="34" l="1"/>
  <c r="Q89" i="34"/>
  <c r="M89" i="34"/>
  <c r="N89" i="34"/>
  <c r="P89" i="34"/>
  <c r="I89" i="34"/>
  <c r="K89" i="34"/>
  <c r="G89" i="34"/>
  <c r="C89" i="34"/>
  <c r="F89" i="34" l="1"/>
  <c r="E89" i="34"/>
  <c r="D89" i="34"/>
  <c r="F77" i="11" l="1"/>
  <c r="F81" i="11" s="1"/>
  <c r="F114" i="11" l="1"/>
  <c r="F115" i="11" s="1"/>
  <c r="F140" i="11" s="1"/>
  <c r="G113" i="11" l="1"/>
  <c r="F142" i="11"/>
  <c r="F144" i="11" s="1"/>
  <c r="F172" i="11" s="1"/>
  <c r="C37" i="34"/>
  <c r="F55" i="34" l="1"/>
  <c r="G77" i="11"/>
  <c r="G81" i="11" s="1"/>
  <c r="G114" i="11" l="1"/>
  <c r="G115" i="11" s="1"/>
  <c r="G140" i="11" s="1"/>
  <c r="C77" i="34"/>
  <c r="H113" i="11" l="1"/>
  <c r="G142" i="11"/>
  <c r="H77" i="11"/>
  <c r="H81" i="11" s="1"/>
  <c r="E68" i="29"/>
  <c r="E70" i="29" s="1"/>
  <c r="E48" i="22" s="1"/>
  <c r="C105" i="34"/>
  <c r="E52" i="22" l="1"/>
  <c r="E55" i="22" s="1"/>
  <c r="F82" i="31" s="1"/>
  <c r="F45" i="31"/>
  <c r="F47" i="31" s="1"/>
  <c r="C91" i="34"/>
  <c r="G144" i="11"/>
  <c r="G172" i="11" s="1"/>
  <c r="H114" i="11"/>
  <c r="H115" i="11" s="1"/>
  <c r="H140" i="11" s="1"/>
  <c r="E114" i="29" s="1"/>
  <c r="E91" i="29"/>
  <c r="E92" i="29" s="1"/>
  <c r="F90" i="29" s="1"/>
  <c r="C108" i="34"/>
  <c r="C107" i="34"/>
  <c r="C90" i="34"/>
  <c r="C39" i="34"/>
  <c r="C40" i="34" s="1"/>
  <c r="F58" i="31" l="1"/>
  <c r="F60" i="31" s="1"/>
  <c r="F61" i="31" s="1"/>
  <c r="E75" i="22"/>
  <c r="E77" i="22" s="1"/>
  <c r="F91" i="31" s="1"/>
  <c r="E59" i="22"/>
  <c r="F90" i="31" s="1"/>
  <c r="E58" i="22"/>
  <c r="F89" i="31" s="1"/>
  <c r="E38" i="22"/>
  <c r="E39" i="22" s="1"/>
  <c r="E42" i="22" s="1"/>
  <c r="I113" i="11"/>
  <c r="C93" i="34"/>
  <c r="H142" i="11"/>
  <c r="C78" i="34"/>
  <c r="C80" i="34" s="1"/>
  <c r="C115" i="34"/>
  <c r="C24" i="34"/>
  <c r="C15" i="34"/>
  <c r="C17" i="34" s="1"/>
  <c r="C92" i="34"/>
  <c r="E116" i="29"/>
  <c r="E118" i="29" l="1"/>
  <c r="E146" i="29" s="1"/>
  <c r="E80" i="22"/>
  <c r="E82" i="22" s="1"/>
  <c r="F92" i="31" s="1"/>
  <c r="F85" i="31"/>
  <c r="H144" i="11"/>
  <c r="H172" i="11" s="1"/>
  <c r="I77" i="11"/>
  <c r="I81" i="11" s="1"/>
  <c r="I114" i="11" l="1"/>
  <c r="I115" i="11" s="1"/>
  <c r="I140" i="11" s="1"/>
  <c r="D37" i="34"/>
  <c r="J113" i="11" l="1"/>
  <c r="I142" i="11"/>
  <c r="D77" i="34"/>
  <c r="D105" i="34"/>
  <c r="I144" i="11" l="1"/>
  <c r="I172" i="11" s="1"/>
  <c r="K77" i="11"/>
  <c r="K81" i="11" s="1"/>
  <c r="J77" i="11"/>
  <c r="J81" i="11" s="1"/>
  <c r="D107" i="34"/>
  <c r="D108" i="34"/>
  <c r="K114" i="11" l="1"/>
  <c r="J114" i="11"/>
  <c r="J115" i="11" s="1"/>
  <c r="J140" i="11" s="1"/>
  <c r="F68" i="29"/>
  <c r="F70" i="29" s="1"/>
  <c r="F48" i="22" s="1"/>
  <c r="F52" i="22" l="1"/>
  <c r="F55" i="22" s="1"/>
  <c r="G82" i="31" s="1"/>
  <c r="G45" i="31"/>
  <c r="G47" i="31" s="1"/>
  <c r="K113" i="11"/>
  <c r="K115" i="11" s="1"/>
  <c r="K140" i="11" s="1"/>
  <c r="J142" i="11"/>
  <c r="J144" i="11" s="1"/>
  <c r="J172" i="11" s="1"/>
  <c r="F91" i="29"/>
  <c r="F92" i="29" s="1"/>
  <c r="G90" i="29" s="1"/>
  <c r="L77" i="11"/>
  <c r="L81" i="11" s="1"/>
  <c r="F59" i="22" l="1"/>
  <c r="G90" i="31" s="1"/>
  <c r="F58" i="22"/>
  <c r="G89" i="31" s="1"/>
  <c r="L113" i="11"/>
  <c r="D90" i="34"/>
  <c r="L114" i="11"/>
  <c r="L115" i="11" s="1"/>
  <c r="L140" i="11" s="1"/>
  <c r="F114" i="29" s="1"/>
  <c r="D24" i="34"/>
  <c r="D15" i="34"/>
  <c r="D17" i="34" s="1"/>
  <c r="D115" i="34"/>
  <c r="D78" i="34"/>
  <c r="D80" i="34" s="1"/>
  <c r="K142" i="11"/>
  <c r="D39" i="34"/>
  <c r="D40" i="34" s="1"/>
  <c r="G58" i="31" l="1"/>
  <c r="G60" i="31" s="1"/>
  <c r="G61" i="31" s="1"/>
  <c r="F75" i="22"/>
  <c r="F77" i="22" s="1"/>
  <c r="G91" i="31" s="1"/>
  <c r="F38" i="22"/>
  <c r="F39" i="22" s="1"/>
  <c r="F42" i="22" s="1"/>
  <c r="F44" i="22" s="1"/>
  <c r="G87" i="31" s="1"/>
  <c r="K144" i="11"/>
  <c r="K172" i="11" s="1"/>
  <c r="D91" i="34"/>
  <c r="M113" i="11"/>
  <c r="L142" i="11"/>
  <c r="F116" i="29"/>
  <c r="F118" i="29" l="1"/>
  <c r="F146" i="29" s="1"/>
  <c r="F80" i="22"/>
  <c r="F82" i="22" s="1"/>
  <c r="G92" i="31" s="1"/>
  <c r="G85" i="31"/>
  <c r="L144" i="11"/>
  <c r="L172" i="11" s="1"/>
  <c r="D92" i="34"/>
  <c r="D93" i="34"/>
  <c r="N77" i="11"/>
  <c r="N81" i="11" s="1"/>
  <c r="M77" i="11"/>
  <c r="M81" i="11" s="1"/>
  <c r="M114" i="11" l="1"/>
  <c r="M115" i="11" s="1"/>
  <c r="M140" i="11" s="1"/>
  <c r="M142" i="11" s="1"/>
  <c r="N114" i="11"/>
  <c r="N113" i="11" l="1"/>
  <c r="N115" i="11" s="1"/>
  <c r="N140" i="11" s="1"/>
  <c r="M144" i="11"/>
  <c r="M172" i="11" s="1"/>
  <c r="N142" i="11"/>
  <c r="E37" i="34"/>
  <c r="O113" i="11"/>
  <c r="N144" i="11" l="1"/>
  <c r="N172" i="11" s="1"/>
  <c r="O77" i="11"/>
  <c r="O81" i="11" s="1"/>
  <c r="O114" i="11" l="1"/>
  <c r="O115" i="11" s="1"/>
  <c r="O140" i="11" s="1"/>
  <c r="E105" i="34"/>
  <c r="E77" i="34"/>
  <c r="P113" i="11" l="1"/>
  <c r="O142" i="11"/>
  <c r="E107" i="34"/>
  <c r="E108" i="34"/>
  <c r="G68" i="29"/>
  <c r="G70" i="29" s="1"/>
  <c r="G48" i="22" s="1"/>
  <c r="G52" i="22" l="1"/>
  <c r="G55" i="22" s="1"/>
  <c r="H82" i="31" s="1"/>
  <c r="H45" i="31"/>
  <c r="H47" i="31" s="1"/>
  <c r="O144" i="11"/>
  <c r="O172" i="11" s="1"/>
  <c r="E91" i="34"/>
  <c r="G91" i="29"/>
  <c r="G92" i="29" s="1"/>
  <c r="H90" i="29" s="1"/>
  <c r="E90" i="34"/>
  <c r="P77" i="11"/>
  <c r="P81" i="11" s="1"/>
  <c r="G59" i="22" l="1"/>
  <c r="H90" i="31" s="1"/>
  <c r="G58" i="22"/>
  <c r="H89" i="31" s="1"/>
  <c r="P114" i="11"/>
  <c r="P115" i="11" s="1"/>
  <c r="P140" i="11" s="1"/>
  <c r="E78" i="34"/>
  <c r="E80" i="34" s="1"/>
  <c r="E24" i="34"/>
  <c r="E115" i="34"/>
  <c r="E15" i="34"/>
  <c r="E17" i="34" s="1"/>
  <c r="E92" i="34"/>
  <c r="P142" i="11" l="1"/>
  <c r="G114" i="29"/>
  <c r="Q113" i="11"/>
  <c r="P144" i="11"/>
  <c r="P172" i="11" s="1"/>
  <c r="E39" i="34"/>
  <c r="E40" i="34" s="1"/>
  <c r="Q77" i="11"/>
  <c r="Q81" i="11" s="1"/>
  <c r="H58" i="31" l="1"/>
  <c r="H60" i="31" s="1"/>
  <c r="H61" i="31" s="1"/>
  <c r="G75" i="22"/>
  <c r="G77" i="22" s="1"/>
  <c r="H91" i="31" s="1"/>
  <c r="G116" i="29"/>
  <c r="G38" i="22"/>
  <c r="G39" i="22" s="1"/>
  <c r="G42" i="22" s="1"/>
  <c r="G44" i="22" s="1"/>
  <c r="H87" i="31" s="1"/>
  <c r="Q114" i="11"/>
  <c r="Q115" i="11" s="1"/>
  <c r="Q140" i="11" s="1"/>
  <c r="G118" i="29" l="1"/>
  <c r="G146" i="29" s="1"/>
  <c r="G80" i="22"/>
  <c r="G82" i="22" s="1"/>
  <c r="H92" i="31" s="1"/>
  <c r="H85" i="31"/>
  <c r="E93" i="34"/>
  <c r="R113" i="11"/>
  <c r="Q142" i="11"/>
  <c r="R77" i="11"/>
  <c r="R81" i="11" s="1"/>
  <c r="R114" i="11" l="1"/>
  <c r="R115" i="11" s="1"/>
  <c r="R140" i="11" s="1"/>
  <c r="R142" i="11" s="1"/>
  <c r="Q144" i="11"/>
  <c r="Q172" i="11" s="1"/>
  <c r="S113" i="11" l="1"/>
  <c r="R144" i="11"/>
  <c r="R172" i="11" s="1"/>
  <c r="F37" i="34"/>
  <c r="F77" i="34" l="1"/>
  <c r="S77" i="11"/>
  <c r="S81" i="11" s="1"/>
  <c r="S114" i="11" l="1"/>
  <c r="S115" i="11" s="1"/>
  <c r="S140" i="11" s="1"/>
  <c r="F105" i="34"/>
  <c r="H68" i="29"/>
  <c r="H70" i="29" s="1"/>
  <c r="H48" i="22" s="1"/>
  <c r="H52" i="22" l="1"/>
  <c r="H55" i="22" s="1"/>
  <c r="I82" i="31" s="1"/>
  <c r="I45" i="31"/>
  <c r="I47" i="31" s="1"/>
  <c r="T113" i="11"/>
  <c r="H91" i="29"/>
  <c r="H92" i="29" s="1"/>
  <c r="I90" i="29" s="1"/>
  <c r="S142" i="11"/>
  <c r="F107" i="34"/>
  <c r="F108" i="34"/>
  <c r="T77" i="11"/>
  <c r="T81" i="11" s="1"/>
  <c r="H59" i="22" l="1"/>
  <c r="I90" i="31" s="1"/>
  <c r="H58" i="22"/>
  <c r="I89" i="31" s="1"/>
  <c r="S144" i="11"/>
  <c r="S172" i="11" s="1"/>
  <c r="T114" i="11"/>
  <c r="T115" i="11" s="1"/>
  <c r="T140" i="11" s="1"/>
  <c r="H114" i="29" s="1"/>
  <c r="F90" i="34"/>
  <c r="F78" i="34"/>
  <c r="F80" i="34" s="1"/>
  <c r="F24" i="34"/>
  <c r="F115" i="34"/>
  <c r="F15" i="34"/>
  <c r="F17" i="34" s="1"/>
  <c r="F39" i="34"/>
  <c r="F40" i="34" s="1"/>
  <c r="I58" i="31" l="1"/>
  <c r="I60" i="31" s="1"/>
  <c r="I61" i="31" s="1"/>
  <c r="H75" i="22"/>
  <c r="H77" i="22" s="1"/>
  <c r="I91" i="31" s="1"/>
  <c r="H38" i="22"/>
  <c r="H39" i="22" s="1"/>
  <c r="H42" i="22" s="1"/>
  <c r="H44" i="22" s="1"/>
  <c r="I87" i="31" s="1"/>
  <c r="H116" i="29"/>
  <c r="U113" i="11"/>
  <c r="F92" i="34"/>
  <c r="F91" i="34"/>
  <c r="T142" i="11"/>
  <c r="H118" i="29" l="1"/>
  <c r="H146" i="29" s="1"/>
  <c r="H80" i="22"/>
  <c r="H82" i="22" s="1"/>
  <c r="I92" i="31" s="1"/>
  <c r="I85" i="31"/>
  <c r="F93" i="34"/>
  <c r="T144" i="11"/>
  <c r="T172" i="11" s="1"/>
  <c r="U77" i="11"/>
  <c r="U81" i="11" s="1"/>
  <c r="U114" i="11" l="1"/>
  <c r="U115" i="11" s="1"/>
  <c r="U140" i="11" s="1"/>
  <c r="U52" i="22"/>
  <c r="V113" i="11" l="1"/>
  <c r="U142" i="11"/>
  <c r="U144" i="11" s="1"/>
  <c r="U172" i="11" s="1"/>
  <c r="U55" i="22"/>
  <c r="U77" i="22"/>
  <c r="U39" i="22"/>
  <c r="U42" i="22" s="1"/>
  <c r="U44" i="22" s="1"/>
  <c r="U82" i="22"/>
  <c r="G37" i="34"/>
  <c r="V77" i="11"/>
  <c r="V81" i="11" s="1"/>
  <c r="V114" i="11" l="1"/>
  <c r="V115" i="11" s="1"/>
  <c r="V140" i="11" s="1"/>
  <c r="V142" i="11" s="1"/>
  <c r="V52" i="22"/>
  <c r="U58" i="22"/>
  <c r="W113" i="11" l="1"/>
  <c r="V144" i="11"/>
  <c r="V172" i="11" s="1"/>
  <c r="V82" i="22"/>
  <c r="V55" i="22"/>
  <c r="V39" i="22"/>
  <c r="V42" i="22" s="1"/>
  <c r="V44" i="22" s="1"/>
  <c r="V77" i="22"/>
  <c r="G77" i="34"/>
  <c r="G105" i="34"/>
  <c r="W77" i="11"/>
  <c r="W81" i="11" s="1"/>
  <c r="V58" i="22" l="1"/>
  <c r="W114" i="11"/>
  <c r="W115" i="11" s="1"/>
  <c r="W140" i="11" s="1"/>
  <c r="W52" i="22"/>
  <c r="G107" i="34"/>
  <c r="G108" i="34"/>
  <c r="I68" i="29"/>
  <c r="I70" i="29" s="1"/>
  <c r="I48" i="22" s="1"/>
  <c r="X113" i="11" l="1"/>
  <c r="I52" i="22"/>
  <c r="I55" i="22" s="1"/>
  <c r="J82" i="31" s="1"/>
  <c r="J45" i="31"/>
  <c r="J47" i="31" s="1"/>
  <c r="W55" i="22"/>
  <c r="W39" i="22"/>
  <c r="W42" i="22" s="1"/>
  <c r="W44" i="22" s="1"/>
  <c r="W77" i="22"/>
  <c r="I91" i="29"/>
  <c r="I92" i="29" s="1"/>
  <c r="J90" i="29" s="1"/>
  <c r="W142" i="11"/>
  <c r="X77" i="11"/>
  <c r="X81" i="11" s="1"/>
  <c r="I59" i="22" l="1"/>
  <c r="J90" i="31" s="1"/>
  <c r="I58" i="22"/>
  <c r="J89" i="31" s="1"/>
  <c r="W144" i="11"/>
  <c r="W172" i="11" s="1"/>
  <c r="W82" i="22"/>
  <c r="G90" i="34"/>
  <c r="X114" i="11"/>
  <c r="X115" i="11" s="1"/>
  <c r="X140" i="11" s="1"/>
  <c r="I114" i="29" s="1"/>
  <c r="X52" i="22"/>
  <c r="W58" i="22"/>
  <c r="G91" i="34"/>
  <c r="G78" i="34"/>
  <c r="G80" i="34" s="1"/>
  <c r="G39" i="34"/>
  <c r="G40" i="34" s="1"/>
  <c r="J58" i="31" l="1"/>
  <c r="J60" i="31" s="1"/>
  <c r="J61" i="31" s="1"/>
  <c r="I75" i="22"/>
  <c r="I77" i="22" s="1"/>
  <c r="J91" i="31" s="1"/>
  <c r="I38" i="22"/>
  <c r="I39" i="22" s="1"/>
  <c r="I42" i="22" s="1"/>
  <c r="I44" i="22" s="1"/>
  <c r="J87" i="31" s="1"/>
  <c r="X142" i="11"/>
  <c r="X144" i="11" s="1"/>
  <c r="X172" i="11" s="1"/>
  <c r="X82" i="22"/>
  <c r="X55" i="22"/>
  <c r="G115" i="34"/>
  <c r="G24" i="34"/>
  <c r="G15" i="34"/>
  <c r="G17" i="34" s="1"/>
  <c r="X77" i="22"/>
  <c r="X39" i="22"/>
  <c r="X42" i="22" s="1"/>
  <c r="X44" i="22" s="1"/>
  <c r="Y113" i="11"/>
  <c r="G92" i="34"/>
  <c r="I116" i="29"/>
  <c r="Y77" i="11"/>
  <c r="Y81" i="11" s="1"/>
  <c r="I118" i="29" l="1"/>
  <c r="I146" i="29" s="1"/>
  <c r="I80" i="22"/>
  <c r="I82" i="22" s="1"/>
  <c r="J92" i="31" s="1"/>
  <c r="J85" i="31"/>
  <c r="G93" i="34"/>
  <c r="Y114" i="11"/>
  <c r="Y115" i="11" s="1"/>
  <c r="Y140" i="11" s="1"/>
  <c r="Y142" i="11" s="1"/>
  <c r="Y52" i="22"/>
  <c r="X58" i="22"/>
  <c r="Z113" i="11" l="1"/>
  <c r="Y55" i="22"/>
  <c r="Y144" i="11"/>
  <c r="Y172" i="11" s="1"/>
  <c r="D174" i="11" s="1"/>
  <c r="Y82" i="22"/>
  <c r="Y77" i="22"/>
  <c r="Y39" i="22"/>
  <c r="Y42" i="22" s="1"/>
  <c r="Y44" i="22" s="1"/>
  <c r="Z77" i="11"/>
  <c r="Z81" i="11" s="1"/>
  <c r="Z114" i="11" l="1"/>
  <c r="Z115" i="11" s="1"/>
  <c r="Z140" i="11" s="1"/>
  <c r="Z142" i="11" s="1"/>
  <c r="Z52" i="22"/>
  <c r="Y58" i="22"/>
  <c r="H37" i="34"/>
  <c r="AA113" i="11" l="1"/>
  <c r="Z144" i="11"/>
  <c r="Z172" i="11" s="1"/>
  <c r="Z82" i="22"/>
  <c r="Z55" i="22"/>
  <c r="Z77" i="22"/>
  <c r="Z39" i="22"/>
  <c r="Z42" i="22" s="1"/>
  <c r="Z44" i="22" s="1"/>
  <c r="AA77" i="11"/>
  <c r="AA81" i="11" s="1"/>
  <c r="AA114" i="11" l="1"/>
  <c r="AA115" i="11" s="1"/>
  <c r="AA140" i="11" s="1"/>
  <c r="AA52" i="22"/>
  <c r="Z58" i="22"/>
  <c r="H105" i="34"/>
  <c r="H77" i="34"/>
  <c r="AB113" i="11"/>
  <c r="AA55" i="22" l="1"/>
  <c r="AA77" i="22"/>
  <c r="AA39" i="22"/>
  <c r="AA42" i="22" s="1"/>
  <c r="AA44" i="22" s="1"/>
  <c r="AA142" i="11"/>
  <c r="H107" i="34"/>
  <c r="H108" i="34"/>
  <c r="J68" i="29"/>
  <c r="J70" i="29" s="1"/>
  <c r="J48" i="22" s="1"/>
  <c r="J52" i="22" l="1"/>
  <c r="J55" i="22" s="1"/>
  <c r="K82" i="31" s="1"/>
  <c r="K45" i="31"/>
  <c r="K47" i="31" s="1"/>
  <c r="H91" i="34"/>
  <c r="AA144" i="11"/>
  <c r="AA172" i="11" s="1"/>
  <c r="AA82" i="22"/>
  <c r="AA58" i="22"/>
  <c r="J91" i="29"/>
  <c r="J92" i="29" s="1"/>
  <c r="K90" i="29" s="1"/>
  <c r="H90" i="34"/>
  <c r="AB77" i="11"/>
  <c r="AB81" i="11" s="1"/>
  <c r="J59" i="22" l="1"/>
  <c r="K90" i="31" s="1"/>
  <c r="J58" i="22"/>
  <c r="K89" i="31" s="1"/>
  <c r="AB114" i="11"/>
  <c r="AB115" i="11" s="1"/>
  <c r="AB140" i="11" s="1"/>
  <c r="J114" i="29" s="1"/>
  <c r="AB52" i="22"/>
  <c r="H78" i="34"/>
  <c r="H80" i="34" s="1"/>
  <c r="H24" i="34"/>
  <c r="H115" i="34"/>
  <c r="H15" i="34"/>
  <c r="H17" i="34" s="1"/>
  <c r="H92" i="34"/>
  <c r="K58" i="31" l="1"/>
  <c r="K60" i="31" s="1"/>
  <c r="K61" i="31" s="1"/>
  <c r="J75" i="22"/>
  <c r="J77" i="22" s="1"/>
  <c r="K91" i="31" s="1"/>
  <c r="J38" i="22"/>
  <c r="J39" i="22" s="1"/>
  <c r="J42" i="22" s="1"/>
  <c r="J44" i="22" s="1"/>
  <c r="K87" i="31" s="1"/>
  <c r="AB142" i="11"/>
  <c r="AB144" i="11" s="1"/>
  <c r="AB172" i="11" s="1"/>
  <c r="AC113" i="11"/>
  <c r="AB82" i="22"/>
  <c r="AB55" i="22"/>
  <c r="AB77" i="22"/>
  <c r="AB39" i="22"/>
  <c r="AB42" i="22" s="1"/>
  <c r="AB44" i="22" s="1"/>
  <c r="J116" i="29"/>
  <c r="H39" i="34"/>
  <c r="H40" i="34" s="1"/>
  <c r="AC77" i="11"/>
  <c r="AC81" i="11" s="1"/>
  <c r="J118" i="29" l="1"/>
  <c r="J146" i="29" s="1"/>
  <c r="J80" i="22"/>
  <c r="J82" i="22" s="1"/>
  <c r="K92" i="31" s="1"/>
  <c r="K85" i="31"/>
  <c r="H93" i="34"/>
  <c r="AC114" i="11"/>
  <c r="AC115" i="11" s="1"/>
  <c r="AC140" i="11" s="1"/>
  <c r="AC142" i="11" s="1"/>
  <c r="AC52" i="22"/>
  <c r="AB58" i="22"/>
  <c r="AD113" i="11" l="1"/>
  <c r="AC55" i="22"/>
  <c r="AC144" i="11"/>
  <c r="AC172" i="11" s="1"/>
  <c r="AC82" i="22"/>
  <c r="AC77" i="22"/>
  <c r="AC39" i="22"/>
  <c r="AC42" i="22" s="1"/>
  <c r="AC44" i="22" s="1"/>
  <c r="I37" i="34"/>
  <c r="AD77" i="11"/>
  <c r="AD81" i="11" s="1"/>
  <c r="AD114" i="11" l="1"/>
  <c r="AD115" i="11" s="1"/>
  <c r="AD140" i="11" s="1"/>
  <c r="AD142" i="11" s="1"/>
  <c r="AD52" i="22"/>
  <c r="AC58" i="22"/>
  <c r="AE113" i="11" l="1"/>
  <c r="AD144" i="11"/>
  <c r="AD172" i="11" s="1"/>
  <c r="AD82" i="22"/>
  <c r="AD55" i="22"/>
  <c r="AD77" i="22"/>
  <c r="AD39" i="22"/>
  <c r="AD42" i="22" s="1"/>
  <c r="AD44" i="22" s="1"/>
  <c r="I105" i="34"/>
  <c r="I77" i="34"/>
  <c r="AE77" i="11"/>
  <c r="AE81" i="11" s="1"/>
  <c r="AD58" i="22" l="1"/>
  <c r="AE114" i="11"/>
  <c r="AE115" i="11" s="1"/>
  <c r="AE140" i="11" s="1"/>
  <c r="AE52" i="22"/>
  <c r="I107" i="34"/>
  <c r="I108" i="34"/>
  <c r="AF113" i="11" l="1"/>
  <c r="AE55" i="22"/>
  <c r="AE77" i="22"/>
  <c r="AE39" i="22"/>
  <c r="AE42" i="22" s="1"/>
  <c r="AE44" i="22" s="1"/>
  <c r="AE142" i="11"/>
  <c r="F46" i="34"/>
  <c r="D46" i="34"/>
  <c r="K68" i="29"/>
  <c r="K70" i="29" s="1"/>
  <c r="K48" i="22" l="1"/>
  <c r="K52" i="22" s="1"/>
  <c r="K55" i="22" s="1"/>
  <c r="I91" i="34"/>
  <c r="AE144" i="11"/>
  <c r="AE172" i="11" s="1"/>
  <c r="AE82" i="22"/>
  <c r="I90" i="34"/>
  <c r="AE58" i="22"/>
  <c r="K91" i="29"/>
  <c r="K92" i="29" s="1"/>
  <c r="L90" i="29" s="1"/>
  <c r="I115" i="34"/>
  <c r="I24" i="34"/>
  <c r="I15" i="34"/>
  <c r="I17" i="34" s="1"/>
  <c r="AG77" i="11"/>
  <c r="AG81" i="11" s="1"/>
  <c r="AF77" i="11"/>
  <c r="AF81" i="11" s="1"/>
  <c r="K58" i="22" l="1"/>
  <c r="K59" i="22"/>
  <c r="I92" i="34"/>
  <c r="AF114" i="11"/>
  <c r="AF115" i="11" s="1"/>
  <c r="AF140" i="11" s="1"/>
  <c r="AF52" i="22"/>
  <c r="AG114" i="11"/>
  <c r="AG52" i="22"/>
  <c r="AG55" i="22" s="1"/>
  <c r="I78" i="34"/>
  <c r="I80" i="34" s="1"/>
  <c r="I39" i="34"/>
  <c r="I40" i="34" s="1"/>
  <c r="AF142" i="11" l="1"/>
  <c r="AF144" i="11" s="1"/>
  <c r="AF172" i="11" s="1"/>
  <c r="K114" i="29"/>
  <c r="K75" i="22" s="1"/>
  <c r="K77" i="22" s="1"/>
  <c r="AG113" i="11"/>
  <c r="AG115" i="11" s="1"/>
  <c r="AG140" i="11" s="1"/>
  <c r="T114" i="29" s="1"/>
  <c r="T75" i="22" s="1"/>
  <c r="T77" i="22" s="1"/>
  <c r="AG58" i="22"/>
  <c r="AF82" i="22"/>
  <c r="AG77" i="22"/>
  <c r="AG39" i="22"/>
  <c r="AG42" i="22" s="1"/>
  <c r="AG44" i="22" s="1"/>
  <c r="AF55" i="22"/>
  <c r="AF77" i="22"/>
  <c r="AF39" i="22"/>
  <c r="AF42" i="22" s="1"/>
  <c r="AF44" i="22" s="1"/>
  <c r="D117" i="11"/>
  <c r="K116" i="29" l="1"/>
  <c r="T38" i="22"/>
  <c r="T39" i="22" s="1"/>
  <c r="T42" i="22" s="1"/>
  <c r="T44" i="22" s="1"/>
  <c r="AH113" i="11"/>
  <c r="K38" i="22"/>
  <c r="K39" i="22" s="1"/>
  <c r="K42" i="22" s="1"/>
  <c r="K44" i="22" s="1"/>
  <c r="L114" i="29"/>
  <c r="L75" i="22" s="1"/>
  <c r="L77" i="22" s="1"/>
  <c r="M114" i="29"/>
  <c r="M75" i="22" s="1"/>
  <c r="M77" i="22" s="1"/>
  <c r="N114" i="29"/>
  <c r="N75" i="22" s="1"/>
  <c r="N77" i="22" s="1"/>
  <c r="O114" i="29"/>
  <c r="O75" i="22" s="1"/>
  <c r="O77" i="22" s="1"/>
  <c r="P114" i="29"/>
  <c r="P75" i="22" s="1"/>
  <c r="P77" i="22" s="1"/>
  <c r="Q114" i="29"/>
  <c r="Q75" i="22" s="1"/>
  <c r="Q77" i="22" s="1"/>
  <c r="R114" i="29"/>
  <c r="R75" i="22" s="1"/>
  <c r="R77" i="22" s="1"/>
  <c r="S114" i="29"/>
  <c r="S75" i="22" s="1"/>
  <c r="S77" i="22" s="1"/>
  <c r="AF58" i="22"/>
  <c r="AG142" i="11"/>
  <c r="K118" i="29" l="1"/>
  <c r="K146" i="29" s="1"/>
  <c r="K80" i="22"/>
  <c r="K82" i="22" s="1"/>
  <c r="I93" i="34"/>
  <c r="M38" i="22"/>
  <c r="M39" i="22" s="1"/>
  <c r="M42" i="22" s="1"/>
  <c r="M44" i="22" s="1"/>
  <c r="O38" i="22"/>
  <c r="O39" i="22" s="1"/>
  <c r="O42" i="22" s="1"/>
  <c r="O44" i="22" s="1"/>
  <c r="L38" i="22"/>
  <c r="L39" i="22" s="1"/>
  <c r="L42" i="22" s="1"/>
  <c r="L44" i="22" s="1"/>
  <c r="S38" i="22"/>
  <c r="S39" i="22" s="1"/>
  <c r="S42" i="22" s="1"/>
  <c r="S44" i="22" s="1"/>
  <c r="R38" i="22"/>
  <c r="R39" i="22" s="1"/>
  <c r="R42" i="22" s="1"/>
  <c r="R44" i="22" s="1"/>
  <c r="N38" i="22"/>
  <c r="N39" i="22" s="1"/>
  <c r="N42" i="22" s="1"/>
  <c r="N44" i="22" s="1"/>
  <c r="Q38" i="22"/>
  <c r="Q39" i="22" s="1"/>
  <c r="Q42" i="22" s="1"/>
  <c r="Q44" i="22" s="1"/>
  <c r="P38" i="22"/>
  <c r="P39" i="22" s="1"/>
  <c r="P42" i="22" s="1"/>
  <c r="P44" i="22" s="1"/>
  <c r="AG144" i="11"/>
  <c r="AG172" i="11" s="1"/>
  <c r="AG82" i="22"/>
  <c r="Q91" i="34"/>
  <c r="N91" i="34"/>
  <c r="O91" i="34"/>
  <c r="J91" i="34"/>
  <c r="M91" i="34"/>
  <c r="P91" i="34"/>
  <c r="R91" i="34"/>
  <c r="K91" i="34"/>
  <c r="L91" i="34"/>
  <c r="J37" i="34"/>
  <c r="AH77" i="11"/>
  <c r="AH81" i="11" s="1"/>
  <c r="AH114" i="11" l="1"/>
  <c r="AH115" i="11" s="1"/>
  <c r="AH140" i="11" s="1"/>
  <c r="AH142" i="11" s="1"/>
  <c r="AH52" i="22"/>
  <c r="AI113" i="11" l="1"/>
  <c r="AH144" i="11"/>
  <c r="AH172" i="11" s="1"/>
  <c r="AH82" i="22"/>
  <c r="AH55" i="22"/>
  <c r="AH39" i="22"/>
  <c r="AH42" i="22" s="1"/>
  <c r="AH44" i="22" s="1"/>
  <c r="AH77" i="22"/>
  <c r="J77" i="34"/>
  <c r="AI77" i="11"/>
  <c r="AI81" i="11" s="1"/>
  <c r="AI114" i="11" l="1"/>
  <c r="AI115" i="11" s="1"/>
  <c r="AI140" i="11" s="1"/>
  <c r="AI142" i="11" s="1"/>
  <c r="AI52" i="22"/>
  <c r="AH58" i="22"/>
  <c r="J105" i="34"/>
  <c r="L68" i="29"/>
  <c r="L70" i="29" s="1"/>
  <c r="AJ113" i="11" l="1"/>
  <c r="L48" i="22"/>
  <c r="L52" i="22" s="1"/>
  <c r="L55" i="22" s="1"/>
  <c r="AI144" i="11"/>
  <c r="AI172" i="11" s="1"/>
  <c r="AI82" i="22"/>
  <c r="AI55" i="22"/>
  <c r="AI39" i="22"/>
  <c r="AI42" i="22" s="1"/>
  <c r="AI44" i="22" s="1"/>
  <c r="AI77" i="22"/>
  <c r="L91" i="29"/>
  <c r="L92" i="29" s="1"/>
  <c r="M90" i="29" s="1"/>
  <c r="J108" i="34"/>
  <c r="J107" i="34"/>
  <c r="J90" i="34"/>
  <c r="AJ77" i="11"/>
  <c r="AJ81" i="11" s="1"/>
  <c r="L58" i="22" l="1"/>
  <c r="L59" i="22"/>
  <c r="AJ114" i="11"/>
  <c r="AJ115" i="11" s="1"/>
  <c r="AJ140" i="11" s="1"/>
  <c r="AJ142" i="11" s="1"/>
  <c r="AJ52" i="22"/>
  <c r="AI58" i="22"/>
  <c r="J78" i="34"/>
  <c r="J80" i="34" s="1"/>
  <c r="J93" i="34"/>
  <c r="J92" i="34"/>
  <c r="J15" i="34"/>
  <c r="J17" i="34" s="1"/>
  <c r="J24" i="34"/>
  <c r="J115" i="34"/>
  <c r="J39" i="34"/>
  <c r="J40" i="34" s="1"/>
  <c r="AK113" i="11" l="1"/>
  <c r="AJ144" i="11"/>
  <c r="AJ172" i="11" s="1"/>
  <c r="AJ82" i="22"/>
  <c r="AJ55" i="22"/>
  <c r="AJ77" i="22"/>
  <c r="AJ39" i="22"/>
  <c r="AJ42" i="22" s="1"/>
  <c r="AJ44" i="22" s="1"/>
  <c r="L116" i="29"/>
  <c r="L118" i="29" l="1"/>
  <c r="L146" i="29" s="1"/>
  <c r="L80" i="22"/>
  <c r="L82" i="22" s="1"/>
  <c r="AJ58" i="22"/>
  <c r="E46" i="34"/>
  <c r="AK77" i="11"/>
  <c r="AK81" i="11" s="1"/>
  <c r="AK114" i="11" l="1"/>
  <c r="AK115" i="11" s="1"/>
  <c r="AK140" i="11" s="1"/>
  <c r="AK142" i="11" s="1"/>
  <c r="AK52" i="22"/>
  <c r="C46" i="34"/>
  <c r="AL113" i="11" l="1"/>
  <c r="AK55" i="22"/>
  <c r="AK144" i="11"/>
  <c r="AK172" i="11" s="1"/>
  <c r="AK82" i="22"/>
  <c r="AK77" i="22"/>
  <c r="AK39" i="22"/>
  <c r="AK42" i="22" s="1"/>
  <c r="AK44" i="22" s="1"/>
  <c r="K37" i="34"/>
  <c r="AL77" i="11"/>
  <c r="AL81" i="11" s="1"/>
  <c r="AL114" i="11" l="1"/>
  <c r="AL115" i="11" s="1"/>
  <c r="AL140" i="11" s="1"/>
  <c r="AL142" i="11" s="1"/>
  <c r="AL52" i="22"/>
  <c r="AK58" i="22"/>
  <c r="AM113" i="11" l="1"/>
  <c r="AL144" i="11"/>
  <c r="AL172" i="11" s="1"/>
  <c r="AL82" i="22"/>
  <c r="AL55" i="22"/>
  <c r="AL77" i="22"/>
  <c r="AL39" i="22"/>
  <c r="AL42" i="22" s="1"/>
  <c r="AL44" i="22" s="1"/>
  <c r="K77" i="34"/>
  <c r="AM77" i="11"/>
  <c r="AM81" i="11" s="1"/>
  <c r="AM114" i="11" l="1"/>
  <c r="AM115" i="11" s="1"/>
  <c r="AM140" i="11" s="1"/>
  <c r="AM142" i="11" s="1"/>
  <c r="AM52" i="22"/>
  <c r="AL58" i="22"/>
  <c r="K105" i="34"/>
  <c r="M68" i="29"/>
  <c r="M70" i="29" s="1"/>
  <c r="AN113" i="11" l="1"/>
  <c r="M48" i="22"/>
  <c r="M52" i="22" s="1"/>
  <c r="M55" i="22" s="1"/>
  <c r="AM144" i="11"/>
  <c r="AM172" i="11" s="1"/>
  <c r="AM82" i="22"/>
  <c r="AM55" i="22"/>
  <c r="AM77" i="22"/>
  <c r="AM39" i="22"/>
  <c r="AM42" i="22" s="1"/>
  <c r="AM44" i="22" s="1"/>
  <c r="M91" i="29"/>
  <c r="M92" i="29" s="1"/>
  <c r="N90" i="29" s="1"/>
  <c r="K107" i="34"/>
  <c r="K108" i="34"/>
  <c r="K90" i="34"/>
  <c r="AN77" i="11"/>
  <c r="AN81" i="11" s="1"/>
  <c r="M58" i="22" l="1"/>
  <c r="M59" i="22"/>
  <c r="AM58" i="22"/>
  <c r="AN114" i="11"/>
  <c r="AN115" i="11" s="1"/>
  <c r="AN140" i="11" s="1"/>
  <c r="AN142" i="11" s="1"/>
  <c r="AN52" i="22"/>
  <c r="K78" i="34"/>
  <c r="K80" i="34" s="1"/>
  <c r="K92" i="34"/>
  <c r="K93" i="34"/>
  <c r="K39" i="34"/>
  <c r="K40" i="34" s="1"/>
  <c r="K15" i="34"/>
  <c r="K17" i="34" s="1"/>
  <c r="K24" i="34"/>
  <c r="K115" i="34"/>
  <c r="AO113" i="11" l="1"/>
  <c r="AN55" i="22"/>
  <c r="AN77" i="22"/>
  <c r="AN39" i="22"/>
  <c r="AN42" i="22" s="1"/>
  <c r="AN44" i="22" s="1"/>
  <c r="AN144" i="11"/>
  <c r="AN172" i="11" s="1"/>
  <c r="AN82" i="22"/>
  <c r="M116" i="29"/>
  <c r="M118" i="29" l="1"/>
  <c r="M146" i="29" s="1"/>
  <c r="M80" i="22"/>
  <c r="M82" i="22" s="1"/>
  <c r="AN58" i="22"/>
  <c r="AP77" i="11" l="1"/>
  <c r="AP81" i="11" s="1"/>
  <c r="AO77" i="11"/>
  <c r="AO81" i="11" s="1"/>
  <c r="AO114" i="11" l="1"/>
  <c r="AO115" i="11" s="1"/>
  <c r="AO140" i="11" s="1"/>
  <c r="AO142" i="11" s="1"/>
  <c r="AO52" i="22"/>
  <c r="AP114" i="11"/>
  <c r="AP52" i="22"/>
  <c r="AP55" i="22" s="1"/>
  <c r="L37" i="34"/>
  <c r="AP113" i="11" l="1"/>
  <c r="AP115" i="11" s="1"/>
  <c r="AP140" i="11" s="1"/>
  <c r="AP58" i="22"/>
  <c r="AO55" i="22"/>
  <c r="AP39" i="22"/>
  <c r="AP42" i="22" s="1"/>
  <c r="AP44" i="22" s="1"/>
  <c r="AP77" i="22"/>
  <c r="AO144" i="11"/>
  <c r="AO172" i="11" s="1"/>
  <c r="AO82" i="22"/>
  <c r="AO77" i="22"/>
  <c r="AO39" i="22"/>
  <c r="AO42" i="22" s="1"/>
  <c r="AO44" i="22" s="1"/>
  <c r="AP142" i="11"/>
  <c r="AQ113" i="11"/>
  <c r="AP144" i="11" l="1"/>
  <c r="AP172" i="11" s="1"/>
  <c r="AP82" i="22"/>
  <c r="AO58" i="22"/>
  <c r="L105" i="34"/>
  <c r="L77" i="34"/>
  <c r="L108" i="34" l="1"/>
  <c r="L107" i="34"/>
  <c r="AQ77" i="11"/>
  <c r="AQ81" i="11" s="1"/>
  <c r="AR77" i="11"/>
  <c r="AR81" i="11" s="1"/>
  <c r="AR114" i="11" l="1"/>
  <c r="AR52" i="22"/>
  <c r="AR55" i="22" s="1"/>
  <c r="AQ114" i="11"/>
  <c r="AQ115" i="11" s="1"/>
  <c r="AQ140" i="11" s="1"/>
  <c r="AQ52" i="22"/>
  <c r="L90" i="34"/>
  <c r="N68" i="29"/>
  <c r="N70" i="29" s="1"/>
  <c r="N48" i="22" l="1"/>
  <c r="N52" i="22" s="1"/>
  <c r="N55" i="22" s="1"/>
  <c r="AQ142" i="11"/>
  <c r="AQ144" i="11" s="1"/>
  <c r="AQ172" i="11" s="1"/>
  <c r="AR113" i="11"/>
  <c r="AR115" i="11" s="1"/>
  <c r="AR140" i="11" s="1"/>
  <c r="AR58" i="22"/>
  <c r="AQ82" i="22"/>
  <c r="AQ55" i="22"/>
  <c r="AQ77" i="22"/>
  <c r="AQ39" i="22"/>
  <c r="AQ42" i="22" s="1"/>
  <c r="AQ44" i="22" s="1"/>
  <c r="AR77" i="22"/>
  <c r="AR39" i="22"/>
  <c r="AR42" i="22" s="1"/>
  <c r="AR44" i="22" s="1"/>
  <c r="N91" i="29"/>
  <c r="N92" i="29" s="1"/>
  <c r="O90" i="29" s="1"/>
  <c r="L93" i="34"/>
  <c r="L92" i="34"/>
  <c r="L115" i="34"/>
  <c r="L24" i="34"/>
  <c r="L15" i="34"/>
  <c r="L17" i="34" s="1"/>
  <c r="L39" i="34"/>
  <c r="L40" i="34" s="1"/>
  <c r="N59" i="22" l="1"/>
  <c r="N58" i="22"/>
  <c r="AS113" i="11"/>
  <c r="AR142" i="11"/>
  <c r="AR144" i="11" s="1"/>
  <c r="AR172" i="11" s="1"/>
  <c r="AQ58" i="22"/>
  <c r="L78" i="34"/>
  <c r="L80" i="34" s="1"/>
  <c r="N116" i="29"/>
  <c r="N118" i="29" l="1"/>
  <c r="N146" i="29" s="1"/>
  <c r="N80" i="22"/>
  <c r="N82" i="22" s="1"/>
  <c r="AR82" i="22"/>
  <c r="AS77" i="11"/>
  <c r="AS81" i="11" s="1"/>
  <c r="AT77" i="11"/>
  <c r="AT81" i="11" s="1"/>
  <c r="AS114" i="11" l="1"/>
  <c r="AS115" i="11" s="1"/>
  <c r="AS140" i="11" s="1"/>
  <c r="AS142" i="11" s="1"/>
  <c r="AS52" i="22"/>
  <c r="AT114" i="11"/>
  <c r="AT52" i="22"/>
  <c r="AT55" i="22" s="1"/>
  <c r="M37" i="34"/>
  <c r="AT113" i="11" l="1"/>
  <c r="AT115" i="11" s="1"/>
  <c r="AT140" i="11" s="1"/>
  <c r="AT58" i="22"/>
  <c r="AS144" i="11"/>
  <c r="AS172" i="11" s="1"/>
  <c r="AS82" i="22"/>
  <c r="AS55" i="22"/>
  <c r="AS77" i="22"/>
  <c r="AS39" i="22"/>
  <c r="AS42" i="22" s="1"/>
  <c r="AS44" i="22" s="1"/>
  <c r="AT142" i="11" l="1"/>
  <c r="AT144" i="11" s="1"/>
  <c r="AT172" i="11" s="1"/>
  <c r="AT77" i="22"/>
  <c r="AT39" i="22"/>
  <c r="AT42" i="22" s="1"/>
  <c r="AT44" i="22" s="1"/>
  <c r="AU113" i="11"/>
  <c r="AT82" i="22"/>
  <c r="AS58" i="22"/>
  <c r="M105" i="34"/>
  <c r="M77" i="34"/>
  <c r="AU77" i="11"/>
  <c r="AU81" i="11" s="1"/>
  <c r="AU114" i="11" l="1"/>
  <c r="AU115" i="11" s="1"/>
  <c r="AU140" i="11" s="1"/>
  <c r="AU142" i="11" s="1"/>
  <c r="AU52" i="22"/>
  <c r="M108" i="34"/>
  <c r="M107" i="34"/>
  <c r="AV113" i="11" l="1"/>
  <c r="AU144" i="11"/>
  <c r="AU172" i="11" s="1"/>
  <c r="AU82" i="22"/>
  <c r="AU55" i="22"/>
  <c r="AU39" i="22"/>
  <c r="AU42" i="22" s="1"/>
  <c r="AU44" i="22" s="1"/>
  <c r="AU77" i="22"/>
  <c r="M90" i="34"/>
  <c r="O68" i="29"/>
  <c r="O70" i="29" s="1"/>
  <c r="O48" i="22" l="1"/>
  <c r="O52" i="22" s="1"/>
  <c r="O55" i="22" s="1"/>
  <c r="AU58" i="22"/>
  <c r="O91" i="29"/>
  <c r="O92" i="29" s="1"/>
  <c r="P90" i="29" s="1"/>
  <c r="M93" i="34"/>
  <c r="M92" i="34"/>
  <c r="M115" i="34"/>
  <c r="M15" i="34"/>
  <c r="M17" i="34" s="1"/>
  <c r="M24" i="34"/>
  <c r="AV77" i="11"/>
  <c r="AV81" i="11" s="1"/>
  <c r="O58" i="22" l="1"/>
  <c r="O59" i="22"/>
  <c r="AV114" i="11"/>
  <c r="AV115" i="11" s="1"/>
  <c r="AV140" i="11" s="1"/>
  <c r="AV142" i="11" s="1"/>
  <c r="AV52" i="22"/>
  <c r="M78" i="34"/>
  <c r="M80" i="34" s="1"/>
  <c r="AW113" i="11" l="1"/>
  <c r="AV144" i="11"/>
  <c r="AV172" i="11" s="1"/>
  <c r="AV82" i="22"/>
  <c r="AV55" i="22"/>
  <c r="AV77" i="22"/>
  <c r="AV39" i="22"/>
  <c r="AV42" i="22" s="1"/>
  <c r="AV44" i="22" s="1"/>
  <c r="O116" i="29"/>
  <c r="M39" i="34"/>
  <c r="M40" i="34" s="1"/>
  <c r="AW77" i="11"/>
  <c r="AW81" i="11" s="1"/>
  <c r="O118" i="29" l="1"/>
  <c r="O146" i="29" s="1"/>
  <c r="O80" i="22"/>
  <c r="O82" i="22" s="1"/>
  <c r="AV58" i="22"/>
  <c r="AW114" i="11"/>
  <c r="AW115" i="11" s="1"/>
  <c r="AW140" i="11" s="1"/>
  <c r="AW52" i="22"/>
  <c r="AW55" i="22" l="1"/>
  <c r="AW77" i="22"/>
  <c r="AW39" i="22"/>
  <c r="AW42" i="22" s="1"/>
  <c r="AW44" i="22" s="1"/>
  <c r="AW142" i="11"/>
  <c r="AX113" i="11"/>
  <c r="N37" i="34"/>
  <c r="AW144" i="11" l="1"/>
  <c r="AW172" i="11" s="1"/>
  <c r="AW82" i="22"/>
  <c r="AW58" i="22"/>
  <c r="AX77" i="11"/>
  <c r="AX81" i="11" s="1"/>
  <c r="AX114" i="11" l="1"/>
  <c r="AX115" i="11" s="1"/>
  <c r="AX140" i="11" s="1"/>
  <c r="AX142" i="11" s="1"/>
  <c r="AX52" i="22"/>
  <c r="N77" i="34"/>
  <c r="N105" i="34"/>
  <c r="AY77" i="11"/>
  <c r="AY81" i="11" s="1"/>
  <c r="AY113" i="11" l="1"/>
  <c r="AX55" i="22"/>
  <c r="AX144" i="11"/>
  <c r="AX172" i="11" s="1"/>
  <c r="AX82" i="22"/>
  <c r="AY114" i="11"/>
  <c r="AY52" i="22"/>
  <c r="AX77" i="22"/>
  <c r="AX39" i="22"/>
  <c r="AX42" i="22" s="1"/>
  <c r="AX44" i="22" s="1"/>
  <c r="N108" i="34"/>
  <c r="N107" i="34"/>
  <c r="P68" i="29"/>
  <c r="P70" i="29" s="1"/>
  <c r="AY115" i="11" l="1"/>
  <c r="AY140" i="11" s="1"/>
  <c r="P48" i="22"/>
  <c r="P52" i="22" s="1"/>
  <c r="P55" i="22" s="1"/>
  <c r="AY77" i="22"/>
  <c r="AY39" i="22"/>
  <c r="AY42" i="22" s="1"/>
  <c r="AY44" i="22" s="1"/>
  <c r="AY55" i="22"/>
  <c r="AX58" i="22"/>
  <c r="P91" i="29"/>
  <c r="P92" i="29" s="1"/>
  <c r="Q90" i="29" s="1"/>
  <c r="AY142" i="11"/>
  <c r="N90" i="34"/>
  <c r="AZ113" i="11"/>
  <c r="AZ77" i="11"/>
  <c r="AZ81" i="11" s="1"/>
  <c r="P59" i="22" l="1"/>
  <c r="P58" i="22"/>
  <c r="AY144" i="11"/>
  <c r="AY172" i="11" s="1"/>
  <c r="AY82" i="22"/>
  <c r="AY58" i="22"/>
  <c r="AZ114" i="11"/>
  <c r="AZ115" i="11" s="1"/>
  <c r="AZ140" i="11" s="1"/>
  <c r="AZ52" i="22"/>
  <c r="N78" i="34"/>
  <c r="N80" i="34" s="1"/>
  <c r="N39" i="34"/>
  <c r="N40" i="34" s="1"/>
  <c r="N93" i="34"/>
  <c r="N92" i="34"/>
  <c r="N15" i="34"/>
  <c r="N17" i="34" s="1"/>
  <c r="N115" i="34"/>
  <c r="N24" i="34"/>
  <c r="AZ142" i="11" l="1"/>
  <c r="AZ77" i="22"/>
  <c r="AZ39" i="22"/>
  <c r="AZ42" i="22" s="1"/>
  <c r="AZ44" i="22" s="1"/>
  <c r="AZ55" i="22"/>
  <c r="BA77" i="11"/>
  <c r="BA81" i="11" s="1"/>
  <c r="BA113" i="11"/>
  <c r="AZ58" i="22" l="1"/>
  <c r="BA114" i="11"/>
  <c r="BA115" i="11" s="1"/>
  <c r="BA140" i="11" s="1"/>
  <c r="BA52" i="22"/>
  <c r="AZ144" i="11"/>
  <c r="AZ172" i="11" s="1"/>
  <c r="AZ82" i="22"/>
  <c r="P116" i="29"/>
  <c r="P118" i="29" l="1"/>
  <c r="P146" i="29" s="1"/>
  <c r="P80" i="22"/>
  <c r="P82" i="22" s="1"/>
  <c r="BA77" i="22"/>
  <c r="BA39" i="22"/>
  <c r="BA42" i="22" s="1"/>
  <c r="BA44" i="22" s="1"/>
  <c r="BA55" i="22"/>
  <c r="BA142" i="11"/>
  <c r="O37" i="34"/>
  <c r="BB113" i="11"/>
  <c r="BB77" i="11"/>
  <c r="BB81" i="11" s="1"/>
  <c r="BB114" i="11" l="1"/>
  <c r="BB52" i="22"/>
  <c r="BA144" i="11"/>
  <c r="BA172" i="11" s="1"/>
  <c r="BA82" i="22"/>
  <c r="BA58" i="22"/>
  <c r="BB115" i="11"/>
  <c r="BB140" i="11" s="1"/>
  <c r="BB142" i="11" l="1"/>
  <c r="BB77" i="22"/>
  <c r="BB39" i="22"/>
  <c r="BB42" i="22" s="1"/>
  <c r="BB44" i="22" s="1"/>
  <c r="BB55" i="22"/>
  <c r="BC113" i="11"/>
  <c r="O105" i="34"/>
  <c r="O77" i="34"/>
  <c r="BC77" i="11"/>
  <c r="BC81" i="11" s="1"/>
  <c r="BB58" i="22" l="1"/>
  <c r="BC114" i="11"/>
  <c r="BC52" i="22"/>
  <c r="BB144" i="11"/>
  <c r="BB172" i="11" s="1"/>
  <c r="BB82" i="22"/>
  <c r="BC115" i="11"/>
  <c r="BC140" i="11" s="1"/>
  <c r="O107" i="34"/>
  <c r="O108" i="34"/>
  <c r="Q68" i="29"/>
  <c r="Q70" i="29" s="1"/>
  <c r="Q48" i="22" l="1"/>
  <c r="Q52" i="22" s="1"/>
  <c r="Q55" i="22" s="1"/>
  <c r="BC55" i="22"/>
  <c r="BC142" i="11"/>
  <c r="BC77" i="22"/>
  <c r="BC39" i="22"/>
  <c r="BC42" i="22" s="1"/>
  <c r="BC44" i="22" s="1"/>
  <c r="Q91" i="29"/>
  <c r="Q92" i="29" s="1"/>
  <c r="R90" i="29" s="1"/>
  <c r="BD113" i="11"/>
  <c r="O90" i="34"/>
  <c r="BD77" i="11"/>
  <c r="BD81" i="11" s="1"/>
  <c r="Q58" i="22" l="1"/>
  <c r="Q59" i="22"/>
  <c r="BD114" i="11"/>
  <c r="BD115" i="11" s="1"/>
  <c r="BD140" i="11" s="1"/>
  <c r="BD142" i="11" s="1"/>
  <c r="BD52" i="22"/>
  <c r="BC144" i="11"/>
  <c r="BC172" i="11" s="1"/>
  <c r="BC82" i="22"/>
  <c r="BC58" i="22"/>
  <c r="O78" i="34"/>
  <c r="O80" i="34" s="1"/>
  <c r="O92" i="34"/>
  <c r="O93" i="34"/>
  <c r="O15" i="34"/>
  <c r="O17" i="34" s="1"/>
  <c r="O115" i="34"/>
  <c r="O24" i="34"/>
  <c r="O39" i="34"/>
  <c r="O40" i="34" s="1"/>
  <c r="BE113" i="11" l="1"/>
  <c r="BD144" i="11"/>
  <c r="BD172" i="11" s="1"/>
  <c r="BD82" i="22"/>
  <c r="BD55" i="22"/>
  <c r="BD77" i="22"/>
  <c r="BD39" i="22"/>
  <c r="BD42" i="22" s="1"/>
  <c r="BD44" i="22" s="1"/>
  <c r="Q116" i="29"/>
  <c r="BE77" i="11"/>
  <c r="BE81" i="11" s="1"/>
  <c r="Q118" i="29" l="1"/>
  <c r="Q146" i="29" s="1"/>
  <c r="Q80" i="22"/>
  <c r="Q82" i="22" s="1"/>
  <c r="BD58" i="22"/>
  <c r="BE114" i="11"/>
  <c r="BE115" i="11" s="1"/>
  <c r="BE140" i="11" s="1"/>
  <c r="BE52" i="22"/>
  <c r="BE55" i="22" l="1"/>
  <c r="BF113" i="11"/>
  <c r="BE77" i="22"/>
  <c r="BE39" i="22"/>
  <c r="BE42" i="22" s="1"/>
  <c r="BE44" i="22" s="1"/>
  <c r="BE142" i="11"/>
  <c r="BF77" i="11"/>
  <c r="BF81" i="11" s="1"/>
  <c r="BE144" i="11" l="1"/>
  <c r="BE172" i="11" s="1"/>
  <c r="BE82" i="22"/>
  <c r="BF114" i="11"/>
  <c r="BF115" i="11" s="1"/>
  <c r="BF140" i="11" s="1"/>
  <c r="BF142" i="11" s="1"/>
  <c r="BF52" i="22"/>
  <c r="BE58" i="22"/>
  <c r="P37" i="34"/>
  <c r="BF144" i="11" l="1"/>
  <c r="BF172" i="11" s="1"/>
  <c r="BF82" i="22"/>
  <c r="BF39" i="22"/>
  <c r="BF42" i="22" s="1"/>
  <c r="BF44" i="22" s="1"/>
  <c r="BF77" i="22"/>
  <c r="BF55" i="22"/>
  <c r="BG113" i="11"/>
  <c r="BF58" i="22" l="1"/>
  <c r="P77" i="34"/>
  <c r="P105" i="34" l="1"/>
  <c r="BG77" i="11"/>
  <c r="BG81" i="11" s="1"/>
  <c r="BH77" i="11"/>
  <c r="BH81" i="11" s="1"/>
  <c r="BH114" i="11" l="1"/>
  <c r="BH52" i="22"/>
  <c r="BH55" i="22" s="1"/>
  <c r="BG114" i="11"/>
  <c r="BG115" i="11" s="1"/>
  <c r="BG140" i="11" s="1"/>
  <c r="BG52" i="22"/>
  <c r="P107" i="34"/>
  <c r="P108" i="34"/>
  <c r="P90" i="34"/>
  <c r="R68" i="29"/>
  <c r="R70" i="29" s="1"/>
  <c r="R48" i="22" l="1"/>
  <c r="R52" i="22" s="1"/>
  <c r="R55" i="22" s="1"/>
  <c r="BG142" i="11"/>
  <c r="BH113" i="11"/>
  <c r="BH115" i="11" s="1"/>
  <c r="BH140" i="11" s="1"/>
  <c r="BH142" i="11" s="1"/>
  <c r="BH58" i="22"/>
  <c r="BH39" i="22"/>
  <c r="BH42" i="22" s="1"/>
  <c r="BH44" i="22" s="1"/>
  <c r="BG144" i="11"/>
  <c r="BG172" i="11" s="1"/>
  <c r="BG82" i="22"/>
  <c r="BG55" i="22"/>
  <c r="BG77" i="22"/>
  <c r="BG39" i="22"/>
  <c r="BG42" i="22" s="1"/>
  <c r="BG44" i="22" s="1"/>
  <c r="R91" i="29"/>
  <c r="R92" i="29" s="1"/>
  <c r="S90" i="29" s="1"/>
  <c r="P115" i="34"/>
  <c r="P24" i="34"/>
  <c r="P15" i="34"/>
  <c r="P17" i="34" s="1"/>
  <c r="P92" i="34"/>
  <c r="P93" i="34"/>
  <c r="P39" i="34"/>
  <c r="P40" i="34" s="1"/>
  <c r="R59" i="22" l="1"/>
  <c r="R58" i="22"/>
  <c r="BI113" i="11"/>
  <c r="BH77" i="22"/>
  <c r="BG58" i="22"/>
  <c r="BH144" i="11"/>
  <c r="BH172" i="11" s="1"/>
  <c r="BH82" i="22"/>
  <c r="P78" i="34"/>
  <c r="P80" i="34" s="1"/>
  <c r="R116" i="29"/>
  <c r="R118" i="29" l="1"/>
  <c r="R146" i="29" s="1"/>
  <c r="R80" i="22"/>
  <c r="R82" i="22" s="1"/>
  <c r="BI77" i="11"/>
  <c r="BI81" i="11" s="1"/>
  <c r="BI114" i="11" l="1"/>
  <c r="BI115" i="11" s="1"/>
  <c r="BI140" i="11" s="1"/>
  <c r="BI142" i="11" s="1"/>
  <c r="BI52" i="22"/>
  <c r="BJ113" i="11" l="1"/>
  <c r="BI55" i="22"/>
  <c r="BI144" i="11"/>
  <c r="BI172" i="11" s="1"/>
  <c r="BI82" i="22"/>
  <c r="BI77" i="22"/>
  <c r="BI39" i="22"/>
  <c r="BI42" i="22" s="1"/>
  <c r="BI44" i="22" s="1"/>
  <c r="Q37" i="34"/>
  <c r="BJ77" i="11"/>
  <c r="BJ81" i="11" s="1"/>
  <c r="BI58" i="22" l="1"/>
  <c r="BJ114" i="11"/>
  <c r="BJ115" i="11" s="1"/>
  <c r="BJ140" i="11" s="1"/>
  <c r="BJ52" i="22"/>
  <c r="BJ142" i="11" l="1"/>
  <c r="BJ144" i="11" s="1"/>
  <c r="BJ172" i="11" s="1"/>
  <c r="BK113" i="11"/>
  <c r="BJ82" i="22"/>
  <c r="BJ77" i="22"/>
  <c r="BJ39" i="22"/>
  <c r="BJ42" i="22" s="1"/>
  <c r="BJ44" i="22" s="1"/>
  <c r="BJ55" i="22"/>
  <c r="Q105" i="34"/>
  <c r="Q77" i="34"/>
  <c r="BK77" i="11"/>
  <c r="BK81" i="11" s="1"/>
  <c r="BK114" i="11" l="1"/>
  <c r="BK115" i="11" s="1"/>
  <c r="BK140" i="11" s="1"/>
  <c r="BK142" i="11" s="1"/>
  <c r="BK52" i="22"/>
  <c r="BJ58" i="22"/>
  <c r="G55" i="34"/>
  <c r="I55" i="34"/>
  <c r="J55" i="34"/>
  <c r="K55" i="34"/>
  <c r="L55" i="34"/>
  <c r="M55" i="34"/>
  <c r="N55" i="34"/>
  <c r="O55" i="34"/>
  <c r="P55" i="34"/>
  <c r="Q107" i="34"/>
  <c r="Q108" i="34"/>
  <c r="E55" i="34"/>
  <c r="S68" i="29"/>
  <c r="S70" i="29" s="1"/>
  <c r="BL113" i="11" l="1"/>
  <c r="S48" i="22"/>
  <c r="S52" i="22" s="1"/>
  <c r="S55" i="22" s="1"/>
  <c r="BK144" i="11"/>
  <c r="BK172" i="11" s="1"/>
  <c r="BK82" i="22"/>
  <c r="BK55" i="22"/>
  <c r="BK77" i="22"/>
  <c r="BK39" i="22"/>
  <c r="BK42" i="22" s="1"/>
  <c r="BK44" i="22" s="1"/>
  <c r="S91" i="29"/>
  <c r="S92" i="29" s="1"/>
  <c r="T90" i="29" s="1"/>
  <c r="D90" i="29" s="1"/>
  <c r="Q90" i="34"/>
  <c r="R105" i="34"/>
  <c r="BL77" i="11"/>
  <c r="BL81" i="11" s="1"/>
  <c r="H55" i="34"/>
  <c r="D12" i="31"/>
  <c r="D55" i="34" s="1"/>
  <c r="S58" i="22" l="1"/>
  <c r="S59" i="22"/>
  <c r="BK58" i="22"/>
  <c r="BL114" i="11"/>
  <c r="BL115" i="11" s="1"/>
  <c r="BL140" i="11" s="1"/>
  <c r="BL142" i="11" s="1"/>
  <c r="BL52" i="22"/>
  <c r="Q78" i="34"/>
  <c r="Q80" i="34" s="1"/>
  <c r="Q93" i="34"/>
  <c r="Q92" i="34"/>
  <c r="Q24" i="34"/>
  <c r="Q15" i="34"/>
  <c r="Q17" i="34" s="1"/>
  <c r="Q115" i="34"/>
  <c r="Q39" i="34"/>
  <c r="Q40" i="34" s="1"/>
  <c r="R37" i="34"/>
  <c r="F45" i="34"/>
  <c r="F47" i="34"/>
  <c r="E47" i="34"/>
  <c r="R107" i="34"/>
  <c r="R108" i="34"/>
  <c r="BM113" i="11" l="1"/>
  <c r="BL144" i="11"/>
  <c r="BL172" i="11" s="1"/>
  <c r="BL82" i="22"/>
  <c r="BL55" i="22"/>
  <c r="BL77" i="22"/>
  <c r="BL39" i="22"/>
  <c r="BL42" i="22" s="1"/>
  <c r="BL44" i="22" s="1"/>
  <c r="S116" i="29"/>
  <c r="C47" i="34"/>
  <c r="D45" i="34"/>
  <c r="C45" i="34"/>
  <c r="BM77" i="11"/>
  <c r="BM81" i="11" s="1"/>
  <c r="D77" i="11"/>
  <c r="E45" i="34"/>
  <c r="F48" i="34"/>
  <c r="E48" i="34"/>
  <c r="R77" i="34"/>
  <c r="D81" i="11" l="1"/>
  <c r="D78" i="11"/>
  <c r="D79" i="11" s="1"/>
  <c r="S118" i="29"/>
  <c r="S146" i="29" s="1"/>
  <c r="S80" i="22"/>
  <c r="S82" i="22" s="1"/>
  <c r="BM114" i="11"/>
  <c r="D114" i="11" s="1"/>
  <c r="D115" i="11" s="1"/>
  <c r="BM52" i="22"/>
  <c r="BL58" i="22"/>
  <c r="D47" i="34"/>
  <c r="T68" i="29"/>
  <c r="T70" i="29" s="1"/>
  <c r="T48" i="22" l="1"/>
  <c r="T52" i="22" s="1"/>
  <c r="T55" i="22" s="1"/>
  <c r="BM115" i="11"/>
  <c r="BM140" i="11" s="1"/>
  <c r="BM142" i="11" s="1"/>
  <c r="BM77" i="22"/>
  <c r="BM39" i="22"/>
  <c r="BM42" i="22" s="1"/>
  <c r="BM44" i="22" s="1"/>
  <c r="BM55" i="22"/>
  <c r="T91" i="29"/>
  <c r="D91" i="29" s="1"/>
  <c r="D92" i="29" s="1"/>
  <c r="C48" i="34"/>
  <c r="D48" i="34"/>
  <c r="T116" i="29"/>
  <c r="T118" i="29" l="1"/>
  <c r="T146" i="29" s="1"/>
  <c r="C148" i="29" s="1"/>
  <c r="T80" i="22"/>
  <c r="T82" i="22" s="1"/>
  <c r="AB59" i="22"/>
  <c r="AO59" i="22"/>
  <c r="AZ59" i="22"/>
  <c r="BL59" i="22"/>
  <c r="AW59" i="22"/>
  <c r="AR59" i="22"/>
  <c r="BG59" i="22"/>
  <c r="AH59" i="22"/>
  <c r="Y59" i="22"/>
  <c r="AC59" i="22"/>
  <c r="AP59" i="22"/>
  <c r="AQ59" i="22"/>
  <c r="BH59" i="22"/>
  <c r="AK59" i="22"/>
  <c r="AU59" i="22"/>
  <c r="AA59" i="22"/>
  <c r="T59" i="22"/>
  <c r="AE59" i="22"/>
  <c r="AS59" i="22"/>
  <c r="BB59" i="22"/>
  <c r="X59" i="22"/>
  <c r="AT59" i="22"/>
  <c r="Z59" i="22"/>
  <c r="AM59" i="22"/>
  <c r="T58" i="22"/>
  <c r="AF59" i="22"/>
  <c r="BA59" i="22"/>
  <c r="U59" i="22"/>
  <c r="BI59" i="22"/>
  <c r="BJ59" i="22"/>
  <c r="AG59" i="22"/>
  <c r="AX59" i="22"/>
  <c r="AJ59" i="22"/>
  <c r="AD59" i="22"/>
  <c r="V59" i="22"/>
  <c r="AI59" i="22"/>
  <c r="W59" i="22"/>
  <c r="AL59" i="22"/>
  <c r="BD59" i="22"/>
  <c r="AV59" i="22"/>
  <c r="AY59" i="22"/>
  <c r="BC59" i="22"/>
  <c r="BF59" i="22"/>
  <c r="BE59" i="22"/>
  <c r="AN59" i="22"/>
  <c r="BK59" i="22"/>
  <c r="BM59" i="22"/>
  <c r="D118" i="11"/>
  <c r="G23" i="21" s="1"/>
  <c r="T92" i="29"/>
  <c r="C94" i="29" s="1"/>
  <c r="R117" i="34"/>
  <c r="C117" i="34"/>
  <c r="D117" i="34"/>
  <c r="E117" i="34"/>
  <c r="F117" i="34"/>
  <c r="G117" i="34"/>
  <c r="H117" i="34"/>
  <c r="I117" i="34"/>
  <c r="J117" i="34"/>
  <c r="K117" i="34"/>
  <c r="L117" i="34"/>
  <c r="M117" i="34"/>
  <c r="N117" i="34"/>
  <c r="O117" i="34"/>
  <c r="P117" i="34"/>
  <c r="Q117" i="34"/>
  <c r="C112" i="34"/>
  <c r="D112" i="34"/>
  <c r="E112" i="34"/>
  <c r="F112" i="34"/>
  <c r="G112" i="34"/>
  <c r="H112" i="34"/>
  <c r="I112" i="34"/>
  <c r="J112" i="34"/>
  <c r="K112" i="34"/>
  <c r="L112" i="34"/>
  <c r="M112" i="34"/>
  <c r="N112" i="34"/>
  <c r="O112" i="34"/>
  <c r="P112" i="34"/>
  <c r="Q112" i="34"/>
  <c r="R112" i="34"/>
  <c r="BM58" i="22"/>
  <c r="R19" i="34"/>
  <c r="R120" i="34"/>
  <c r="BM144" i="11"/>
  <c r="BM172" i="11" s="1"/>
  <c r="D175" i="11" s="1"/>
  <c r="G24" i="21" s="1"/>
  <c r="BM82" i="22"/>
  <c r="R78" i="34"/>
  <c r="R80" i="34" s="1"/>
  <c r="R90" i="34"/>
  <c r="R39" i="34"/>
  <c r="R40" i="34" s="1"/>
  <c r="I120" i="34" l="1"/>
  <c r="I19" i="34"/>
  <c r="H19" i="34"/>
  <c r="H120" i="34"/>
  <c r="G19" i="34"/>
  <c r="G120" i="34"/>
  <c r="F19" i="34"/>
  <c r="F120" i="34"/>
  <c r="Q120" i="34"/>
  <c r="Q19" i="34"/>
  <c r="E120" i="34"/>
  <c r="E19" i="34"/>
  <c r="R20" i="34"/>
  <c r="P19" i="34"/>
  <c r="P120" i="34"/>
  <c r="D120" i="34"/>
  <c r="D19" i="34"/>
  <c r="O120" i="34"/>
  <c r="O19" i="34"/>
  <c r="C120" i="34"/>
  <c r="C19" i="34"/>
  <c r="N19" i="34"/>
  <c r="N120" i="34"/>
  <c r="M19" i="34"/>
  <c r="M120" i="34"/>
  <c r="R22" i="34"/>
  <c r="C22" i="34"/>
  <c r="D22" i="34"/>
  <c r="E22" i="34"/>
  <c r="F22" i="34"/>
  <c r="G22" i="34"/>
  <c r="H22" i="34"/>
  <c r="I22" i="34"/>
  <c r="J22" i="34"/>
  <c r="K22" i="34"/>
  <c r="L22" i="34"/>
  <c r="M22" i="34"/>
  <c r="N22" i="34"/>
  <c r="O22" i="34"/>
  <c r="P22" i="34"/>
  <c r="Q22" i="34"/>
  <c r="L120" i="34"/>
  <c r="L19" i="34"/>
  <c r="K120" i="34"/>
  <c r="K19" i="34"/>
  <c r="J120" i="34"/>
  <c r="J19" i="34"/>
  <c r="R121" i="34"/>
  <c r="R21" i="34"/>
  <c r="R119" i="34"/>
  <c r="R93" i="34"/>
  <c r="R92" i="34"/>
  <c r="R15" i="34"/>
  <c r="R17" i="34" s="1"/>
  <c r="R24" i="34"/>
  <c r="R115" i="34"/>
  <c r="M20" i="34" l="1"/>
  <c r="M121" i="34"/>
  <c r="L20" i="34"/>
  <c r="L121" i="34"/>
  <c r="K20" i="34"/>
  <c r="K121" i="34"/>
  <c r="J121" i="34"/>
  <c r="J20" i="34"/>
  <c r="I20" i="34"/>
  <c r="I121" i="34"/>
  <c r="H20" i="34"/>
  <c r="H121" i="34"/>
  <c r="G20" i="34"/>
  <c r="G121" i="34"/>
  <c r="F20" i="34"/>
  <c r="F121" i="34"/>
  <c r="Q20" i="34"/>
  <c r="Q121" i="34"/>
  <c r="E20" i="34"/>
  <c r="E121" i="34"/>
  <c r="P121" i="34"/>
  <c r="P20" i="34"/>
  <c r="D121" i="34"/>
  <c r="D20" i="34"/>
  <c r="O20" i="34"/>
  <c r="O121" i="34"/>
  <c r="C121" i="34"/>
  <c r="C20" i="34"/>
  <c r="N20" i="34"/>
  <c r="N121" i="34"/>
  <c r="G21" i="34"/>
  <c r="G119" i="34"/>
  <c r="K21" i="34"/>
  <c r="K119" i="34"/>
  <c r="F21" i="34"/>
  <c r="F119" i="34"/>
  <c r="M21" i="34"/>
  <c r="M119" i="34"/>
  <c r="J119" i="34"/>
  <c r="J21" i="34"/>
  <c r="H119" i="34"/>
  <c r="H21" i="34"/>
  <c r="E21" i="34"/>
  <c r="E119" i="34"/>
  <c r="L21" i="34"/>
  <c r="L119" i="34"/>
  <c r="D119" i="34"/>
  <c r="D21" i="34"/>
  <c r="Q21" i="34"/>
  <c r="Q119" i="34"/>
  <c r="O119" i="34"/>
  <c r="O21" i="34"/>
  <c r="C119" i="34"/>
  <c r="C21" i="34"/>
  <c r="I21" i="34"/>
  <c r="I119" i="34"/>
  <c r="P21" i="34"/>
  <c r="P119" i="34"/>
  <c r="N21" i="34"/>
  <c r="N119" i="34"/>
  <c r="G28" i="21"/>
  <c r="H4" i="29" l="1"/>
  <c r="E4" i="29" s="1"/>
  <c r="G4" i="21"/>
  <c r="D4" i="21" s="1"/>
  <c r="H4" i="22"/>
  <c r="E4" i="22" s="1"/>
  <c r="H4" i="11"/>
  <c r="E4" i="11" s="1"/>
  <c r="H4" i="4"/>
  <c r="E4" i="4" s="1"/>
  <c r="H4" i="16"/>
  <c r="E4" i="16" s="1"/>
  <c r="I86" i="31"/>
  <c r="H86" i="31"/>
  <c r="G86" i="31"/>
  <c r="D38" i="11"/>
  <c r="D39" i="11" s="1"/>
  <c r="E32" i="29"/>
  <c r="E33" i="29" s="1"/>
  <c r="E29" i="22" l="1"/>
  <c r="E33" i="22" s="1"/>
  <c r="E34" i="22" s="1"/>
  <c r="F86" i="31" s="1"/>
  <c r="D32" i="29"/>
  <c r="D33" i="29" s="1"/>
  <c r="E43" i="22" l="1"/>
  <c r="E44" i="22" s="1"/>
  <c r="F87" i="31" s="1"/>
  <c r="F34" i="31"/>
  <c r="F35" i="31" s="1"/>
</calcChain>
</file>

<file path=xl/sharedStrings.xml><?xml version="1.0" encoding="utf-8"?>
<sst xmlns="http://schemas.openxmlformats.org/spreadsheetml/2006/main" count="1568" uniqueCount="803">
  <si>
    <t>Уважаемый заявитель!</t>
  </si>
  <si>
    <t>Предпосылки</t>
  </si>
  <si>
    <t>Наименование проекта</t>
  </si>
  <si>
    <t>Длительность прогнозного периода, кварталов</t>
  </si>
  <si>
    <t>Дата начала прогнозного периода</t>
  </si>
  <si>
    <t>Дата завершения прогнозного периода</t>
  </si>
  <si>
    <t>Месяцев в квартале</t>
  </si>
  <si>
    <t>Ячейки итогов</t>
  </si>
  <si>
    <t>Ячейки заголовков</t>
  </si>
  <si>
    <t>Наименование</t>
  </si>
  <si>
    <t>Единица измерения денежных потоков</t>
  </si>
  <si>
    <t>тыс. руб.</t>
  </si>
  <si>
    <t>Итого</t>
  </si>
  <si>
    <t>Ед. изм.</t>
  </si>
  <si>
    <t>Источник</t>
  </si>
  <si>
    <t>Привлечение займа</t>
  </si>
  <si>
    <t>Погашение займа</t>
  </si>
  <si>
    <t>Фонд развития промышленности</t>
  </si>
  <si>
    <t>Наименование программы</t>
  </si>
  <si>
    <t>Производительность труда</t>
  </si>
  <si>
    <t>Цифровизация промышленности</t>
  </si>
  <si>
    <t>Лизинг</t>
  </si>
  <si>
    <t>Станкостроение</t>
  </si>
  <si>
    <t>Минимальная сумма займа, тыс. руб.</t>
  </si>
  <si>
    <t>Максимальная сумма займа, тыс. руб.</t>
  </si>
  <si>
    <t>Программа финансирования</t>
  </si>
  <si>
    <t>Собственные средства</t>
  </si>
  <si>
    <t>Доля, %</t>
  </si>
  <si>
    <t>Параметры займа</t>
  </si>
  <si>
    <t>Базовая процентная ставка, % годовых</t>
  </si>
  <si>
    <t>Дата погашения займа</t>
  </si>
  <si>
    <t>Дата процентного платежа</t>
  </si>
  <si>
    <t>Требуемое обеспечение, тыс. руб.</t>
  </si>
  <si>
    <t>Сумма займа, тыс. руб.</t>
  </si>
  <si>
    <t>График обслуживания займа</t>
  </si>
  <si>
    <t>Сумма процентного платежа, тыс. руб.</t>
  </si>
  <si>
    <t>Ежеквартальный платеж, тыс. руб.</t>
  </si>
  <si>
    <t>Месяцев в году</t>
  </si>
  <si>
    <t>Кварталов в году</t>
  </si>
  <si>
    <t>График погашения тела займа</t>
  </si>
  <si>
    <t>Дата погашения тела займа</t>
  </si>
  <si>
    <t>Максимальный срок займа, месяцев</t>
  </si>
  <si>
    <t>Программы финансирования</t>
  </si>
  <si>
    <t>Основные условия</t>
  </si>
  <si>
    <t>Условия для использования льготных процентных ставок</t>
  </si>
  <si>
    <t>Условия</t>
  </si>
  <si>
    <t>Величина льготной ставки, % годовых</t>
  </si>
  <si>
    <t>Длительность использования льготной ставки, месяцев</t>
  </si>
  <si>
    <t>Доля софинансирования, %</t>
  </si>
  <si>
    <t>в т.ч. за счет собственных средств, %</t>
  </si>
  <si>
    <t>Минимальный бюджет и минимальная сумма финансирования проекта собственными средствами</t>
  </si>
  <si>
    <t>Лизинг (обрабатывающие производства)</t>
  </si>
  <si>
    <t>№ календарного квартала</t>
  </si>
  <si>
    <t>Год</t>
  </si>
  <si>
    <t>Сведения об источнике</t>
  </si>
  <si>
    <t>Наименование кредитора/займодавца</t>
  </si>
  <si>
    <t>Процентная ставка, % годовых</t>
  </si>
  <si>
    <t>Привлечение кредита/займа</t>
  </si>
  <si>
    <t>Погашение кредита/займа</t>
  </si>
  <si>
    <t>Источники</t>
  </si>
  <si>
    <t>Макроэкономика</t>
  </si>
  <si>
    <t>Налоги</t>
  </si>
  <si>
    <t>Параметр</t>
  </si>
  <si>
    <t>Финансирование</t>
  </si>
  <si>
    <t>Капитальные вложения</t>
  </si>
  <si>
    <t>Сальдо на начало периода</t>
  </si>
  <si>
    <t>Сальдо на конец периода</t>
  </si>
  <si>
    <t>Баланс</t>
  </si>
  <si>
    <t>Внеоборотные активы</t>
  </si>
  <si>
    <t>Основные средства</t>
  </si>
  <si>
    <t>Оборотные активы</t>
  </si>
  <si>
    <t>Запасы</t>
  </si>
  <si>
    <t>НДС по приобретенным ценностям</t>
  </si>
  <si>
    <t>Дебиторская задолженность</t>
  </si>
  <si>
    <t>Денежные средства</t>
  </si>
  <si>
    <t>Итого внеоборотные активы</t>
  </si>
  <si>
    <t>Итого оборотные активы</t>
  </si>
  <si>
    <t>Капитал и резервы</t>
  </si>
  <si>
    <t>Уставный капитал</t>
  </si>
  <si>
    <t>Нераспределенная прибыль (непокрытый убыток)</t>
  </si>
  <si>
    <t>Итого активы</t>
  </si>
  <si>
    <t>Заемные средства</t>
  </si>
  <si>
    <t>Кредиторская задолженность</t>
  </si>
  <si>
    <t>Итого пассивы</t>
  </si>
  <si>
    <t>Проверка балансового равенства</t>
  </si>
  <si>
    <t>Активы - Пассивы</t>
  </si>
  <si>
    <t>Отчет о финансовых результатах</t>
  </si>
  <si>
    <t>Выручка</t>
  </si>
  <si>
    <t>Валовая прибыль (убыток)</t>
  </si>
  <si>
    <t>Прибыль (убыток) от продаж</t>
  </si>
  <si>
    <r>
      <t xml:space="preserve">Коммерческие расходы </t>
    </r>
    <r>
      <rPr>
        <sz val="11"/>
        <color rgb="FFFF0000"/>
        <rFont val="Calibri"/>
        <family val="2"/>
        <charset val="204"/>
        <scheme val="minor"/>
      </rPr>
      <t>(-)</t>
    </r>
  </si>
  <si>
    <r>
      <t xml:space="preserve">Управленческие расходы </t>
    </r>
    <r>
      <rPr>
        <sz val="11"/>
        <color rgb="FFFF0000"/>
        <rFont val="Calibri"/>
        <family val="2"/>
        <charset val="204"/>
        <scheme val="minor"/>
      </rPr>
      <t>(-)</t>
    </r>
  </si>
  <si>
    <r>
      <t>Себестоимость продаж</t>
    </r>
    <r>
      <rPr>
        <sz val="11"/>
        <color rgb="FFFF0000"/>
        <rFont val="Calibri"/>
        <family val="2"/>
        <charset val="204"/>
        <scheme val="minor"/>
      </rPr>
      <t xml:space="preserve"> (-)</t>
    </r>
  </si>
  <si>
    <t>Проценты к получению</t>
  </si>
  <si>
    <t>Прочие доходы</t>
  </si>
  <si>
    <r>
      <t xml:space="preserve">Проценты к уплате </t>
    </r>
    <r>
      <rPr>
        <sz val="11"/>
        <color rgb="FFFF0000"/>
        <rFont val="Calibri"/>
        <family val="2"/>
        <charset val="204"/>
        <scheme val="minor"/>
      </rPr>
      <t>(-)</t>
    </r>
  </si>
  <si>
    <r>
      <t xml:space="preserve">Прочие расходы </t>
    </r>
    <r>
      <rPr>
        <sz val="11"/>
        <color rgb="FFFF0000"/>
        <rFont val="Calibri"/>
        <family val="2"/>
        <charset val="204"/>
        <scheme val="minor"/>
      </rPr>
      <t>(-)</t>
    </r>
  </si>
  <si>
    <t>Прибыль (убыток) до налогообложения</t>
  </si>
  <si>
    <r>
      <t xml:space="preserve">Налог на прибыль </t>
    </r>
    <r>
      <rPr>
        <sz val="11"/>
        <color rgb="FFFF0000"/>
        <rFont val="Calibri"/>
        <family val="2"/>
        <charset val="204"/>
        <scheme val="minor"/>
      </rPr>
      <t>(-)</t>
    </r>
  </si>
  <si>
    <t>Чистая прибыль (убыток)</t>
  </si>
  <si>
    <t>%</t>
  </si>
  <si>
    <t>Отчет о движении денежных средств</t>
  </si>
  <si>
    <t>Денежный поток по операционной деятельности</t>
  </si>
  <si>
    <t>Продажи</t>
  </si>
  <si>
    <r>
      <t xml:space="preserve">Уплата налога на прибыль </t>
    </r>
    <r>
      <rPr>
        <sz val="11"/>
        <color rgb="FFFF0000"/>
        <rFont val="Calibri"/>
        <family val="2"/>
        <charset val="204"/>
        <scheme val="minor"/>
      </rPr>
      <t>(-)</t>
    </r>
  </si>
  <si>
    <t>Денежный поток по инвестиционной деятельности</t>
  </si>
  <si>
    <r>
      <t xml:space="preserve">Платежи по капитальным вложениям </t>
    </r>
    <r>
      <rPr>
        <sz val="11"/>
        <color rgb="FFFF0000"/>
        <rFont val="Calibri"/>
        <family val="2"/>
        <charset val="204"/>
        <scheme val="minor"/>
      </rPr>
      <t>(-)</t>
    </r>
  </si>
  <si>
    <t>Денежный поток по финансовой деятельности</t>
  </si>
  <si>
    <t>Погашение кредитов и займов</t>
  </si>
  <si>
    <t>Итого операционный денежный поток</t>
  </si>
  <si>
    <t>Итого инвестиционный денежный поток</t>
  </si>
  <si>
    <t>Итого финансовый денежный поток</t>
  </si>
  <si>
    <t>ОСВ: Денежные средства</t>
  </si>
  <si>
    <t>Изменение д/с за период</t>
  </si>
  <si>
    <t>Остаток д/с на начало периода</t>
  </si>
  <si>
    <t>Остаток д/с на конец периода</t>
  </si>
  <si>
    <t>Проверка отсутствия отрицательных остатков</t>
  </si>
  <si>
    <t>Начисление процентов</t>
  </si>
  <si>
    <t>Погашение долга</t>
  </si>
  <si>
    <t>Привлечение долга в Проект</t>
  </si>
  <si>
    <t>Параметры реализуемой продукции</t>
  </si>
  <si>
    <t>Оборотный капитал</t>
  </si>
  <si>
    <t>Проверка</t>
  </si>
  <si>
    <t>Результат</t>
  </si>
  <si>
    <t>Проверка корректности финансовой модели</t>
  </si>
  <si>
    <t>Процентная ставка (квартал)</t>
  </si>
  <si>
    <t>Показатели инвестиционной оценки</t>
  </si>
  <si>
    <t>Чувствительность</t>
  </si>
  <si>
    <t>Параметры</t>
  </si>
  <si>
    <t>Амортизация</t>
  </si>
  <si>
    <t>EBITDA</t>
  </si>
  <si>
    <t>Проценты к уплате</t>
  </si>
  <si>
    <t>EBIT</t>
  </si>
  <si>
    <t>CFADS</t>
  </si>
  <si>
    <t>Привлечение долга</t>
  </si>
  <si>
    <t>EBIT/Проценты</t>
  </si>
  <si>
    <t>Коэффициент покрытия долга (DSCR)</t>
  </si>
  <si>
    <t>DSCR</t>
  </si>
  <si>
    <t>Выплата процентов</t>
  </si>
  <si>
    <t>Долг / EBITDA</t>
  </si>
  <si>
    <t>Финансовый долг</t>
  </si>
  <si>
    <t>Чистый долг / EBITDA</t>
  </si>
  <si>
    <t>Коэффициент абсолютной ликвидности</t>
  </si>
  <si>
    <t>Коэффициент текущей ликвидности</t>
  </si>
  <si>
    <t>Краткосрочные обязательства</t>
  </si>
  <si>
    <t>Валовая рентабельность</t>
  </si>
  <si>
    <t>доли 1</t>
  </si>
  <si>
    <t>Рентабельность продаж</t>
  </si>
  <si>
    <t>Рентабельность по чистой прибыли</t>
  </si>
  <si>
    <t>Чистая рентабельность</t>
  </si>
  <si>
    <t>Рентабельность по EBIT</t>
  </si>
  <si>
    <t>Рентабельность по EBITDA</t>
  </si>
  <si>
    <t>Отклонение</t>
  </si>
  <si>
    <t>NPV, тыс. руб.</t>
  </si>
  <si>
    <t>DPBP, лет</t>
  </si>
  <si>
    <t>Показатели</t>
  </si>
  <si>
    <t>USD</t>
  </si>
  <si>
    <t>EUR</t>
  </si>
  <si>
    <t>Курсы валют</t>
  </si>
  <si>
    <t>RUB</t>
  </si>
  <si>
    <t>Дополнительная валюта №1</t>
  </si>
  <si>
    <t>Дополнительная валюта №2</t>
  </si>
  <si>
    <t>Валюта продаж</t>
  </si>
  <si>
    <t>Код валюты</t>
  </si>
  <si>
    <t>Графики</t>
  </si>
  <si>
    <t>Производительность труда с РФРП</t>
  </si>
  <si>
    <t>Мин. финансирование собственными средствами, 
тыс. руб.</t>
  </si>
  <si>
    <t>Мин. бюджет проекта, 
тыс. руб.</t>
  </si>
  <si>
    <t>Проект</t>
  </si>
  <si>
    <t>Привлечение средств займа в Проект</t>
  </si>
  <si>
    <t>Содержание</t>
  </si>
  <si>
    <t>ФОТ</t>
  </si>
  <si>
    <t>Выводы</t>
  </si>
  <si>
    <t>Ед. изм. продукции</t>
  </si>
  <si>
    <t>Изменяемые ячейки</t>
  </si>
  <si>
    <t>Доходы от участия в других организациях</t>
  </si>
  <si>
    <t>Нематериальные активы</t>
  </si>
  <si>
    <t>Результаты исследований и разработок</t>
  </si>
  <si>
    <t>Нематериальные поисковые активы</t>
  </si>
  <si>
    <t>Материальные поисковые активы</t>
  </si>
  <si>
    <t>Доходные вложения в материальные ценности</t>
  </si>
  <si>
    <t>Финансовые вложения</t>
  </si>
  <si>
    <t>Отложенные налоговые активы</t>
  </si>
  <si>
    <t>Прочие внеоборотные активы</t>
  </si>
  <si>
    <t>Денежные средства и денежные эквиваленты</t>
  </si>
  <si>
    <t>Прочие оборотные активы</t>
  </si>
  <si>
    <t>Собственные акции, выкупленные у акционеров</t>
  </si>
  <si>
    <t>Переоценка внеоборотных активов</t>
  </si>
  <si>
    <t>Добавочный капитал (без переоценки)</t>
  </si>
  <si>
    <t>Резервный капитал</t>
  </si>
  <si>
    <t>Долгосрочные обязательства</t>
  </si>
  <si>
    <t>Отложенные налоговые обязательства</t>
  </si>
  <si>
    <t>Оценочные обязательства</t>
  </si>
  <si>
    <t>Прочие обязательства</t>
  </si>
  <si>
    <t>Доходы будущих периодов</t>
  </si>
  <si>
    <t>Поступления</t>
  </si>
  <si>
    <t>Прочие поступления</t>
  </si>
  <si>
    <t>Продажа продукции, товаров, работ, услуг</t>
  </si>
  <si>
    <t>Арендные платежи, лицензионные соглашения, роялти, комиссионные и иные аналогичные платежи платежи</t>
  </si>
  <si>
    <t>Перепродажа финансовых вложений</t>
  </si>
  <si>
    <t>Платежи</t>
  </si>
  <si>
    <r>
      <t xml:space="preserve">Оплата труда работников </t>
    </r>
    <r>
      <rPr>
        <sz val="11"/>
        <color rgb="FFFF0000"/>
        <rFont val="Calibri"/>
        <family val="2"/>
        <charset val="204"/>
        <scheme val="minor"/>
      </rPr>
      <t>(-)</t>
    </r>
  </si>
  <si>
    <r>
      <t xml:space="preserve">Проценты по долговым обязательствам </t>
    </r>
    <r>
      <rPr>
        <sz val="11"/>
        <color rgb="FFFF0000"/>
        <rFont val="Calibri"/>
        <family val="2"/>
        <charset val="204"/>
        <scheme val="minor"/>
      </rPr>
      <t>(-)</t>
    </r>
  </si>
  <si>
    <r>
      <t xml:space="preserve">Прочие платежи </t>
    </r>
    <r>
      <rPr>
        <sz val="11"/>
        <color rgb="FFFF0000"/>
        <rFont val="Calibri"/>
        <family val="2"/>
        <charset val="204"/>
        <scheme val="minor"/>
      </rPr>
      <t>(-)</t>
    </r>
  </si>
  <si>
    <t>Дата 1-го платежа по телу займа</t>
  </si>
  <si>
    <t>Дата 1-го процентного платежа</t>
  </si>
  <si>
    <t>Задолженность по телу займа, тыс. руб.</t>
  </si>
  <si>
    <t>Итого сумма платежей, тыс. руб.</t>
  </si>
  <si>
    <t>Исходные параметры</t>
  </si>
  <si>
    <t>Расчётные параметры</t>
  </si>
  <si>
    <t>Продолжительность погашения тела займа, мес.</t>
  </si>
  <si>
    <t>Срок займа, мес.</t>
  </si>
  <si>
    <t>Ранее понесённые затраты</t>
  </si>
  <si>
    <t>Сумма в валюте затрат,
тыс. в т.ч. НДС</t>
  </si>
  <si>
    <t>Общие сведения</t>
  </si>
  <si>
    <r>
      <t xml:space="preserve">Платежи поставщикам затрат по текущей д-ти </t>
    </r>
    <r>
      <rPr>
        <sz val="11"/>
        <color rgb="FFFF0000"/>
        <rFont val="Calibri"/>
        <family val="2"/>
        <charset val="204"/>
        <scheme val="minor"/>
      </rPr>
      <t>(-)</t>
    </r>
  </si>
  <si>
    <r>
      <t xml:space="preserve">Предоставление займов </t>
    </r>
    <r>
      <rPr>
        <sz val="11"/>
        <color rgb="FFFF0000"/>
        <rFont val="Calibri"/>
        <family val="2"/>
        <charset val="204"/>
        <scheme val="minor"/>
      </rPr>
      <t>(-)</t>
    </r>
  </si>
  <si>
    <r>
      <t xml:space="preserve">Погашение кредитов и займов </t>
    </r>
    <r>
      <rPr>
        <sz val="11"/>
        <color rgb="FFFF0000"/>
        <rFont val="Calibri"/>
        <family val="2"/>
        <charset val="204"/>
        <scheme val="minor"/>
      </rPr>
      <t>(-)</t>
    </r>
  </si>
  <si>
    <r>
      <t xml:space="preserve">Выплата процентов по кредитам и займам </t>
    </r>
    <r>
      <rPr>
        <sz val="11"/>
        <color rgb="FFFF0000"/>
        <rFont val="Calibri"/>
        <family val="2"/>
        <charset val="204"/>
        <scheme val="minor"/>
      </rPr>
      <t>(-)</t>
    </r>
  </si>
  <si>
    <t>Продажа внеоборотных активов</t>
  </si>
  <si>
    <t>Продажа долей участия</t>
  </si>
  <si>
    <t>Возврат выданных займов</t>
  </si>
  <si>
    <t>Дивиденды (проценты) по фин. вложениям</t>
  </si>
  <si>
    <t>Получение кредитов и займов</t>
  </si>
  <si>
    <t>Денежные вклады акционеров (учредителей)</t>
  </si>
  <si>
    <t>Выпуск акций (долей участия)</t>
  </si>
  <si>
    <t>Выпуск долговых ценных бумаг</t>
  </si>
  <si>
    <r>
      <t xml:space="preserve">Выкуп акций (долей участия) </t>
    </r>
    <r>
      <rPr>
        <sz val="11"/>
        <color rgb="FFFF0000"/>
        <rFont val="Calibri"/>
        <family val="2"/>
        <charset val="204"/>
        <scheme val="minor"/>
      </rPr>
      <t>(-)</t>
    </r>
  </si>
  <si>
    <r>
      <t xml:space="preserve">Приобретение долей участия в др. организациях </t>
    </r>
    <r>
      <rPr>
        <sz val="11"/>
        <color rgb="FFFF0000"/>
        <rFont val="Calibri"/>
        <family val="2"/>
        <charset val="204"/>
        <scheme val="minor"/>
      </rPr>
      <t>(-)</t>
    </r>
  </si>
  <si>
    <r>
      <t xml:space="preserve">Уплата дивидендов </t>
    </r>
    <r>
      <rPr>
        <sz val="11"/>
        <color rgb="FFFF0000"/>
        <rFont val="Calibri"/>
        <family val="2"/>
        <charset val="204"/>
        <scheme val="minor"/>
      </rPr>
      <t>(-)</t>
    </r>
  </si>
  <si>
    <t>Текущая деятельность</t>
  </si>
  <si>
    <t>Отчетность по кварталам</t>
  </si>
  <si>
    <t>Долг (Текущая деятельность)</t>
  </si>
  <si>
    <t>Прочие кредиторы - Проект (основной долг)</t>
  </si>
  <si>
    <t>Прочие кредиторы - Проект (проценты)</t>
  </si>
  <si>
    <t>Прочие кредиторы - Текущая д-ть (основной долг)</t>
  </si>
  <si>
    <t>Прочие кредиторы - Текущая д-ть (проценты)</t>
  </si>
  <si>
    <t>Квартальная отчетность</t>
  </si>
  <si>
    <t>Справочно: амортизация</t>
  </si>
  <si>
    <t>Технические параметры (скрыты)</t>
  </si>
  <si>
    <t>Дата середины квартала погашения займа</t>
  </si>
  <si>
    <t>Месяц даты погашения займа</t>
  </si>
  <si>
    <t>Последний месяц квартала, предшествующего дате погашения займа</t>
  </si>
  <si>
    <t>Год получения займа</t>
  </si>
  <si>
    <t>Последний месяц квартала получения займа</t>
  </si>
  <si>
    <t>Отчетность по годам</t>
  </si>
  <si>
    <t>Календарный год</t>
  </si>
  <si>
    <t>Лист "Предпосылки"</t>
  </si>
  <si>
    <t>Лист "Квартальная отчетность"</t>
  </si>
  <si>
    <t>Годовая отчетность</t>
  </si>
  <si>
    <t>Руководство</t>
  </si>
  <si>
    <t>Изменение цен на продукцию</t>
  </si>
  <si>
    <t>Изменение объемов продаж</t>
  </si>
  <si>
    <t>Изменение стоимости капитальных вложений</t>
  </si>
  <si>
    <t>Изменение курса валют</t>
  </si>
  <si>
    <t>Показатель</t>
  </si>
  <si>
    <t>Заёмное финансирование: заём бенефициара/аффилированных лиц</t>
  </si>
  <si>
    <t>Наименование займодавца</t>
  </si>
  <si>
    <t>Ранее привлечено</t>
  </si>
  <si>
    <t>Планируется к привлечению</t>
  </si>
  <si>
    <t>Остаток денежных средств на начало периода планирования</t>
  </si>
  <si>
    <t>Календарный квартал</t>
  </si>
  <si>
    <t>Результаты Проекта</t>
  </si>
  <si>
    <t>NPV</t>
  </si>
  <si>
    <t>IRR</t>
  </si>
  <si>
    <t>PBP</t>
  </si>
  <si>
    <t>DPBP</t>
  </si>
  <si>
    <t>Валовая прибыль</t>
  </si>
  <si>
    <t>Чистая прибыль</t>
  </si>
  <si>
    <t>Инвестиционный денежный поток (CFI)</t>
  </si>
  <si>
    <t>Финансовый денежный поток (CFF)</t>
  </si>
  <si>
    <t>Чистый денежный поток (NCF)</t>
  </si>
  <si>
    <t>Целевые показатели</t>
  </si>
  <si>
    <t>Целевой объем продаж новой продукции</t>
  </si>
  <si>
    <t>Объем налоговых поступлений</t>
  </si>
  <si>
    <t>Объем средств частных инвесторов</t>
  </si>
  <si>
    <t>Количество создаваемых рабочих мест</t>
  </si>
  <si>
    <t>ед.</t>
  </si>
  <si>
    <t>c учетом ранее понесенных расходов</t>
  </si>
  <si>
    <t>без учета ранее понесенных расходов</t>
  </si>
  <si>
    <t>Изменение ставки дисконтирования</t>
  </si>
  <si>
    <t>в т.ч. за период займа</t>
  </si>
  <si>
    <t>Активы</t>
  </si>
  <si>
    <t>Пассивы</t>
  </si>
  <si>
    <t>Прочие краткосрочные обязательства</t>
  </si>
  <si>
    <t>Краткосрочные кредиты и займы</t>
  </si>
  <si>
    <t>Долгосрочные кредиты и займы</t>
  </si>
  <si>
    <t>Прочие долгосрочные обязательства</t>
  </si>
  <si>
    <t>Нераспределенная прибыль</t>
  </si>
  <si>
    <t>Прочее</t>
  </si>
  <si>
    <t>Чистый долг</t>
  </si>
  <si>
    <r>
      <t xml:space="preserve">Денежные средства </t>
    </r>
    <r>
      <rPr>
        <sz val="11"/>
        <color rgb="FFFF0000"/>
        <rFont val="Calibri"/>
        <family val="2"/>
        <charset val="204"/>
        <scheme val="minor"/>
      </rPr>
      <t>(-)</t>
    </r>
  </si>
  <si>
    <r>
      <t>EBITDA</t>
    </r>
    <r>
      <rPr>
        <vertAlign val="subscript"/>
        <sz val="11"/>
        <color theme="1"/>
        <rFont val="Calibri"/>
        <family val="2"/>
        <charset val="204"/>
        <scheme val="minor"/>
      </rPr>
      <t>LTM</t>
    </r>
  </si>
  <si>
    <t>Собственные средства организации</t>
  </si>
  <si>
    <t>Средства аффилированных лиц, бенефициаров</t>
  </si>
  <si>
    <t>Банковское кредитование</t>
  </si>
  <si>
    <t>Итого бюджет</t>
  </si>
  <si>
    <t>Источники финансирования</t>
  </si>
  <si>
    <t>Лист "Параметры займа"</t>
  </si>
  <si>
    <t>Параметры займа установлены верно</t>
  </si>
  <si>
    <t>Проверка: установлены все параметры займа</t>
  </si>
  <si>
    <t>Проверка: все параметры займа установлены верно</t>
  </si>
  <si>
    <t>Все параметры займа установлены</t>
  </si>
  <si>
    <t>Пояснение</t>
  </si>
  <si>
    <t>Руководство по заполнению финансовой модели</t>
  </si>
  <si>
    <t>Дата получения займа</t>
  </si>
  <si>
    <t>Установить прогнозную дату получения займа. Если неизвестна, то установить дату середины квартала + 1 день.</t>
  </si>
  <si>
    <t>Установить запрашиваемый срок займа (в месяцах), но не более максимального срока, предусмотренного в рамках выбранной программы.</t>
  </si>
  <si>
    <t>Контактные данные лица по вопросам ФМ</t>
  </si>
  <si>
    <t>Указать контактные данные лица (ФИО, эл. почта, телефон), ответственного за разъяснения по данным, используемым в финансовой модели проекта.</t>
  </si>
  <si>
    <t>Облагается НДС?</t>
  </si>
  <si>
    <t>Сумма</t>
  </si>
  <si>
    <t>Валюта затрат</t>
  </si>
  <si>
    <t>Доля по периодам</t>
  </si>
  <si>
    <t>График оплаты объектов капитальных вложений</t>
  </si>
  <si>
    <t>Планируемые затраты (в т.ч. остаток задолженности)</t>
  </si>
  <si>
    <t>Для финансирования капитальных вложений</t>
  </si>
  <si>
    <t>Итого капитал и резервы</t>
  </si>
  <si>
    <t>Срок займа</t>
  </si>
  <si>
    <t>Сумма займа</t>
  </si>
  <si>
    <t>Сумма погашения, тыс. руб.</t>
  </si>
  <si>
    <t>Итого долгосрочные обязательства</t>
  </si>
  <si>
    <t>Итого краткосрочные обязательства</t>
  </si>
  <si>
    <r>
      <t>EBIT</t>
    </r>
    <r>
      <rPr>
        <b/>
        <sz val="12"/>
        <color theme="1" tint="0.34998626667073579"/>
        <rFont val="Calibri Light"/>
        <family val="2"/>
        <charset val="204"/>
        <scheme val="major"/>
      </rPr>
      <t xml:space="preserve"> / Проценты к уплате</t>
    </r>
  </si>
  <si>
    <r>
      <t>EBIT</t>
    </r>
    <r>
      <rPr>
        <vertAlign val="subscript"/>
        <sz val="11"/>
        <color theme="1"/>
        <rFont val="Calibri"/>
        <family val="2"/>
        <charset val="204"/>
        <scheme val="minor"/>
      </rPr>
      <t>LTM</t>
    </r>
  </si>
  <si>
    <t>Экспорт?</t>
  </si>
  <si>
    <r>
      <t xml:space="preserve">Установить единицу измерения по каждому виду продукции. Например: </t>
    </r>
    <r>
      <rPr>
        <i/>
        <sz val="11"/>
        <color theme="1"/>
        <rFont val="Calibri"/>
        <family val="2"/>
        <charset val="204"/>
        <scheme val="minor"/>
      </rPr>
      <t>шт.</t>
    </r>
    <r>
      <rPr>
        <sz val="11"/>
        <color theme="1"/>
        <rFont val="Calibri"/>
        <family val="2"/>
        <scheme val="minor"/>
      </rPr>
      <t xml:space="preserve"> (штуки), </t>
    </r>
    <r>
      <rPr>
        <i/>
        <sz val="11"/>
        <color theme="1"/>
        <rFont val="Calibri"/>
        <family val="2"/>
        <charset val="204"/>
        <scheme val="minor"/>
      </rPr>
      <t>ед.</t>
    </r>
    <r>
      <rPr>
        <sz val="11"/>
        <color theme="1"/>
        <rFont val="Calibri"/>
        <family val="2"/>
        <scheme val="minor"/>
      </rPr>
      <t xml:space="preserve"> (единицы), </t>
    </r>
    <r>
      <rPr>
        <i/>
        <sz val="11"/>
        <color theme="1"/>
        <rFont val="Calibri"/>
        <family val="2"/>
        <charset val="204"/>
        <scheme val="minor"/>
      </rPr>
      <t>кг</t>
    </r>
    <r>
      <rPr>
        <sz val="11"/>
        <color theme="1"/>
        <rFont val="Calibri"/>
        <family val="2"/>
        <scheme val="minor"/>
      </rPr>
      <t xml:space="preserve"> (килограммы), </t>
    </r>
    <r>
      <rPr>
        <i/>
        <sz val="11"/>
        <color theme="1"/>
        <rFont val="Calibri"/>
        <family val="2"/>
        <charset val="204"/>
        <scheme val="minor"/>
      </rPr>
      <t>т</t>
    </r>
    <r>
      <rPr>
        <sz val="11"/>
        <color theme="1"/>
        <rFont val="Calibri"/>
        <family val="2"/>
        <scheme val="minor"/>
      </rPr>
      <t xml:space="preserve"> (тонны), </t>
    </r>
    <r>
      <rPr>
        <i/>
        <sz val="11"/>
        <color theme="1"/>
        <rFont val="Calibri"/>
        <family val="2"/>
        <charset val="204"/>
        <scheme val="minor"/>
      </rPr>
      <t>м</t>
    </r>
    <r>
      <rPr>
        <sz val="11"/>
        <color theme="1"/>
        <rFont val="Calibri"/>
        <family val="2"/>
        <scheme val="minor"/>
      </rPr>
      <t xml:space="preserve"> (метры) и т.д.</t>
    </r>
  </si>
  <si>
    <t>Примечание</t>
  </si>
  <si>
    <t>Цена за единицу продукции</t>
  </si>
  <si>
    <t>Объем продаж в натуральном выражении</t>
  </si>
  <si>
    <t>Объем продаж</t>
  </si>
  <si>
    <t>Установить объем продаж (в натуральном выражении) по каждому виду продукции по периодам.</t>
  </si>
  <si>
    <t>Единица измерения</t>
  </si>
  <si>
    <t>Установить цену (в тыс. валюты продаж, в т.ч. НДС) по каждому виду продукции по периодам. Цены указываются без учета инфляции.</t>
  </si>
  <si>
    <t>Операционные затраты</t>
  </si>
  <si>
    <t>Новые рабочие места</t>
  </si>
  <si>
    <t>Ранее привлечено в проект</t>
  </si>
  <si>
    <t>Установить сумму ранее привлеченных собственных средст в проект (в тыс. руб.). Например, средства из текущей деятельности, вклад в УК.</t>
  </si>
  <si>
    <t>График привлечения собственных средств в проект</t>
  </si>
  <si>
    <t>Установить сумму привлечения собственных средст в проект (в тыс. руб.) по периодам. Например, средства из текущей деятельности, вклад в УК.</t>
  </si>
  <si>
    <t>Процентная ставка</t>
  </si>
  <si>
    <t>Установить процентную ставку по займу (в % годовых).</t>
  </si>
  <si>
    <t>Установить сумму раннее привлеченных средств в проект (в тыс. руб.) по данному источнику. Если средства ранее не привлекались, то установить значение 0 либо оставить ячейку пустой.</t>
  </si>
  <si>
    <t>График привлечения и погашения средств источника в проект</t>
  </si>
  <si>
    <t>Установить сумму привлечения средств источника в проект (в тыс. руб.) по периодам.</t>
  </si>
  <si>
    <r>
      <t>Установить сумму погашения задолженности перед источником (в тыс. руб.) по периодам.</t>
    </r>
    <r>
      <rPr>
        <vertAlign val="superscript"/>
        <sz val="11"/>
        <color theme="1"/>
        <rFont val="Calibri"/>
        <family val="2"/>
        <charset val="204"/>
        <scheme val="minor"/>
      </rPr>
      <t>1</t>
    </r>
  </si>
  <si>
    <r>
      <t xml:space="preserve">Установить наименование кредита/займа. Например, </t>
    </r>
    <r>
      <rPr>
        <i/>
        <sz val="11"/>
        <color theme="1"/>
        <rFont val="Calibri"/>
        <family val="2"/>
        <charset val="204"/>
        <scheme val="minor"/>
      </rPr>
      <t>Кредит Банк А.</t>
    </r>
  </si>
  <si>
    <r>
      <t xml:space="preserve">Установить наименование займа. Например, </t>
    </r>
    <r>
      <rPr>
        <i/>
        <sz val="11"/>
        <color theme="1"/>
        <rFont val="Calibri"/>
        <family val="2"/>
        <charset val="204"/>
        <scheme val="minor"/>
      </rPr>
      <t>Заём бенефициара</t>
    </r>
    <r>
      <rPr>
        <sz val="11"/>
        <color theme="1"/>
        <rFont val="Calibri"/>
        <family val="2"/>
        <scheme val="minor"/>
      </rPr>
      <t>, З</t>
    </r>
    <r>
      <rPr>
        <i/>
        <sz val="11"/>
        <color theme="1"/>
        <rFont val="Calibri"/>
        <family val="2"/>
        <charset val="204"/>
        <scheme val="minor"/>
      </rPr>
      <t>аём аффилированного лица.</t>
    </r>
  </si>
  <si>
    <t>Установить процентную ставку по кредиту/займу (в % годовых).</t>
  </si>
  <si>
    <t>Изменение стоимости прямых затрат</t>
  </si>
  <si>
    <t>Сумма погашения не превышает сумму привлечения</t>
  </si>
  <si>
    <t>Курс валюты</t>
  </si>
  <si>
    <t>Лист "Квартальная отчётность"</t>
  </si>
  <si>
    <t>Лист "Проверка"</t>
  </si>
  <si>
    <r>
      <t>Установить значение начисленной амортизации по периодам.</t>
    </r>
    <r>
      <rPr>
        <vertAlign val="superscript"/>
        <sz val="11"/>
        <color theme="1"/>
        <rFont val="Calibri"/>
        <family val="2"/>
        <charset val="204"/>
        <scheme val="minor"/>
      </rPr>
      <t>2</t>
    </r>
  </si>
  <si>
    <r>
      <t>Заполнить прогнозный отчет о финансовых результатах по периодам (не накопленным итогом). Основные допущения, использованные при построении прогнозного отчёта, указать на листе "Источники".</t>
    </r>
    <r>
      <rPr>
        <vertAlign val="superscript"/>
        <sz val="11"/>
        <color theme="1"/>
        <rFont val="Calibri"/>
        <family val="2"/>
        <charset val="204"/>
        <scheme val="minor"/>
      </rPr>
      <t>1</t>
    </r>
  </si>
  <si>
    <t>Остаток денежных средств на начало 1-го периода</t>
  </si>
  <si>
    <t>Заполнить прогнозный баланс. Основные допущения, использованные при построении прогнозного баланса, указать на листе "Источники".</t>
  </si>
  <si>
    <t>Заём бенефициара/аффилированных лиц</t>
  </si>
  <si>
    <t>Кредит/заём</t>
  </si>
  <si>
    <t>Обращение</t>
  </si>
  <si>
    <t>Ранее понесенные затраты</t>
  </si>
  <si>
    <t>Код НДС</t>
  </si>
  <si>
    <t>Отсутствие отрицательных остатков д/с в ОДДС</t>
  </si>
  <si>
    <t>Балансовое равенство</t>
  </si>
  <si>
    <t>Планируется 
к привлечению</t>
  </si>
  <si>
    <r>
      <t>Проценты к уплате</t>
    </r>
    <r>
      <rPr>
        <vertAlign val="subscript"/>
        <sz val="11"/>
        <color theme="1"/>
        <rFont val="Calibri"/>
        <family val="2"/>
        <charset val="204"/>
        <scheme val="minor"/>
      </rPr>
      <t>LTM</t>
    </r>
  </si>
  <si>
    <r>
      <t>EBIT</t>
    </r>
    <r>
      <rPr>
        <sz val="11"/>
        <color theme="1"/>
        <rFont val="Calibri"/>
        <family val="2"/>
        <scheme val="minor"/>
      </rPr>
      <t xml:space="preserve"> / Проценты к уплате</t>
    </r>
  </si>
  <si>
    <r>
      <t xml:space="preserve">Валовая прибыль </t>
    </r>
    <r>
      <rPr>
        <sz val="11"/>
        <color theme="1"/>
        <rFont val="Calibri"/>
        <family val="2"/>
        <scheme val="minor"/>
      </rPr>
      <t>(убыток)</t>
    </r>
  </si>
  <si>
    <t>Отчет о движении денежных средств за последние 3 квартала (не накопленным итогом)</t>
  </si>
  <si>
    <t>Изменение денежных потоков за период</t>
  </si>
  <si>
    <t>Денежный поток от текущих операций</t>
  </si>
  <si>
    <t>Денежный поток от инвестиционных операций</t>
  </si>
  <si>
    <t>Денежный поток от финансовых операций</t>
  </si>
  <si>
    <t>Программы, обеспечение по которым считается по полной ставке</t>
  </si>
  <si>
    <t>Обеспечение по повышенной ставке</t>
  </si>
  <si>
    <t>Проекты развития*</t>
  </si>
  <si>
    <t>Проекты развития с РФРП*</t>
  </si>
  <si>
    <t>* если условием для применения льготной ставки является приобретение для реализации проекта отечественного оборудования в размере не менее 50 % суммы займа.</t>
  </si>
  <si>
    <t>Справка</t>
  </si>
  <si>
    <t>Сохранение данных</t>
  </si>
  <si>
    <t>В случае возниконовения технических вопросов: fm@frprf.ru</t>
  </si>
  <si>
    <t>Техподдержка финансовой модели</t>
  </si>
  <si>
    <r>
      <t>Исходные параметры</t>
    </r>
    <r>
      <rPr>
        <b/>
        <vertAlign val="superscript"/>
        <sz val="16"/>
        <color theme="1" tint="0.14996795556505021"/>
        <rFont val="Calibri Light"/>
        <family val="2"/>
        <charset val="204"/>
        <scheme val="major"/>
      </rPr>
      <t>1</t>
    </r>
  </si>
  <si>
    <r>
      <t>Выбрать из раскрывающегося списка программу финансирования. Ознакомиться с условиями программ можно на листе "Программы финансирования"</t>
    </r>
    <r>
      <rPr>
        <vertAlign val="superscript"/>
        <sz val="11"/>
        <color theme="1"/>
        <rFont val="Calibri"/>
        <family val="2"/>
        <charset val="204"/>
        <scheme val="minor"/>
      </rPr>
      <t>2</t>
    </r>
    <r>
      <rPr>
        <sz val="11"/>
        <color theme="1"/>
        <rFont val="Calibri"/>
        <family val="2"/>
        <scheme val="minor"/>
      </rPr>
      <t xml:space="preserve"> либо на сайте Фонда.</t>
    </r>
  </si>
  <si>
    <r>
      <t>Установить сумму ранее понесенных затрат (в тыс. руб.) по тем объектам капитальных вложений, по которым оплата (в т.ч. частичная) уже была осуществлена.</t>
    </r>
    <r>
      <rPr>
        <vertAlign val="superscript"/>
        <sz val="11"/>
        <color theme="1"/>
        <rFont val="Calibri"/>
        <family val="2"/>
        <charset val="204"/>
        <scheme val="minor"/>
      </rPr>
      <t>1</t>
    </r>
  </si>
  <si>
    <t>Установить долю оплаты по периоду (в % от суммы планируемых затрат в т.ч. от остатка задолженности). Сумма по каждой строке должна составлять 100% (полная оплата).</t>
  </si>
  <si>
    <r>
      <t>Выбрать из раскрывающегося списка валюту, в которой будут осуществляться платежи, по каждому объекту капитальных вложений.</t>
    </r>
    <r>
      <rPr>
        <vertAlign val="superscript"/>
        <sz val="11"/>
        <color theme="1"/>
        <rFont val="Calibri"/>
        <family val="2"/>
        <charset val="204"/>
        <scheme val="minor"/>
      </rPr>
      <t>1</t>
    </r>
  </si>
  <si>
    <r>
      <t>Установить наименование по каждому виду продукции, реализуемой в рамках проекта.</t>
    </r>
    <r>
      <rPr>
        <vertAlign val="superscript"/>
        <sz val="11"/>
        <color theme="1"/>
        <rFont val="Calibri"/>
        <family val="2"/>
        <charset val="204"/>
        <scheme val="minor"/>
      </rPr>
      <t>1</t>
    </r>
  </si>
  <si>
    <r>
      <t>Выбрать из раскрывающегося списка валюту, в которой будут осуществляться продажи, по каждому виду продукции.</t>
    </r>
    <r>
      <rPr>
        <vertAlign val="superscript"/>
        <sz val="11"/>
        <color theme="1"/>
        <rFont val="Calibri"/>
        <family val="2"/>
        <charset val="204"/>
        <scheme val="minor"/>
      </rPr>
      <t>2</t>
    </r>
  </si>
  <si>
    <r>
      <t>Выбрать из раскрывающегося списка наличие / отсутствие исходящего НДС по каждому виду продукции.</t>
    </r>
    <r>
      <rPr>
        <vertAlign val="superscript"/>
        <sz val="11"/>
        <color theme="1"/>
        <rFont val="Calibri"/>
        <family val="2"/>
        <charset val="204"/>
        <scheme val="minor"/>
      </rPr>
      <t>3</t>
    </r>
  </si>
  <si>
    <t>Дата</t>
  </si>
  <si>
    <t>Начисление процентов, тыс. руб.</t>
  </si>
  <si>
    <t>Дата начала начисления % по базовой ставке</t>
  </si>
  <si>
    <t>Проценты с учетом калькуляции по дням</t>
  </si>
  <si>
    <t>Начисление процентов (полная ставка), тыс. руб.</t>
  </si>
  <si>
    <t>Технические расчёты (скрыты)</t>
  </si>
  <si>
    <t>Контактные данные лица, ответственного за предоставление разъяснений по данным в финмодели</t>
  </si>
  <si>
    <t>CNY</t>
  </si>
  <si>
    <t>Выбрать из раскрывающегося списка валюту при наличии доходов/затрат не в российских рублях.</t>
  </si>
  <si>
    <t>Выбрать из раскрывающегося списка валюту при наличии доходов/затрат не в российских рублях и не в дополнительной валюте №1.</t>
  </si>
  <si>
    <t>Техподдержка финансовой модели Фонда: fm@frprf.ru</t>
  </si>
  <si>
    <t>Заёмное финансирование: кредит/заём</t>
  </si>
  <si>
    <t>Валюта денежных потоков - Российский рубль</t>
  </si>
  <si>
    <t>Расчётные ячейки</t>
  </si>
  <si>
    <t>График привлечения и погашения займа ФРП</t>
  </si>
  <si>
    <t>Количество рабочих мест, созданных в ходе реализации проекта</t>
  </si>
  <si>
    <t>Установить количество рабочих мест, созданных в ходе реализации проекта, по каждому календарному году.</t>
  </si>
  <si>
    <t>Гарантия на всю сумму займа и на весь срок займа</t>
  </si>
  <si>
    <t>Для финансирования общехозяйственных затрат</t>
  </si>
  <si>
    <t>Операционный денежный поток (CFO)</t>
  </si>
  <si>
    <t>Выбрать из раскрывающегося списка наличие / отсутствие банковской гарантии либо гарантии ВЭБ.РФ, Корпорации МСП или РГО в качестве обеспечения на всю сумму займа и на весь срок займа.</t>
  </si>
  <si>
    <t>-</t>
  </si>
  <si>
    <t>Финансирование инвестиционных затрат</t>
  </si>
  <si>
    <t>Привлечение финансирования</t>
  </si>
  <si>
    <t>Мин. ост., тыс. руб.</t>
  </si>
  <si>
    <t>Регион реализации проекта</t>
  </si>
  <si>
    <t>Выбрать из раскрывающегося списка регион реализации проекта.</t>
  </si>
  <si>
    <t>На листе "Предпосылки" сумма ранее понесенных затрат (по капитальным вложениям и общехозяйственным затратам) не превышает сумму ранее привлеченного финансирования в проект.</t>
  </si>
  <si>
    <t>На листе "Параметры займа" заполнены все ячейки.</t>
  </si>
  <si>
    <t>На листе "Параметры займа" все установленные параметры займа корректны, т.е. соответствуют выбранной программе финансирования.</t>
  </si>
  <si>
    <t>На листе "Предпосылки" сумма погашения займа бенефициара/аффилированных лиц не превышает сумму привлечения (в т.ч. ранее привлеченных средств в проект).</t>
  </si>
  <si>
    <t>На листе "Предпосылки" сумма погашения кредита/займа не превышает сумму привлечения (в т.ч. ранее привлеченных средств в проект).</t>
  </si>
  <si>
    <t>Вид ставки НДС</t>
  </si>
  <si>
    <t>Структура финансирования проекта</t>
  </si>
  <si>
    <t>Сумма ранее понесенных затрат не превышает сумму ранее привлеченного финансирования</t>
  </si>
  <si>
    <t>Проверка отсутствия отрицательных остатков в течение срока займа</t>
  </si>
  <si>
    <t>Проверка балансового равенства в течение срока займа</t>
  </si>
  <si>
    <t>Проверка балансового равенства в течение всех периодов</t>
  </si>
  <si>
    <t>Проверка отсутствия отрицательных остатков в течение всех периодов</t>
  </si>
  <si>
    <r>
      <t>Выбрать из раскрывающегося списка вид ставки НДС по каждому виду продукции.</t>
    </r>
    <r>
      <rPr>
        <vertAlign val="superscript"/>
        <sz val="11"/>
        <color theme="1"/>
        <rFont val="Calibri"/>
        <family val="2"/>
        <charset val="204"/>
        <scheme val="minor"/>
      </rPr>
      <t>4</t>
    </r>
  </si>
  <si>
    <r>
      <t xml:space="preserve">Выбрать из раскрывающегося списка наличие / отсутствие экспорта по каждому виду продукции. </t>
    </r>
    <r>
      <rPr>
        <vertAlign val="superscript"/>
        <sz val="11"/>
        <color theme="1"/>
        <rFont val="Calibri"/>
        <family val="2"/>
        <charset val="204"/>
        <scheme val="minor"/>
      </rPr>
      <t>5</t>
    </r>
  </si>
  <si>
    <t>Взносы учредителей (акционеров)</t>
  </si>
  <si>
    <t>Изменение</t>
  </si>
  <si>
    <t>Выручка за последний отчётный год</t>
  </si>
  <si>
    <r>
      <t xml:space="preserve">Установить наименование проекта по типу: </t>
    </r>
    <r>
      <rPr>
        <sz val="11"/>
        <color theme="1"/>
        <rFont val="Calibri"/>
        <family val="2"/>
        <charset val="204"/>
        <scheme val="minor"/>
      </rPr>
      <t>номер проекта_название проекта (регион)</t>
    </r>
    <r>
      <rPr>
        <sz val="11"/>
        <color theme="1"/>
        <rFont val="Calibri"/>
        <family val="2"/>
        <scheme val="minor"/>
      </rPr>
      <t xml:space="preserve"> Например, </t>
    </r>
    <r>
      <rPr>
        <i/>
        <sz val="11"/>
        <color theme="1"/>
        <rFont val="Calibri"/>
        <family val="2"/>
        <charset val="204"/>
        <scheme val="minor"/>
      </rPr>
      <t>5555_Производство инновационной продукции промышленного назначения (г. Омск)</t>
    </r>
  </si>
  <si>
    <t>Процентные расходы</t>
  </si>
  <si>
    <t>Показатели и коэффициенты</t>
  </si>
  <si>
    <t>Выплата процентов по кредитам и займам</t>
  </si>
  <si>
    <r>
      <rPr>
        <sz val="11"/>
        <color theme="1"/>
        <rFont val="Calibri"/>
        <family val="2"/>
        <charset val="204"/>
        <scheme val="minor"/>
      </rPr>
      <t>DSCR</t>
    </r>
    <r>
      <rPr>
        <vertAlign val="subscript"/>
        <sz val="11"/>
        <color theme="1"/>
        <rFont val="Calibri"/>
        <family val="2"/>
        <charset val="204"/>
        <scheme val="minor"/>
      </rPr>
      <t>accum</t>
    </r>
  </si>
  <si>
    <t>Установить наименования объектов капитальных вложений, приобретаемых в рамках проекта (в т.ч. объекты, учитываемые в составе ранее понесенных затрат).</t>
  </si>
  <si>
    <t>`</t>
  </si>
  <si>
    <t>Деревообработка с РФРП*</t>
  </si>
  <si>
    <t>Максимальное значение</t>
  </si>
  <si>
    <t>Проверка обеспечения, тыс. руб.</t>
  </si>
  <si>
    <t>Дата выдачи с максимальной суммой обеспечения, тыс. руб.</t>
  </si>
  <si>
    <t>Расчет обеспечения</t>
  </si>
  <si>
    <t xml:space="preserve">Рассчитать по </t>
  </si>
  <si>
    <t>млн руб.</t>
  </si>
  <si>
    <t>Амортизация (указываете со знаком "+")</t>
  </si>
  <si>
    <t>да</t>
  </si>
  <si>
    <t>После ввода всех данных необходимо нажать F9 (Fn+F9)!</t>
  </si>
  <si>
    <t>Основные финансовые показатели Заявителя (с учетом Проекта):</t>
  </si>
  <si>
    <t>прогноз</t>
  </si>
  <si>
    <t>Маржа EBITDA</t>
  </si>
  <si>
    <t>Долг/EBITDA</t>
  </si>
  <si>
    <t>Чистый долг/EBITDA</t>
  </si>
  <si>
    <t>Основные финансовые показатели Проекта</t>
  </si>
  <si>
    <t>Основные финансовые показатели Компании с учетом Проекта, млн. руб.</t>
  </si>
  <si>
    <t>One Pager</t>
  </si>
  <si>
    <t>EBIT / Проценты к уплате</t>
  </si>
  <si>
    <t>Анализ чувствительности NPV Проекта</t>
  </si>
  <si>
    <t>Объемы продаж, в натуральном выражении (по годам)</t>
  </si>
  <si>
    <t>Продукт 3</t>
  </si>
  <si>
    <t>Продукт 4</t>
  </si>
  <si>
    <t>Продукт 5</t>
  </si>
  <si>
    <t>Продукт 6</t>
  </si>
  <si>
    <t>Продукт 7</t>
  </si>
  <si>
    <t>Продукт 8</t>
  </si>
  <si>
    <t>Продукт 9</t>
  </si>
  <si>
    <t>Продукт 10</t>
  </si>
  <si>
    <t>Продукт 11</t>
  </si>
  <si>
    <t>Продукт 12</t>
  </si>
  <si>
    <t>Продукт 13</t>
  </si>
  <si>
    <t>Продукт 14</t>
  </si>
  <si>
    <t>Продукт 15</t>
  </si>
  <si>
    <t>Продукт 16</t>
  </si>
  <si>
    <t>Продукт 17</t>
  </si>
  <si>
    <t>Продукт 18</t>
  </si>
  <si>
    <t>Продукт 19</t>
  </si>
  <si>
    <t>Продукт 20</t>
  </si>
  <si>
    <t>Вид продукции</t>
  </si>
  <si>
    <t>Цена (1 кв. прогнозного периода), тыс. руб.</t>
  </si>
  <si>
    <t>Объемы продаж, в стоимостном выражении (по годам)</t>
  </si>
  <si>
    <t>Инвестиции</t>
  </si>
  <si>
    <t>Капитальные вложения, тыс. руб.</t>
  </si>
  <si>
    <t>Заём ФРП</t>
  </si>
  <si>
    <t>Остаток средств</t>
  </si>
  <si>
    <r>
      <rPr>
        <b/>
        <sz val="11"/>
        <color theme="1"/>
        <rFont val="Calibri"/>
        <family val="2"/>
        <charset val="204"/>
        <scheme val="minor"/>
      </rPr>
      <t>Ограничен прием заявок</t>
    </r>
    <r>
      <rPr>
        <sz val="11"/>
        <color theme="1"/>
        <rFont val="Calibri"/>
        <family val="2"/>
        <charset val="204"/>
        <scheme val="minor"/>
      </rPr>
      <t xml:space="preserve"> на финансирование проектов для Заемщиков, уже использующих финансирование Фонда или подавших завки на финансирование по двум и более проектам.
Займы предоставляются для финансирования </t>
    </r>
    <r>
      <rPr>
        <b/>
        <sz val="11"/>
        <color theme="1"/>
        <rFont val="Calibri"/>
        <family val="2"/>
        <charset val="204"/>
        <scheme val="minor"/>
      </rPr>
      <t>от 10% до 90% первоначального взноса (аванса) лизингополучателя, составляющего от 10% до 50% от стоимости приобретаемого в рамках договора промышленного оборудования.</t>
    </r>
    <r>
      <rPr>
        <sz val="11"/>
        <color theme="1"/>
        <rFont val="Calibri"/>
        <family val="2"/>
        <charset val="204"/>
        <scheme val="minor"/>
      </rPr>
      <t xml:space="preserve">
Сумма займа может составить </t>
    </r>
    <r>
      <rPr>
        <b/>
        <sz val="11"/>
        <color theme="1"/>
        <rFont val="Calibri"/>
        <family val="2"/>
        <charset val="204"/>
        <scheme val="minor"/>
      </rPr>
      <t>до 45% от общей стоимости промышленного оборудования для обрабатывающих производств.</t>
    </r>
    <r>
      <rPr>
        <sz val="11"/>
        <color theme="1"/>
        <rFont val="Calibri"/>
        <family val="2"/>
        <charset val="204"/>
        <scheme val="minor"/>
      </rPr>
      <t xml:space="preserve">
Сумма займа может составить </t>
    </r>
    <r>
      <rPr>
        <b/>
        <sz val="11"/>
        <color theme="1"/>
        <rFont val="Calibri"/>
        <family val="2"/>
        <charset val="204"/>
        <scheme val="minor"/>
      </rPr>
      <t xml:space="preserve">до 27% для других лизинговых проектов, приобретающих отечественное оборудование.
</t>
    </r>
    <r>
      <rPr>
        <sz val="11"/>
        <color theme="1"/>
        <rFont val="Calibri"/>
        <family val="2"/>
        <charset val="204"/>
        <scheme val="minor"/>
      </rPr>
      <t xml:space="preserve">Лизингодателем в рамках проекта </t>
    </r>
    <r>
      <rPr>
        <b/>
        <sz val="11"/>
        <color theme="1"/>
        <rFont val="Calibri"/>
        <family val="2"/>
        <charset val="204"/>
        <scheme val="minor"/>
      </rPr>
      <t>выступает уполномоченная лизинговая компания.</t>
    </r>
    <r>
      <rPr>
        <sz val="11"/>
        <color theme="1"/>
        <rFont val="Calibri"/>
        <family val="2"/>
        <charset val="204"/>
        <scheme val="minor"/>
      </rPr>
      <t xml:space="preserve">
Финансирование проекта может привлекаться </t>
    </r>
    <r>
      <rPr>
        <b/>
        <sz val="11"/>
        <color theme="1"/>
        <rFont val="Calibri"/>
        <family val="2"/>
        <charset val="204"/>
        <scheme val="minor"/>
      </rPr>
      <t>со стороны уполномоченного банка.</t>
    </r>
  </si>
  <si>
    <t>Проверка 100%</t>
  </si>
  <si>
    <t>Дополнительная валюта №3</t>
  </si>
  <si>
    <t>Выбрать из раскрывающегося списка валюту при наличии доходов/затрат не в российских рублях и не в дополнительных валютах № 1 и №2.</t>
  </si>
  <si>
    <t>Установить сумму планируемых затрат (в тыс. валюты затрат) по каждому объекту капитальных вложений, в т.ч. сумму погашения остатка задолженности, если часть затрат ранее была осуществлена.
Стоимость приобретаемого в рамках Проекта оборудования, помимо собственно стоимости изготовления, должна включать: НДС, таможенные платежи (в случае приобретения не у российского поставщика), расходы на доставку, монтаж, пуско-наладочные расходы.</t>
  </si>
  <si>
    <t>После ввведения всех данных нажмите F9 (или Fn+F9). Корректная сумма обеспечения будет рассчитана в ячейке J14.</t>
  </si>
  <si>
    <t>Ячейка K3</t>
  </si>
  <si>
    <t>Лист "Показатели"</t>
  </si>
  <si>
    <t>Период прогноза</t>
  </si>
  <si>
    <t>Из выпадающего списка необходимо указать квартал, по который необходимо построить прогноз по текущей деятельности и по проекту.</t>
  </si>
  <si>
    <t>Ячейка D32</t>
  </si>
  <si>
    <t>Из выпадающего списка необходимо указать квартал, по который необходимо рассчитать показатели эффективности Проекта.</t>
  </si>
  <si>
    <t>Сумма долей всех предстоящих платежей составляет 100%</t>
  </si>
  <si>
    <t>В блоке "График оплаты объектов капитальных вложений, % от суммы планируемых затрат (в т.ч. от остатка задолженности)" сумма всех долей равна 100%.</t>
  </si>
  <si>
    <t>Получение кредитов и займов, в т.ч.</t>
  </si>
  <si>
    <t xml:space="preserve">  - краткосрочные кредиты и займы</t>
  </si>
  <si>
    <t xml:space="preserve">  - долгосрочные кредиты и займы</t>
  </si>
  <si>
    <r>
      <t xml:space="preserve">  - краткосрочные кредиты и займы  </t>
    </r>
    <r>
      <rPr>
        <sz val="11"/>
        <color rgb="FFFF0000"/>
        <rFont val="Calibri"/>
        <family val="2"/>
        <charset val="204"/>
        <scheme val="minor"/>
      </rPr>
      <t>(-)</t>
    </r>
  </si>
  <si>
    <r>
      <t xml:space="preserve">  - долгосрочные кредиты и займы </t>
    </r>
    <r>
      <rPr>
        <sz val="11"/>
        <color rgb="FFFF0000"/>
        <rFont val="Calibri"/>
        <family val="2"/>
        <charset val="204"/>
        <scheme val="minor"/>
      </rPr>
      <t xml:space="preserve"> (-)</t>
    </r>
  </si>
  <si>
    <t>Справочно: амортизация (+)</t>
  </si>
  <si>
    <t>Период</t>
  </si>
  <si>
    <t xml:space="preserve">Показатели рентабельности по текущей деятельности - поквартально </t>
  </si>
  <si>
    <t>Показатели рентабельности по текущей деятельности - год</t>
  </si>
  <si>
    <t>Рентабельность,%</t>
  </si>
  <si>
    <t>К-т абсолютной ликвидности</t>
  </si>
  <si>
    <t>К-т текущей ликвидности</t>
  </si>
  <si>
    <r>
      <t xml:space="preserve">Себестоимость </t>
    </r>
    <r>
      <rPr>
        <sz val="11"/>
        <color rgb="FFFF0000"/>
        <rFont val="Calibri"/>
        <family val="2"/>
        <charset val="204"/>
        <scheme val="minor"/>
      </rPr>
      <t>(-)</t>
    </r>
  </si>
  <si>
    <r>
      <t>Коммерческие расходы</t>
    </r>
    <r>
      <rPr>
        <sz val="11"/>
        <color rgb="FFFF0000"/>
        <rFont val="Calibri"/>
        <family val="2"/>
        <charset val="204"/>
        <scheme val="minor"/>
      </rPr>
      <t xml:space="preserve"> (-)</t>
    </r>
  </si>
  <si>
    <r>
      <t>Прочие расходы</t>
    </r>
    <r>
      <rPr>
        <sz val="11"/>
        <color rgb="FFFF0000"/>
        <rFont val="Calibri"/>
        <family val="2"/>
        <charset val="204"/>
        <scheme val="minor"/>
      </rPr>
      <t xml:space="preserve"> (-)</t>
    </r>
  </si>
  <si>
    <t>Отчет о финансовых результатах за последние 4 квартала (не накопленным итогом)</t>
  </si>
  <si>
    <r>
      <t xml:space="preserve">Валовая прибыль </t>
    </r>
    <r>
      <rPr>
        <b/>
        <sz val="11"/>
        <color rgb="FFFF0000"/>
        <rFont val="Calibri"/>
        <family val="2"/>
        <charset val="204"/>
        <scheme val="minor"/>
      </rPr>
      <t>(убыток)</t>
    </r>
  </si>
  <si>
    <r>
      <t>Прибыль</t>
    </r>
    <r>
      <rPr>
        <b/>
        <sz val="11"/>
        <color rgb="FFFF0000"/>
        <rFont val="Calibri"/>
        <family val="2"/>
        <charset val="204"/>
        <scheme val="minor"/>
      </rPr>
      <t xml:space="preserve"> (убыток)</t>
    </r>
    <r>
      <rPr>
        <b/>
        <sz val="11"/>
        <color theme="1"/>
        <rFont val="Calibri"/>
        <family val="2"/>
        <charset val="204"/>
        <scheme val="minor"/>
      </rPr>
      <t xml:space="preserve"> от продаж</t>
    </r>
  </si>
  <si>
    <r>
      <t xml:space="preserve">Прибыль </t>
    </r>
    <r>
      <rPr>
        <b/>
        <sz val="11"/>
        <color rgb="FFFF0000"/>
        <rFont val="Calibri"/>
        <family val="2"/>
        <charset val="204"/>
        <scheme val="minor"/>
      </rPr>
      <t>(убыток)</t>
    </r>
    <r>
      <rPr>
        <b/>
        <sz val="11"/>
        <color theme="1"/>
        <rFont val="Calibri"/>
        <family val="2"/>
        <charset val="204"/>
        <scheme val="minor"/>
      </rPr>
      <t xml:space="preserve"> до налогообложения</t>
    </r>
  </si>
  <si>
    <r>
      <t xml:space="preserve">Чистая прибыль </t>
    </r>
    <r>
      <rPr>
        <b/>
        <sz val="11"/>
        <color rgb="FFFF0000"/>
        <rFont val="Calibri"/>
        <family val="2"/>
        <charset val="204"/>
        <scheme val="minor"/>
      </rPr>
      <t>(убыток)</t>
    </r>
  </si>
  <si>
    <t>Q</t>
  </si>
  <si>
    <t>Ставка, % годовых</t>
  </si>
  <si>
    <t>DSCR accum</t>
  </si>
  <si>
    <t>Номер проекта</t>
  </si>
  <si>
    <t>Заявитель</t>
  </si>
  <si>
    <t>Корректный расчёт1</t>
  </si>
  <si>
    <t>1 С отрицательным знаком указываются платежи по операционной, инвестиционной и финансовой деятельности.
2 Согласно бухгалтерской (управленческой) отчетности компании-заявителя.</t>
  </si>
  <si>
    <t>1 С отрицательным знаком указываются: себестоимость, коммерческие и управленческие расходы, прочие расходы, проценты к уплате, налог на прибыль.
2 С положительным знаком.</t>
  </si>
  <si>
    <r>
      <t>1 Не накопленным итогом.
2 С отрицательным знаком.</t>
    </r>
    <r>
      <rPr>
        <vertAlign val="superscript"/>
        <sz val="11"/>
        <color theme="1"/>
        <rFont val="Calibri"/>
        <family val="2"/>
        <charset val="204"/>
        <scheme val="minor"/>
      </rPr>
      <t/>
    </r>
  </si>
  <si>
    <r>
      <t>1 Не накопленным итогом.
2 Отрицательное сальдо отражается с отрицательным знаком.</t>
    </r>
    <r>
      <rPr>
        <vertAlign val="superscript"/>
        <sz val="11"/>
        <color theme="1"/>
        <rFont val="Calibri"/>
        <family val="2"/>
        <charset val="204"/>
        <scheme val="minor"/>
      </rPr>
      <t/>
    </r>
  </si>
  <si>
    <t>1 Не накопленным итогом.
2 С отрицательным знаком указывается убыток.
3 С отрицательным знаком.
4 С положительным знаком.</t>
  </si>
  <si>
    <t>1 Если значение не установлено, то по умолчанию курс валюты равен 1:1.</t>
  </si>
  <si>
    <t>1 С положительным знаком.</t>
  </si>
  <si>
    <t>1 Если значение не установлено, то по умолчанию RUB (российский рубль).</t>
  </si>
  <si>
    <t>1 Сумма в валюте пересчитывается заявителем по курсу ЦБ РФ на дату оплаты.</t>
  </si>
  <si>
    <t>Чистый долг / EBITDALTM</t>
  </si>
  <si>
    <t>EBITLTM / Проценты к уплатеLTM</t>
  </si>
  <si>
    <t>DSCR accum.</t>
  </si>
  <si>
    <t>Комплектущие (2-ой заём)</t>
  </si>
  <si>
    <t>Второй заём на сумму до 50% первого займа, на 3 года, без отсрочки платежа по основному долгу.</t>
  </si>
  <si>
    <t>Формирование компонентной и ресурсной базы</t>
  </si>
  <si>
    <t>Заем может использоваться на приобретение оснастки.</t>
  </si>
  <si>
    <t>Справочно, в рамках проекта:</t>
  </si>
  <si>
    <t>Справочно: амортизация, EBITDA, лизинговые платежи</t>
  </si>
  <si>
    <r>
      <t xml:space="preserve">  - лизинговые платежи </t>
    </r>
    <r>
      <rPr>
        <sz val="11"/>
        <color rgb="FFFF0000"/>
        <rFont val="Calibri"/>
        <family val="2"/>
        <charset val="204"/>
        <scheme val="minor"/>
      </rPr>
      <t>(-)</t>
    </r>
  </si>
  <si>
    <t>Заёмное финансирование: лизинг</t>
  </si>
  <si>
    <t>Наименование лизинговой компании</t>
  </si>
  <si>
    <t>Погашение лизинга</t>
  </si>
  <si>
    <t>Аванс по договору лизинга</t>
  </si>
  <si>
    <t>Сумма аванса не превышает 50%</t>
  </si>
  <si>
    <t>Проверка учета погашения займа Фонда и лизинга в рамках проекта в прогнозе платежей</t>
  </si>
  <si>
    <t>Срок лизинга</t>
  </si>
  <si>
    <t>Сумма, тыс. руб. в т.ч. НДС</t>
  </si>
  <si>
    <t>Суммы затрат</t>
  </si>
  <si>
    <t>Курсы по кварталам</t>
  </si>
  <si>
    <t>Общая сумма налогов, уплаченная за последний отчетный год (НДС, НДФЛ, ЕСН, налог на имущество, налог на прибыль)</t>
  </si>
  <si>
    <t>Доля налогов в выручке по проекту</t>
  </si>
  <si>
    <t>Привлечение средств частных инвесторов</t>
  </si>
  <si>
    <t>Долговая нагрузка</t>
  </si>
  <si>
    <t>Коэффициент покрытия процентных выплат</t>
  </si>
  <si>
    <t>Ликвидность</t>
  </si>
  <si>
    <t>Погашение задолженности по кредитам и займам</t>
  </si>
  <si>
    <t>Прогноз деятельности с учетом проекта</t>
  </si>
  <si>
    <r>
      <t xml:space="preserve">  - погашение займа Фонда </t>
    </r>
    <r>
      <rPr>
        <sz val="11"/>
        <color rgb="FFFF0000"/>
        <rFont val="Calibri"/>
        <family val="2"/>
        <charset val="204"/>
        <scheme val="minor"/>
      </rPr>
      <t>(-)</t>
    </r>
  </si>
  <si>
    <r>
      <t xml:space="preserve">  - погашение заемных средств других инвесторов </t>
    </r>
    <r>
      <rPr>
        <sz val="11"/>
        <color rgb="FFFF0000"/>
        <rFont val="Calibri"/>
        <family val="2"/>
        <charset val="204"/>
        <scheme val="minor"/>
      </rPr>
      <t>(-)</t>
    </r>
  </si>
  <si>
    <t>График оплаты объектов инвестиций, % от суммы планируемых затрат (в т.ч. от остатка задолженности)</t>
  </si>
  <si>
    <t>Оплата объектов инвестиций</t>
  </si>
  <si>
    <t>Инвестиции в рамках проекта</t>
  </si>
  <si>
    <t xml:space="preserve">  - поступление займа Фонда</t>
  </si>
  <si>
    <t xml:space="preserve">  - поступление заемных средств других инвесторов</t>
  </si>
  <si>
    <t>Проверка учета поступления средств инвесторов в рамках проекта</t>
  </si>
  <si>
    <t>Курс RUB/RUB</t>
  </si>
  <si>
    <t>Сумма планируемых затрат</t>
  </si>
  <si>
    <t>Сумма ранее понесенных затрат</t>
  </si>
  <si>
    <t>1 Если отдельный вид продукции планируется к реализации как на внутреннем рынке, так и на экспорт, то необходимо разделить такую продукцию по разным строкам. 
Например: Продукт А (внутренний рынок), Продукт А (экспорт)
2 Если значение не установлено, то по умолчанию RUB (российский рубль).
3 Если значение не установлено, то по умолчанию налог применяется.
4 Если значение не установлено, то по умолчанию основная ставка (в случае если налог применяется).
5 Если значение не установлено, то по умолчанию продукт не учитывается в экспорте.</t>
  </si>
  <si>
    <t>Заёмное финансирование: лизинг (только для программы Лизинг)</t>
  </si>
  <si>
    <t>Установить наименование лизинговой компании</t>
  </si>
  <si>
    <t>Установить дату последнего платежа в рамках договора по лизингу согласно графику платежей</t>
  </si>
  <si>
    <t>Установить сумму авансового платежа в рамках договора лизинга</t>
  </si>
  <si>
    <r>
      <t>Установить суммы лизинговых платежей (в тыс. руб.) по периодам в соответствии с графиком платежей.</t>
    </r>
    <r>
      <rPr>
        <vertAlign val="superscript"/>
        <sz val="11"/>
        <color theme="1"/>
        <rFont val="Calibri"/>
        <family val="2"/>
        <charset val="204"/>
        <scheme val="minor"/>
      </rPr>
      <t>1</t>
    </r>
  </si>
  <si>
    <r>
      <t>Установить значение курса валюты по отношению к российскому рублю (в руб.) по календарным годам</t>
    </r>
    <r>
      <rPr>
        <vertAlign val="superscript"/>
        <sz val="11"/>
        <color theme="1"/>
        <rFont val="Calibri"/>
        <family val="2"/>
        <charset val="204"/>
        <scheme val="minor"/>
      </rPr>
      <t>1</t>
    </r>
  </si>
  <si>
    <r>
      <t>Отчет о финансовых результатах за последние 4 квартала</t>
    </r>
    <r>
      <rPr>
        <b/>
        <vertAlign val="superscript"/>
        <sz val="10"/>
        <color theme="2" tint="-0.499984740745262"/>
        <rFont val="Calibri Light"/>
        <family val="2"/>
        <charset val="204"/>
        <scheme val="major"/>
      </rPr>
      <t>1</t>
    </r>
  </si>
  <si>
    <r>
      <t>Отчет о движении денежных средств за последние 4 квартала</t>
    </r>
    <r>
      <rPr>
        <b/>
        <vertAlign val="superscript"/>
        <sz val="10"/>
        <color theme="2" tint="-0.499984740745262"/>
        <rFont val="Calibri Light"/>
        <family val="2"/>
        <charset val="204"/>
        <scheme val="major"/>
      </rPr>
      <t>1</t>
    </r>
  </si>
  <si>
    <r>
      <t>Установить значение сальдо финансового потока за последние 4 календарных квартала, предшествующих прогнозному кварталу получения займа ФРП (в т.ч. РФРП).</t>
    </r>
    <r>
      <rPr>
        <vertAlign val="superscript"/>
        <sz val="11"/>
        <color theme="1"/>
        <rFont val="Calibri"/>
        <family val="2"/>
        <charset val="204"/>
        <scheme val="minor"/>
      </rPr>
      <t>2</t>
    </r>
  </si>
  <si>
    <r>
      <t>Установить значение сальдо операционного потока за последние 4 календарных квартала, предшествующих прогнозному кварталу получения займа ФРП (в т.ч. РФРП).</t>
    </r>
    <r>
      <rPr>
        <vertAlign val="superscript"/>
        <sz val="11"/>
        <color theme="1"/>
        <rFont val="Calibri"/>
        <family val="2"/>
        <charset val="204"/>
        <scheme val="minor"/>
      </rPr>
      <t>2</t>
    </r>
  </si>
  <si>
    <r>
      <t>Установить значение сальдо инвестиционного потока за последние 4 календарных квартала, предшествующих прогнозному кварталу получения займа ФРП (в т.ч. РФРП).</t>
    </r>
    <r>
      <rPr>
        <vertAlign val="superscript"/>
        <sz val="11"/>
        <color theme="1"/>
        <rFont val="Calibri"/>
        <family val="2"/>
        <charset val="204"/>
        <scheme val="minor"/>
      </rPr>
      <t>2</t>
    </r>
  </si>
  <si>
    <t>Выручка за последний отчетный год</t>
  </si>
  <si>
    <t>Выручка за год</t>
  </si>
  <si>
    <t>Установить значение выручки за последний отчетный год</t>
  </si>
  <si>
    <t>Общая сумма налогов, уплаченная за последний отчетный год</t>
  </si>
  <si>
    <t>Установить значение общей суммы налогов, уплаченных за прошлый отчетный год, включая НДС, НДФЛ сотрудников и подрядчиков, ЕСН, налог на имущество организации, транспортный налог, налог на прибыль</t>
  </si>
  <si>
    <r>
      <t>Расчёт CFADS и DSCR за последние 4 квартала</t>
    </r>
    <r>
      <rPr>
        <b/>
        <vertAlign val="superscript"/>
        <sz val="10"/>
        <color theme="2" tint="-0.499984740745262"/>
        <rFont val="Calibri Light"/>
        <family val="2"/>
        <charset val="204"/>
        <scheme val="major"/>
      </rPr>
      <t>1</t>
    </r>
  </si>
  <si>
    <t>На листах "Квартальная отчётность" и "Годовая отчетность" в отчете о движении денежных средств сумма поступлений средств финансирования не ниже заявленного финансирования по проекту</t>
  </si>
  <si>
    <t>На листах "Квартальная отчётность" и "Годовая отчетность" в отчете о движении денежных средств сумма погашения заемных средств финансирования не ниже расчетной суммы погашения заявленного финансирования по проекту</t>
  </si>
  <si>
    <t>На листах "Квартальная отчётность" и "Годовая отчетность" в отчете о движении денежных средств отсутствуют кассовые разрывы.</t>
  </si>
  <si>
    <t>На листах "Квартальная отчётность" и "Годовая отчетность" в балансе соблюдается балансовое равенство, т.е. активы равны пассивам.</t>
  </si>
  <si>
    <t>Доля налогов в выручке по проекту установлена</t>
  </si>
  <si>
    <t>Сокращенная финансовая модель по проекту:</t>
  </si>
  <si>
    <t>1 Расчёт процентов по займу осуществляется с учетом допущения погрешности. Фактическое значение процентов по договору займа может отличаться как в большую, так и в меньшую сторону.
2 Информация на листе "Программы финансирования" приведена по состоянию на май 2024 года. Актуальная информация указана на сайте Фонда.</t>
  </si>
  <si>
    <t>Установить запрашиваемую сумму займа (в тыс. руб.).</t>
  </si>
  <si>
    <t>Установить процентную ставку по займу в соответствии со Стандартом Фонда для выбранной программы. Ознакомиться со стандартами можно на сайте Фонда.</t>
  </si>
  <si>
    <t>Перечень субъектов РФ</t>
  </si>
  <si>
    <t>Наименование субъекта</t>
  </si>
  <si>
    <t>Алтайский край</t>
  </si>
  <si>
    <t>Амурская область</t>
  </si>
  <si>
    <t>Архангельская область</t>
  </si>
  <si>
    <t>Астраханская область</t>
  </si>
  <si>
    <t>Белгородская область</t>
  </si>
  <si>
    <t>Брянская область</t>
  </si>
  <si>
    <t>Владимирская область</t>
  </si>
  <si>
    <t>Волгоградская область</t>
  </si>
  <si>
    <t>Вологодская область</t>
  </si>
  <si>
    <t>Воронежская область</t>
  </si>
  <si>
    <t>Донецкая Народная Республика</t>
  </si>
  <si>
    <t>Еврейская автономная область</t>
  </si>
  <si>
    <t>Забайкальский край</t>
  </si>
  <si>
    <t>Запорожская область</t>
  </si>
  <si>
    <t>Ивановская область</t>
  </si>
  <si>
    <t>Иркутская область</t>
  </si>
  <si>
    <t>Кабардино-Балкарская Республика</t>
  </si>
  <si>
    <t>Калининградская область</t>
  </si>
  <si>
    <t>Калужская область</t>
  </si>
  <si>
    <t>Камчатский край</t>
  </si>
  <si>
    <t>Карачаево-Черкесская Республика</t>
  </si>
  <si>
    <t>Кемеровская область</t>
  </si>
  <si>
    <t>Кировская область</t>
  </si>
  <si>
    <t>Костромская область</t>
  </si>
  <si>
    <t>Краснодарский край</t>
  </si>
  <si>
    <t>Красноярский край</t>
  </si>
  <si>
    <t>Курганская область</t>
  </si>
  <si>
    <t>Курская область</t>
  </si>
  <si>
    <t>Ленинградская область</t>
  </si>
  <si>
    <t>Липецкая область</t>
  </si>
  <si>
    <t>Луганская Народная Республика</t>
  </si>
  <si>
    <t>Магаданская область</t>
  </si>
  <si>
    <t>Москва</t>
  </si>
  <si>
    <t>Московская область</t>
  </si>
  <si>
    <t>Мурманская область</t>
  </si>
  <si>
    <t>Ненецкий автономный округ</t>
  </si>
  <si>
    <t>Нижегородская область</t>
  </si>
  <si>
    <t>Новгородская область</t>
  </si>
  <si>
    <t>Новосибирская область</t>
  </si>
  <si>
    <t>Омская область</t>
  </si>
  <si>
    <t>Оренбургская область</t>
  </si>
  <si>
    <t>Орловская область</t>
  </si>
  <si>
    <t>Пензенская область</t>
  </si>
  <si>
    <t>Пермский край</t>
  </si>
  <si>
    <t>Приморский край</t>
  </si>
  <si>
    <t>Псковская область</t>
  </si>
  <si>
    <t>Республика Адыгея</t>
  </si>
  <si>
    <t>Республика Алтай</t>
  </si>
  <si>
    <t>Республика Башкортостан</t>
  </si>
  <si>
    <t>Республика Бурятия</t>
  </si>
  <si>
    <t>Республика Дагестан</t>
  </si>
  <si>
    <t>Республика Ингушетия</t>
  </si>
  <si>
    <t>Республика Калмыкия</t>
  </si>
  <si>
    <t>Республика Карелия</t>
  </si>
  <si>
    <t>Республика Коми</t>
  </si>
  <si>
    <t>Республика Крым</t>
  </si>
  <si>
    <t>Республика Марий Эл</t>
  </si>
  <si>
    <t>Республика Мордовия</t>
  </si>
  <si>
    <t>Республика Саха (Якутия)</t>
  </si>
  <si>
    <t>Республика Северная Осетия – Алания</t>
  </si>
  <si>
    <t>Республика Татарстан</t>
  </si>
  <si>
    <t>Республика Тыва</t>
  </si>
  <si>
    <t>Республика Хакасия</t>
  </si>
  <si>
    <t>Ростовская область</t>
  </si>
  <si>
    <t>Рязанская область</t>
  </si>
  <si>
    <t>Самарская область</t>
  </si>
  <si>
    <t>Санкт-Петербург</t>
  </si>
  <si>
    <t>Саратовская область</t>
  </si>
  <si>
    <t>Сахалинская область</t>
  </si>
  <si>
    <t>Свердловская область</t>
  </si>
  <si>
    <t>Севастополь</t>
  </si>
  <si>
    <t>Смоленская область</t>
  </si>
  <si>
    <t>Ставропольский край</t>
  </si>
  <si>
    <t>Тамбовская область</t>
  </si>
  <si>
    <t>Тверская область</t>
  </si>
  <si>
    <t>Томская область</t>
  </si>
  <si>
    <t>Тульская область</t>
  </si>
  <si>
    <t>Тюменская область</t>
  </si>
  <si>
    <t>Удмуртская Республика</t>
  </si>
  <si>
    <t>Ульяновская область</t>
  </si>
  <si>
    <t>Хабаровский край</t>
  </si>
  <si>
    <t>Ханты-Мансийский автономный округ – Югра</t>
  </si>
  <si>
    <t>Херсонская область</t>
  </si>
  <si>
    <t>Челябинская область</t>
  </si>
  <si>
    <t>Чеченская Республика</t>
  </si>
  <si>
    <t>Чувашская Республика</t>
  </si>
  <si>
    <t>Чукотский автономный округ</t>
  </si>
  <si>
    <t>Ямало-Ненецкий автономный округ</t>
  </si>
  <si>
    <t>Ярославская область</t>
  </si>
  <si>
    <t>Перечень валют</t>
  </si>
  <si>
    <t>Валюта</t>
  </si>
  <si>
    <t>Буквенный код</t>
  </si>
  <si>
    <t>Доллар США</t>
  </si>
  <si>
    <t>Евро</t>
  </si>
  <si>
    <t>Китайский юань</t>
  </si>
  <si>
    <t>Швейцарский франк</t>
  </si>
  <si>
    <t>CHF</t>
  </si>
  <si>
    <t>Фунт стерлингов Соединенного королевства</t>
  </si>
  <si>
    <t>GBP</t>
  </si>
  <si>
    <t>Австралийский доллар</t>
  </si>
  <si>
    <t>AUD</t>
  </si>
  <si>
    <t>Азербайджанский манат</t>
  </si>
  <si>
    <t>AZN</t>
  </si>
  <si>
    <t>Армянский драм</t>
  </si>
  <si>
    <t>AMD</t>
  </si>
  <si>
    <t>Белорусский рубль</t>
  </si>
  <si>
    <t>BYN</t>
  </si>
  <si>
    <t>Болгарский лев</t>
  </si>
  <si>
    <t>BGN</t>
  </si>
  <si>
    <t>Бразильский реал</t>
  </si>
  <si>
    <t>BRL</t>
  </si>
  <si>
    <t>Венгерский форинт</t>
  </si>
  <si>
    <t>HUF</t>
  </si>
  <si>
    <t>Вон Республики Корея</t>
  </si>
  <si>
    <t>KRW</t>
  </si>
  <si>
    <t>Гонконгский доллар</t>
  </si>
  <si>
    <t>HKD</t>
  </si>
  <si>
    <t>Датская крона</t>
  </si>
  <si>
    <t>DKK</t>
  </si>
  <si>
    <t>Индийский рупий</t>
  </si>
  <si>
    <t>INR</t>
  </si>
  <si>
    <t>Казахстанский тенге</t>
  </si>
  <si>
    <t>KZT</t>
  </si>
  <si>
    <t>Канадский доллар</t>
  </si>
  <si>
    <t>CAD</t>
  </si>
  <si>
    <t>Киргизский сом</t>
  </si>
  <si>
    <t>KGS</t>
  </si>
  <si>
    <t>Молдавский лей</t>
  </si>
  <si>
    <t>MDL</t>
  </si>
  <si>
    <t>Новый туркменский манат</t>
  </si>
  <si>
    <t>TMT</t>
  </si>
  <si>
    <t>Норвежская крона</t>
  </si>
  <si>
    <t>NOK</t>
  </si>
  <si>
    <t>Польский злотый</t>
  </si>
  <si>
    <t>PLN</t>
  </si>
  <si>
    <t>Румынский лей</t>
  </si>
  <si>
    <t>RON</t>
  </si>
  <si>
    <t>Сингапурский доллар</t>
  </si>
  <si>
    <t>SGD</t>
  </si>
  <si>
    <t>Таджикский сомони</t>
  </si>
  <si>
    <t>TJS</t>
  </si>
  <si>
    <t>Турецкая лира</t>
  </si>
  <si>
    <t>TRY</t>
  </si>
  <si>
    <t>Узбекский сум</t>
  </si>
  <si>
    <t>UZS</t>
  </si>
  <si>
    <t>Украинская гривна</t>
  </si>
  <si>
    <t>UAH</t>
  </si>
  <si>
    <t>Чешская крона</t>
  </si>
  <si>
    <t>CZK</t>
  </si>
  <si>
    <t>Шведская крона</t>
  </si>
  <si>
    <t>SEK</t>
  </si>
  <si>
    <t>Южноафриканский рэнд</t>
  </si>
  <si>
    <t>ZAR</t>
  </si>
  <si>
    <t>Японская иена</t>
  </si>
  <si>
    <t>JPY</t>
  </si>
  <si>
    <t>Установить параметры привлечения займа ФРП на листе "Параметры займа".</t>
  </si>
  <si>
    <t>Установить значение выручки за последние 4 календарных квартала, предшествующих прогнозному кварталу получения займа ФРП.</t>
  </si>
  <si>
    <t>Установить значение валовой прибыли (убытка) за последние 4 календарных квартала, предшествующих прогнозному кварталу получения займа ФРП.2</t>
  </si>
  <si>
    <t>Установить значение процентов к получению за последние 4 календарных квартала, предшествующих прогнозному кварталу получения займа ФРП.</t>
  </si>
  <si>
    <t>Установить значение процентов к уплате за последние 4 календарных квартала, предшествующих прогнозному кварталу получения займа ФРП.3</t>
  </si>
  <si>
    <t>Установить значение прибыли (убытка) до налогообложения за последние 4 календарных квартала, предшествующих прогнозному кварталу получения займа ФРП.2</t>
  </si>
  <si>
    <t>Установить значение чистой прибыли (убытка) за последние 4 календарных квартала, предшествующих прогнозному кварталу получения займа ФРП.2</t>
  </si>
  <si>
    <t>Установить значение начисленной амортизации за последние 4 календарных квартала, предшествующих прогнозному кварталу получения займа ФРП.4</t>
  </si>
  <si>
    <t>Если данные по выручке и уплаченным налогам за последний отчетный год неприменимы по отношению к планируемой деятельности, то установить расчетное значение отношения суммы отмеченных налогов к общей сумме выручки за последний отчетный год</t>
  </si>
  <si>
    <t>Установить значение привлечения долга за последние 4 календарных квартала, предшествующих прогнозному кварталу получения займа ФРП.</t>
  </si>
  <si>
    <t>Установить значение привлечения взносов акционеров (учредителей) за последние 4 календарных квартала, предшествующих прогнозному кварталу получения займа ФРП.</t>
  </si>
  <si>
    <t>Установить значение погашения долга за последние 4 календарных квартала, предшествующих прогнозному кварталу получения займа ФРП.2</t>
  </si>
  <si>
    <t>Установить значение уплаченных процентов за последние 4 календарных квартала, предшествующих прогнозному кварталу получения займа ФРП.2</t>
  </si>
  <si>
    <r>
      <t>Установить фактическое значение остатка денежных средств на конец квартала, предшествующего прогнозному кварталу получения займа ФРП.</t>
    </r>
    <r>
      <rPr>
        <vertAlign val="superscript"/>
        <sz val="11"/>
        <color theme="1"/>
        <rFont val="Calibri"/>
        <family val="2"/>
        <charset val="204"/>
        <scheme val="minor"/>
      </rPr>
      <t>2</t>
    </r>
  </si>
  <si>
    <r>
      <t>Заполнить прогнозный отчет о движении денежных средств по периодам (не накопленным итогом). Основные допущения, использованные при построении прогнозного отчёта, указать на листе "Источники". При заполнении следует учесть денежные потоки в рамках финансирования проекта, указанные в соответствующих разделах с пометкой Справочно</t>
    </r>
    <r>
      <rPr>
        <vertAlign val="superscript"/>
        <sz val="11"/>
        <color theme="1"/>
        <rFont val="Calibri"/>
        <family val="2"/>
        <charset val="204"/>
        <scheme val="minor"/>
      </rPr>
      <t>1</t>
    </r>
  </si>
  <si>
    <t>Доля налогов</t>
  </si>
  <si>
    <t>На листе "Предпосылки" доля налогов в выручке по проекту находится в диапазоне от 0 до 100%.</t>
  </si>
  <si>
    <t>Cохранение листов "Руководство", "Выводы" в виде презентации: Файл --&gt;  Сохранить как --&gt; Обзор (выберите папку) --&gt; Имя файла (укажите наименование) --&gt; Тип файла (выберите PDF) --&gt; Сохранить</t>
  </si>
  <si>
    <t>Улучшение экологической обстановки</t>
  </si>
  <si>
    <t>Льготная ставка не предусмотрена</t>
  </si>
  <si>
    <r>
      <rPr>
        <b/>
        <sz val="11"/>
        <color theme="1"/>
        <rFont val="Calibri"/>
        <family val="2"/>
        <charset val="204"/>
        <scheme val="minor"/>
      </rPr>
      <t>Финансирование , направленных на комплексное предотвращение и (или) минимизацию негативного воздействия</t>
    </r>
    <r>
      <rPr>
        <sz val="11"/>
        <color theme="1"/>
        <rFont val="Calibri"/>
        <family val="2"/>
        <charset val="204"/>
        <scheme val="minor"/>
      </rPr>
      <t xml:space="preserve"> на окружающую среду (включая внедрение наилучших доступных технологий), на снижение выбросов и сбросов опасных загрязняющих веществ, оказывающих негативное воздействие на окружающую среду и здоровье человека (в том числе снижение уровня загрязнения атмосферного воздуха, воды), на строительство5 и реконструкцию (модернизацию) очистных сооружений.</t>
    </r>
    <r>
      <rPr>
        <b/>
        <sz val="11"/>
        <color theme="1"/>
        <rFont val="Calibri"/>
        <family val="2"/>
        <charset val="204"/>
        <scheme val="minor"/>
      </rPr>
      <t xml:space="preserve">
Софинансирование со стороны заявителя, частных инвесторов или банков</t>
    </r>
    <r>
      <rPr>
        <sz val="11"/>
        <color theme="1"/>
        <rFont val="Calibri"/>
        <family val="2"/>
        <charset val="204"/>
        <scheme val="minor"/>
      </rPr>
      <t xml:space="preserve">: ≥ 20% бюджета проекта.
</t>
    </r>
    <r>
      <rPr>
        <b/>
        <sz val="11"/>
        <color theme="1"/>
        <rFont val="Calibri"/>
        <family val="2"/>
        <charset val="204"/>
        <scheme val="minor"/>
      </rPr>
      <t>Обеспечение:</t>
    </r>
    <r>
      <rPr>
        <sz val="11"/>
        <color theme="1"/>
        <rFont val="Calibri"/>
        <family val="2"/>
        <charset val="204"/>
        <scheme val="minor"/>
      </rPr>
      <t xml:space="preserve">
Для госкорпораций либо их дочерних обществ, а также ПАО, акции которых обращаются на бирже, обеспечение не требуется
Для прочих компаний - обеспечение в соответствии со стандартом Фонда
Процентная ставка:
- 3 (Три) процента годовых на весь срок займа при условии соответствия финансового положения Заявителя критериям, определенным Наблюдательным
советом, либо при условии предоставления на всю сумму займа и на весь срок займа обеспечения в виде независимых гарантий и (или) поручительств лиц, указанных в разделах I, II, III и IV приложения 1 "Виды Основного обеспечения, принимаемого Фондом по финансируемым проектам" к Стандарту Фонда № СФ-И-82;
- 5 (Пять) процентов годовых на весь срок займа при предоставлении иного обеспечения, соответствующего требованиям Стандарта Фонда № СФ-И-82.</t>
    </r>
  </si>
  <si>
    <t xml:space="preserve"> - 3 (Три) процента годовых на весь срок займа при условии соответствия финансового положения Заявителя критериям, определенным Наблюдательным советом, либо при условии предоставления на всю сумму займа и на весь срок займа
обеспечения в виде независимых гарантий и (или) поручительств лиц, указанных в разделах I, II, III и IV приложения 1 "Виды Основного обеспечения, принимаемого Фондом по финансируемым проектам" к Стандарту Фонда № СФ-И-82</t>
  </si>
  <si>
    <t>Льготная ставка при приобретении российского оборудования (ПП РФ 719)</t>
  </si>
  <si>
    <t>Сумма погашения равна сумме займа</t>
  </si>
  <si>
    <t>Инфляция</t>
  </si>
  <si>
    <t>Расчёт CFADS и DSCR за последние 4 квартала (не накопленным итогом)</t>
  </si>
  <si>
    <t>Индекс цен за период</t>
  </si>
  <si>
    <t>Накопленный индекс цен</t>
  </si>
  <si>
    <r>
      <t xml:space="preserve">  - уплата процентов по займу Фонда </t>
    </r>
    <r>
      <rPr>
        <sz val="11"/>
        <color rgb="FFFF0000"/>
        <rFont val="Calibri"/>
        <family val="2"/>
        <charset val="204"/>
        <scheme val="minor"/>
      </rPr>
      <t>(-)</t>
    </r>
  </si>
  <si>
    <r>
      <t xml:space="preserve">  - уплата процентов по заемным средствам других инвесторов проекта (без учета лизинга) </t>
    </r>
    <r>
      <rPr>
        <sz val="11"/>
        <color rgb="FFFF0000"/>
        <rFont val="Calibri"/>
        <family val="2"/>
        <charset val="204"/>
        <scheme val="minor"/>
      </rPr>
      <t>(-)</t>
    </r>
  </si>
  <si>
    <t>Цена за единицу продукции, тыс. в т.ч. НДС (без учета инфляции)</t>
  </si>
  <si>
    <t>Объем продаж в денежном выражении (с учетом инфляции), тыс. руб. без НДС</t>
  </si>
  <si>
    <t>Объем продаж продукции проекта</t>
  </si>
  <si>
    <t>Доля продукции проекта в общей выручке</t>
  </si>
  <si>
    <t>Средства лизинговой компании</t>
  </si>
  <si>
    <t>Лизинговые платежи (без учета аванса) по графику, с НДС</t>
  </si>
  <si>
    <t>Версия сокращенной ФМ: 2.3</t>
  </si>
  <si>
    <t>Продукт 1</t>
  </si>
  <si>
    <t>Формирование складских запасов для производства станкоинструментальной продукции</t>
  </si>
  <si>
    <t>Наличие обязательств Заявителя о направлении средств, не являющихся средствами займа, в размере не менее 25 % от суммы займа на финансирование формирования складских запасов для производства станкоинструментальной продукции в рамках проекта не позднее 6 месяцев с даты заключения договора займа. Затраты, понесенные Заявителем по проекту до даты подачи заявки на финансирование, не могут быть учтены в общем объеме софинансирования</t>
  </si>
  <si>
    <t xml:space="preserve"> - аванс по договору лизинга</t>
  </si>
  <si>
    <t>2015-2026</t>
  </si>
  <si>
    <t>Продукт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</si>
</sst>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64" formatCode="0.0%"/>
    <numFmt numFmtId="165" formatCode="#,##0.00_ ;[Red]\-#,##0.00\ "/>
    <numFmt numFmtId="166" formatCode="#,##0_ ;[Red]\-#,##0\ "/>
    <numFmt numFmtId="167" formatCode="0.0\х"/>
    <numFmt numFmtId="168" formatCode="#,##0.0"/>
    <numFmt numFmtId="169" formatCode="#,##0.00;;"/>
  </numFmts>
  <fonts count="60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4"/>
      <color rgb="FF092332"/>
      <name val="Brutal Type"/>
      <family val="3"/>
    </font>
    <font>
      <sz val="11"/>
      <color rgb="FF092332"/>
      <name val="Calibri"/>
      <family val="2"/>
      <charset val="204"/>
      <scheme val="minor"/>
    </font>
    <font>
      <sz val="10"/>
      <color rgb="FF092332"/>
      <name val="Calibri"/>
      <family val="2"/>
      <charset val="204"/>
      <scheme val="minor"/>
    </font>
    <font>
      <b/>
      <sz val="12"/>
      <color rgb="FF092332"/>
      <name val="Calibri"/>
      <family val="2"/>
      <charset val="204"/>
      <scheme val="minor"/>
    </font>
    <font>
      <b/>
      <sz val="24"/>
      <color theme="1"/>
      <name val="Calibri Light"/>
      <family val="2"/>
      <charset val="204"/>
      <scheme val="major"/>
    </font>
    <font>
      <sz val="14"/>
      <color theme="1"/>
      <name val="Calibri"/>
      <family val="2"/>
      <charset val="204"/>
      <scheme val="minor"/>
    </font>
    <font>
      <b/>
      <sz val="14"/>
      <color rgb="FF092332"/>
      <name val="Calibri"/>
      <family val="2"/>
      <charset val="204"/>
      <scheme val="minor"/>
    </font>
    <font>
      <b/>
      <sz val="12"/>
      <color theme="1" tint="0.499984740745262"/>
      <name val="Calibri Light"/>
      <family val="2"/>
      <charset val="204"/>
      <scheme val="major"/>
    </font>
    <font>
      <sz val="10"/>
      <color theme="1"/>
      <name val="Calibri"/>
      <family val="2"/>
      <scheme val="minor"/>
    </font>
    <font>
      <b/>
      <sz val="10"/>
      <color theme="0"/>
      <name val="Calibri"/>
      <family val="2"/>
      <charset val="204"/>
      <scheme val="minor"/>
    </font>
    <font>
      <sz val="6"/>
      <color theme="1"/>
      <name val="Calibri"/>
      <family val="2"/>
      <scheme val="minor"/>
    </font>
    <font>
      <b/>
      <sz val="16"/>
      <color theme="1" tint="0.14999847407452621"/>
      <name val="Calibri Light"/>
      <family val="2"/>
      <charset val="204"/>
      <scheme val="major"/>
    </font>
    <font>
      <b/>
      <sz val="12"/>
      <color theme="1" tint="0.34998626667073579"/>
      <name val="Calibri Light"/>
      <family val="2"/>
      <charset val="204"/>
      <scheme val="major"/>
    </font>
    <font>
      <b/>
      <sz val="10"/>
      <color theme="2" tint="-0.499984740745262"/>
      <name val="Calibri Light"/>
      <family val="2"/>
      <charset val="204"/>
      <scheme val="major"/>
    </font>
    <font>
      <b/>
      <sz val="11"/>
      <color rgb="FFFF0000"/>
      <name val="Calibri"/>
      <family val="2"/>
      <charset val="204"/>
      <scheme val="minor"/>
    </font>
    <font>
      <u/>
      <sz val="11"/>
      <color theme="10"/>
      <name val="Calibri"/>
      <family val="2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  <font>
      <vertAlign val="subscript"/>
      <sz val="11"/>
      <color theme="1"/>
      <name val="Calibri"/>
      <family val="2"/>
      <charset val="204"/>
      <scheme val="minor"/>
    </font>
    <font>
      <sz val="14"/>
      <color theme="1"/>
      <name val="Wingdings 2"/>
      <family val="1"/>
      <charset val="2"/>
    </font>
    <font>
      <sz val="11"/>
      <color theme="10"/>
      <name val="Calibri"/>
      <family val="2"/>
      <scheme val="minor"/>
    </font>
    <font>
      <vertAlign val="superscript"/>
      <sz val="11"/>
      <color theme="1"/>
      <name val="Calibri"/>
      <family val="2"/>
      <charset val="204"/>
      <scheme val="minor"/>
    </font>
    <font>
      <sz val="8"/>
      <color theme="0"/>
      <name val="Calibri"/>
      <family val="2"/>
      <scheme val="minor"/>
    </font>
    <font>
      <b/>
      <vertAlign val="superscript"/>
      <sz val="10"/>
      <color theme="2" tint="-0.499984740745262"/>
      <name val="Calibri Light"/>
      <family val="2"/>
      <charset val="204"/>
      <scheme val="major"/>
    </font>
    <font>
      <sz val="11"/>
      <color theme="1"/>
      <name val="Calibri"/>
      <family val="2"/>
      <scheme val="minor"/>
    </font>
    <font>
      <b/>
      <vertAlign val="superscript"/>
      <sz val="16"/>
      <color theme="1" tint="0.14996795556505021"/>
      <name val="Calibri Light"/>
      <family val="2"/>
      <charset val="204"/>
      <scheme val="major"/>
    </font>
    <font>
      <sz val="11"/>
      <color theme="0"/>
      <name val="Calibri"/>
      <family val="2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b/>
      <sz val="11"/>
      <color theme="0"/>
      <name val="Calibri"/>
      <family val="2"/>
      <scheme val="minor"/>
    </font>
    <font>
      <sz val="10"/>
      <color theme="1"/>
      <name val="Arial Narrow"/>
      <family val="2"/>
      <charset val="204"/>
    </font>
    <font>
      <i/>
      <sz val="10"/>
      <color theme="1"/>
      <name val="Arial Narrow"/>
      <family val="2"/>
      <charset val="204"/>
    </font>
    <font>
      <b/>
      <sz val="10"/>
      <color rgb="FFFFFFFF"/>
      <name val="Arial Narrow"/>
      <family val="2"/>
      <charset val="204"/>
    </font>
    <font>
      <sz val="10"/>
      <color rgb="FFFFFFFF"/>
      <name val="Arial Narrow"/>
      <family val="2"/>
      <charset val="204"/>
    </font>
    <font>
      <sz val="10"/>
      <color rgb="FF000000"/>
      <name val="Arial Narrow"/>
      <family val="2"/>
      <charset val="204"/>
    </font>
    <font>
      <i/>
      <sz val="10"/>
      <color rgb="FF000000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b/>
      <sz val="10"/>
      <name val="Arial Narrow"/>
      <family val="2"/>
      <charset val="204"/>
    </font>
    <font>
      <sz val="10"/>
      <color theme="0"/>
      <name val="Arial Narrow"/>
      <family val="2"/>
      <charset val="204"/>
    </font>
    <font>
      <sz val="9"/>
      <color rgb="FFFFFFFF"/>
      <name val="Arial Narrow"/>
      <family val="2"/>
      <charset val="204"/>
    </font>
    <font>
      <sz val="9"/>
      <color theme="1"/>
      <name val="Arial Narrow"/>
      <family val="2"/>
      <charset val="204"/>
    </font>
    <font>
      <sz val="10"/>
      <name val="Arial Narrow"/>
      <family val="2"/>
      <charset val="204"/>
    </font>
    <font>
      <b/>
      <sz val="1"/>
      <color rgb="FF2A2D4F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b/>
      <sz val="16"/>
      <color theme="1"/>
      <name val="Calibri Light"/>
      <family val="2"/>
      <charset val="204"/>
      <scheme val="major"/>
    </font>
  </fonts>
  <fills count="9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548DD4"/>
        <bgColor indexed="64"/>
      </patternFill>
    </fill>
    <fill>
      <patternFill patternType="solid">
        <fgColor rgb="FFFFF6DD"/>
        <bgColor indexed="64"/>
      </patternFill>
    </fill>
    <fill>
      <patternFill patternType="solid">
        <fgColor rgb="FF2A2D4F"/>
        <bgColor indexed="64"/>
      </patternFill>
    </fill>
    <fill>
      <patternFill patternType="solid">
        <fgColor rgb="FFC8E6E5"/>
        <bgColor indexed="64"/>
      </patternFill>
    </fill>
  </fills>
  <borders count="59">
    <border>
      <left/>
      <right/>
      <top/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/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/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1" tint="0.499984740745262"/>
      </left>
      <right style="thin">
        <color theme="0"/>
      </right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0"/>
      </left>
      <right style="thin">
        <color theme="0"/>
      </right>
      <top/>
      <bottom style="thin">
        <color theme="1" tint="0.499984740745262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1" tint="0.499984740745262"/>
      </left>
      <right/>
      <top style="thin">
        <color theme="0"/>
      </top>
      <bottom style="thin">
        <color theme="1" tint="0.499984740745262"/>
      </bottom>
      <diagonal/>
    </border>
    <border>
      <left/>
      <right/>
      <top style="thin">
        <color theme="0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0"/>
      </top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/>
      <right/>
      <top style="thin">
        <color theme="1" tint="0.499984740745262"/>
      </top>
      <bottom/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/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  <border>
      <left/>
      <right/>
      <top/>
      <bottom style="thin">
        <color theme="0" tint="-0.14999847407452621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/>
      <diagonal/>
    </border>
    <border>
      <left/>
      <right/>
      <top style="thin">
        <color theme="0" tint="-0.14999847407452621"/>
      </top>
      <bottom/>
      <diagonal/>
    </border>
    <border>
      <left/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/>
      <top/>
      <bottom/>
      <diagonal/>
    </border>
    <border>
      <left/>
      <right style="thin">
        <color theme="0" tint="-0.14999847407452621"/>
      </right>
      <top/>
      <bottom/>
      <diagonal/>
    </border>
    <border>
      <left style="thin">
        <color theme="0" tint="-0.14999847407452621"/>
      </left>
      <right/>
      <top/>
      <bottom style="thin">
        <color theme="0" tint="-0.14999847407452621"/>
      </bottom>
      <diagonal/>
    </border>
    <border>
      <left/>
      <right style="thin">
        <color theme="0" tint="-0.14999847407452621"/>
      </right>
      <top/>
      <bottom style="thin">
        <color theme="0" tint="-0.14999847407452621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1" tint="0.499984740745262"/>
      </left>
      <right/>
      <top/>
      <bottom/>
      <diagonal/>
    </border>
    <border>
      <left/>
      <right style="thin">
        <color theme="1" tint="0.499984740745262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/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indexed="64"/>
      </bottom>
      <diagonal/>
    </border>
    <border>
      <left style="thin">
        <color theme="1" tint="0.499984740745262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theme="1" tint="0.499984740745262"/>
      </right>
      <top/>
      <bottom style="thin">
        <color indexed="64"/>
      </bottom>
      <diagonal/>
    </border>
  </borders>
  <cellStyleXfs count="8">
    <xf numFmtId="0" fontId="0" fillId="0" borderId="0"/>
    <xf numFmtId="0" fontId="30" fillId="0" borderId="0" applyNumberFormat="0" applyFill="0" applyBorder="0" applyAlignment="0" applyProtection="0"/>
    <xf numFmtId="0" fontId="42" fillId="0" borderId="0"/>
    <xf numFmtId="0" fontId="43" fillId="0" borderId="0"/>
    <xf numFmtId="0" fontId="13" fillId="7" borderId="5" applyNumberFormat="0" applyBorder="0" applyAlignment="0" applyProtection="0">
      <alignment horizontal="center" vertical="center" wrapText="1"/>
    </xf>
    <xf numFmtId="0" fontId="39" fillId="6" borderId="1" applyNumberFormat="0" applyBorder="0" applyAlignment="0" applyProtection="0">
      <alignment horizontal="center" vertical="top" wrapText="1"/>
    </xf>
    <xf numFmtId="164" fontId="39" fillId="8" borderId="2" applyNumberFormat="0" applyBorder="0" applyAlignment="0" applyProtection="0">
      <alignment horizontal="center" vertical="top" wrapText="1"/>
    </xf>
    <xf numFmtId="9" fontId="39" fillId="0" borderId="0" applyFont="0" applyFill="0" applyBorder="0" applyAlignment="0" applyProtection="0"/>
  </cellStyleXfs>
  <cellXfs count="567">
    <xf numFmtId="0" fontId="0" fillId="0" borderId="0" xfId="0"/>
    <xf numFmtId="0" fontId="15" fillId="0" borderId="0" xfId="0" applyFont="1" applyAlignment="1">
      <alignment vertical="center" wrapText="1"/>
    </xf>
    <xf numFmtId="0" fontId="17" fillId="0" borderId="0" xfId="0" applyFont="1" applyAlignment="1">
      <alignment vertical="center" wrapText="1"/>
    </xf>
    <xf numFmtId="0" fontId="18" fillId="0" borderId="0" xfId="0" applyFont="1" applyAlignment="1">
      <alignment vertical="center"/>
    </xf>
    <xf numFmtId="0" fontId="16" fillId="0" borderId="0" xfId="0" applyFont="1" applyAlignment="1">
      <alignment vertical="center"/>
    </xf>
    <xf numFmtId="0" fontId="0" fillId="0" borderId="0" xfId="0" applyAlignment="1">
      <alignment vertical="top" wrapText="1"/>
    </xf>
    <xf numFmtId="0" fontId="14" fillId="0" borderId="0" xfId="0" applyFont="1" applyAlignment="1"/>
    <xf numFmtId="0" fontId="19" fillId="0" borderId="0" xfId="0" applyFont="1" applyAlignment="1"/>
    <xf numFmtId="0" fontId="0" fillId="0" borderId="1" xfId="0" applyBorder="1" applyAlignment="1">
      <alignment vertical="top" wrapText="1"/>
    </xf>
    <xf numFmtId="0" fontId="0" fillId="0" borderId="1" xfId="0" applyBorder="1" applyAlignment="1">
      <alignment horizontal="center" vertical="top" wrapText="1"/>
    </xf>
    <xf numFmtId="0" fontId="0" fillId="0" borderId="1" xfId="0" applyBorder="1" applyAlignment="1">
      <alignment vertical="top"/>
    </xf>
    <xf numFmtId="0" fontId="22" fillId="0" borderId="0" xfId="0" applyFont="1" applyAlignment="1">
      <alignment vertical="top"/>
    </xf>
    <xf numFmtId="0" fontId="0" fillId="3" borderId="1" xfId="0" applyFill="1" applyBorder="1" applyAlignment="1">
      <alignment vertical="top" wrapText="1"/>
    </xf>
    <xf numFmtId="0" fontId="0" fillId="3" borderId="1" xfId="0" applyFill="1" applyBorder="1" applyAlignment="1">
      <alignment horizontal="center" vertical="top"/>
    </xf>
    <xf numFmtId="0" fontId="23" fillId="0" borderId="0" xfId="0" applyFont="1" applyAlignment="1">
      <alignment vertical="top"/>
    </xf>
    <xf numFmtId="0" fontId="0" fillId="3" borderId="1" xfId="0" applyFill="1" applyBorder="1" applyAlignment="1">
      <alignment horizontal="left" vertical="center" wrapText="1"/>
    </xf>
    <xf numFmtId="0" fontId="0" fillId="3" borderId="4" xfId="0" applyFill="1" applyBorder="1" applyAlignment="1">
      <alignment horizontal="left" vertical="center" wrapText="1"/>
    </xf>
    <xf numFmtId="0" fontId="0" fillId="3" borderId="2" xfId="0" applyFill="1" applyBorder="1" applyAlignment="1">
      <alignment horizontal="left" vertical="center" wrapText="1"/>
    </xf>
    <xf numFmtId="0" fontId="0" fillId="0" borderId="8" xfId="0" applyBorder="1" applyAlignment="1">
      <alignment vertical="top" wrapText="1"/>
    </xf>
    <xf numFmtId="0" fontId="0" fillId="0" borderId="10" xfId="0" applyBorder="1"/>
    <xf numFmtId="0" fontId="0" fillId="3" borderId="2" xfId="0" applyFill="1" applyBorder="1" applyAlignment="1">
      <alignment vertical="top" wrapText="1"/>
    </xf>
    <xf numFmtId="0" fontId="26" fillId="0" borderId="0" xfId="0" applyFont="1" applyAlignment="1">
      <alignment vertical="top"/>
    </xf>
    <xf numFmtId="0" fontId="27" fillId="0" borderId="0" xfId="0" applyFont="1" applyAlignment="1">
      <alignment vertical="top"/>
    </xf>
    <xf numFmtId="0" fontId="28" fillId="0" borderId="0" xfId="0" applyFont="1" applyAlignment="1">
      <alignment vertical="top"/>
    </xf>
    <xf numFmtId="14" fontId="14" fillId="0" borderId="0" xfId="0" applyNumberFormat="1" applyFont="1" applyAlignment="1"/>
    <xf numFmtId="0" fontId="0" fillId="3" borderId="2" xfId="0" applyFill="1" applyBorder="1" applyAlignment="1">
      <alignment horizontal="left" vertical="center" wrapText="1"/>
    </xf>
    <xf numFmtId="0" fontId="0" fillId="3" borderId="4" xfId="0" applyFill="1" applyBorder="1" applyAlignment="1">
      <alignment horizontal="left" vertical="center" wrapText="1"/>
    </xf>
    <xf numFmtId="0" fontId="0" fillId="0" borderId="0" xfId="0" applyBorder="1"/>
    <xf numFmtId="0" fontId="0" fillId="0" borderId="31" xfId="0" applyBorder="1"/>
    <xf numFmtId="0" fontId="0" fillId="4" borderId="32" xfId="0" applyFill="1" applyBorder="1"/>
    <xf numFmtId="0" fontId="0" fillId="4" borderId="33" xfId="0" applyFill="1" applyBorder="1"/>
    <xf numFmtId="0" fontId="0" fillId="4" borderId="34" xfId="0" applyFill="1" applyBorder="1"/>
    <xf numFmtId="0" fontId="0" fillId="4" borderId="37" xfId="0" applyFill="1" applyBorder="1"/>
    <xf numFmtId="0" fontId="0" fillId="4" borderId="31" xfId="0" applyFill="1" applyBorder="1"/>
    <xf numFmtId="0" fontId="0" fillId="4" borderId="38" xfId="0" applyFill="1" applyBorder="1"/>
    <xf numFmtId="0" fontId="25" fillId="0" borderId="0" xfId="0" applyFont="1" applyAlignment="1">
      <alignment horizontal="left"/>
    </xf>
    <xf numFmtId="0" fontId="0" fillId="0" borderId="2" xfId="0" applyBorder="1" applyAlignment="1">
      <alignment horizontal="center" vertical="top" wrapText="1"/>
    </xf>
    <xf numFmtId="0" fontId="0" fillId="0" borderId="0" xfId="0" applyProtection="1"/>
    <xf numFmtId="0" fontId="19" fillId="0" borderId="0" xfId="0" applyFont="1" applyAlignment="1" applyProtection="1"/>
    <xf numFmtId="0" fontId="14" fillId="0" borderId="0" xfId="0" applyFont="1" applyAlignment="1" applyProtection="1"/>
    <xf numFmtId="0" fontId="26" fillId="0" borderId="0" xfId="0" applyFont="1" applyAlignment="1" applyProtection="1">
      <alignment vertical="top"/>
    </xf>
    <xf numFmtId="0" fontId="0" fillId="0" borderId="0" xfId="0" applyAlignment="1" applyProtection="1">
      <alignment vertical="top" wrapText="1"/>
    </xf>
    <xf numFmtId="0" fontId="23" fillId="0" borderId="0" xfId="0" applyFont="1" applyProtection="1"/>
    <xf numFmtId="14" fontId="0" fillId="0" borderId="4" xfId="0" applyNumberFormat="1" applyBorder="1" applyAlignment="1" applyProtection="1">
      <alignment horizontal="center" vertical="top" wrapText="1"/>
    </xf>
    <xf numFmtId="0" fontId="0" fillId="0" borderId="1" xfId="0" applyBorder="1" applyAlignment="1" applyProtection="1">
      <alignment horizontal="center" vertical="top" wrapText="1"/>
    </xf>
    <xf numFmtId="0" fontId="19" fillId="0" borderId="8" xfId="0" applyFont="1" applyBorder="1" applyAlignment="1"/>
    <xf numFmtId="0" fontId="14" fillId="0" borderId="8" xfId="0" applyFont="1" applyBorder="1" applyAlignment="1"/>
    <xf numFmtId="0" fontId="0" fillId="3" borderId="2" xfId="0" applyFill="1" applyBorder="1" applyAlignment="1">
      <alignment horizontal="left" vertical="center" wrapText="1"/>
    </xf>
    <xf numFmtId="0" fontId="34" fillId="3" borderId="1" xfId="0" applyFont="1" applyFill="1" applyBorder="1" applyAlignment="1">
      <alignment horizontal="center" vertical="center" wrapText="1"/>
    </xf>
    <xf numFmtId="0" fontId="0" fillId="3" borderId="0" xfId="0" applyFill="1" applyBorder="1" applyAlignment="1">
      <alignment horizontal="center" vertical="top"/>
    </xf>
    <xf numFmtId="0" fontId="37" fillId="0" borderId="0" xfId="0" applyFont="1" applyAlignment="1">
      <alignment horizontal="right"/>
    </xf>
    <xf numFmtId="0" fontId="9" fillId="3" borderId="1" xfId="0" applyFont="1" applyFill="1" applyBorder="1" applyAlignment="1">
      <alignment horizontal="left" vertical="center" wrapText="1"/>
    </xf>
    <xf numFmtId="14" fontId="0" fillId="3" borderId="0" xfId="0" applyNumberFormat="1" applyFill="1" applyBorder="1" applyAlignment="1">
      <alignment horizontal="center" vertical="top"/>
    </xf>
    <xf numFmtId="14" fontId="0" fillId="0" borderId="0" xfId="0" applyNumberFormat="1" applyBorder="1" applyAlignment="1">
      <alignment horizontal="center" vertical="top" wrapText="1"/>
    </xf>
    <xf numFmtId="0" fontId="0" fillId="0" borderId="0" xfId="0" applyBorder="1" applyAlignment="1">
      <alignment horizontal="center" vertical="top" wrapText="1"/>
    </xf>
    <xf numFmtId="0" fontId="0" fillId="0" borderId="43" xfId="0" applyBorder="1" applyAlignment="1" applyProtection="1">
      <alignment vertical="top"/>
    </xf>
    <xf numFmtId="0" fontId="0" fillId="0" borderId="15" xfId="0" applyBorder="1" applyAlignment="1" applyProtection="1">
      <alignment vertical="center" wrapText="1"/>
    </xf>
    <xf numFmtId="0" fontId="0" fillId="0" borderId="1" xfId="0" applyBorder="1" applyAlignment="1" applyProtection="1">
      <alignment vertical="center" wrapText="1"/>
    </xf>
    <xf numFmtId="14" fontId="0" fillId="0" borderId="1" xfId="0" applyNumberFormat="1" applyBorder="1" applyAlignment="1" applyProtection="1">
      <alignment horizontal="center" vertical="center" wrapText="1"/>
    </xf>
    <xf numFmtId="4" fontId="0" fillId="3" borderId="1" xfId="0" applyNumberFormat="1" applyFill="1" applyBorder="1" applyAlignment="1" applyProtection="1">
      <alignment horizontal="center" vertical="center" wrapText="1"/>
    </xf>
    <xf numFmtId="4" fontId="0" fillId="2" borderId="2" xfId="0" applyNumberFormat="1" applyFill="1" applyBorder="1" applyAlignment="1" applyProtection="1">
      <alignment horizontal="center" vertical="center" wrapText="1"/>
    </xf>
    <xf numFmtId="0" fontId="0" fillId="0" borderId="4" xfId="0" applyBorder="1" applyAlignment="1" applyProtection="1">
      <alignment vertical="top"/>
    </xf>
    <xf numFmtId="0" fontId="0" fillId="0" borderId="1" xfId="0" applyBorder="1" applyAlignment="1" applyProtection="1">
      <alignment vertical="top"/>
    </xf>
    <xf numFmtId="0" fontId="10" fillId="3" borderId="1" xfId="0" applyFont="1" applyFill="1" applyBorder="1" applyAlignment="1">
      <alignment horizontal="left" vertical="center"/>
    </xf>
    <xf numFmtId="0" fontId="8" fillId="3" borderId="1" xfId="0" applyFont="1" applyFill="1" applyBorder="1" applyAlignment="1">
      <alignment horizontal="left" vertical="center"/>
    </xf>
    <xf numFmtId="0" fontId="39" fillId="0" borderId="2" xfId="1" applyFont="1" applyBorder="1" applyAlignment="1">
      <alignment horizontal="center" vertical="top" wrapText="1"/>
    </xf>
    <xf numFmtId="0" fontId="0" fillId="0" borderId="0" xfId="0" applyFill="1" applyBorder="1" applyAlignment="1" applyProtection="1">
      <alignment vertical="top"/>
    </xf>
    <xf numFmtId="0" fontId="0" fillId="0" borderId="0" xfId="0" applyAlignment="1" applyProtection="1">
      <alignment horizontal="center" vertical="center" wrapText="1"/>
    </xf>
    <xf numFmtId="0" fontId="0" fillId="0" borderId="1" xfId="0" applyNumberFormat="1" applyBorder="1" applyAlignment="1" applyProtection="1">
      <alignment horizontal="left" vertical="center" wrapText="1"/>
    </xf>
    <xf numFmtId="0" fontId="0" fillId="3" borderId="2" xfId="0" applyFill="1" applyBorder="1" applyAlignment="1">
      <alignment horizontal="left" vertical="center" wrapText="1"/>
    </xf>
    <xf numFmtId="0" fontId="0" fillId="3" borderId="28" xfId="0" applyFill="1" applyBorder="1" applyAlignment="1">
      <alignment horizontal="left" vertical="center" wrapText="1"/>
    </xf>
    <xf numFmtId="0" fontId="0" fillId="3" borderId="2" xfId="0" applyFill="1" applyBorder="1" applyAlignment="1" applyProtection="1">
      <alignment horizontal="center" vertical="top"/>
      <protection hidden="1"/>
    </xf>
    <xf numFmtId="0" fontId="0" fillId="3" borderId="2" xfId="0" applyFill="1" applyBorder="1" applyAlignment="1" applyProtection="1">
      <alignment horizontal="left" vertical="center" wrapText="1"/>
      <protection hidden="1"/>
    </xf>
    <xf numFmtId="0" fontId="34" fillId="3" borderId="1" xfId="0" applyFont="1" applyFill="1" applyBorder="1" applyAlignment="1" applyProtection="1">
      <alignment horizontal="center" vertical="center" wrapText="1"/>
      <protection hidden="1"/>
    </xf>
    <xf numFmtId="0" fontId="0" fillId="3" borderId="2" xfId="0" applyFill="1" applyBorder="1" applyAlignment="1" applyProtection="1">
      <alignment vertical="center" wrapText="1"/>
      <protection hidden="1"/>
    </xf>
    <xf numFmtId="4" fontId="0" fillId="3" borderId="2" xfId="0" applyNumberFormat="1" applyFill="1" applyBorder="1" applyAlignment="1" applyProtection="1">
      <alignment horizontal="center" vertical="top" wrapText="1"/>
      <protection hidden="1"/>
    </xf>
    <xf numFmtId="0" fontId="0" fillId="3" borderId="2" xfId="0" applyFill="1" applyBorder="1" applyAlignment="1" applyProtection="1">
      <alignment horizontal="center" vertical="top" wrapText="1"/>
      <protection hidden="1"/>
    </xf>
    <xf numFmtId="0" fontId="0" fillId="3" borderId="2" xfId="0" applyFill="1" applyBorder="1" applyAlignment="1" applyProtection="1">
      <alignment vertical="top" wrapText="1"/>
      <protection hidden="1"/>
    </xf>
    <xf numFmtId="0" fontId="0" fillId="3" borderId="1" xfId="0" applyFill="1" applyBorder="1" applyAlignment="1" applyProtection="1">
      <alignment vertical="top" wrapText="1"/>
      <protection hidden="1"/>
    </xf>
    <xf numFmtId="4" fontId="0" fillId="3" borderId="1" xfId="0" applyNumberFormat="1" applyFill="1" applyBorder="1" applyAlignment="1" applyProtection="1">
      <alignment horizontal="center" vertical="center" wrapText="1"/>
      <protection hidden="1"/>
    </xf>
    <xf numFmtId="0" fontId="28" fillId="0" borderId="0" xfId="0" applyFont="1" applyAlignment="1" applyProtection="1">
      <alignment vertical="top"/>
      <protection hidden="1"/>
    </xf>
    <xf numFmtId="4" fontId="0" fillId="3" borderId="2" xfId="0" applyNumberFormat="1" applyFill="1" applyBorder="1" applyAlignment="1" applyProtection="1">
      <alignment horizontal="center" vertical="center" wrapText="1"/>
      <protection hidden="1"/>
    </xf>
    <xf numFmtId="0" fontId="0" fillId="3" borderId="1" xfId="0" applyFill="1" applyBorder="1" applyAlignment="1" applyProtection="1">
      <alignment horizontal="left" vertical="center" wrapText="1"/>
      <protection hidden="1"/>
    </xf>
    <xf numFmtId="164" fontId="0" fillId="3" borderId="1" xfId="0" applyNumberFormat="1" applyFill="1" applyBorder="1" applyAlignment="1" applyProtection="1">
      <alignment horizontal="center" vertical="center" wrapText="1"/>
      <protection hidden="1"/>
    </xf>
    <xf numFmtId="14" fontId="0" fillId="0" borderId="1" xfId="0" applyNumberFormat="1" applyBorder="1" applyAlignment="1" applyProtection="1">
      <alignment horizontal="center" vertical="center" wrapText="1"/>
      <protection hidden="1"/>
    </xf>
    <xf numFmtId="0" fontId="0" fillId="0" borderId="1" xfId="0" applyNumberFormat="1" applyBorder="1" applyAlignment="1" applyProtection="1">
      <alignment horizontal="center" vertical="center" wrapText="1"/>
      <protection hidden="1"/>
    </xf>
    <xf numFmtId="0" fontId="29" fillId="0" borderId="0" xfId="0" applyFont="1" applyProtection="1">
      <protection hidden="1"/>
    </xf>
    <xf numFmtId="0" fontId="29" fillId="0" borderId="0" xfId="0" applyFont="1" applyAlignment="1" applyProtection="1">
      <alignment wrapText="1"/>
      <protection hidden="1"/>
    </xf>
    <xf numFmtId="0" fontId="0" fillId="0" borderId="0" xfId="0" applyProtection="1">
      <protection hidden="1"/>
    </xf>
    <xf numFmtId="0" fontId="26" fillId="0" borderId="0" xfId="0" applyFont="1" applyAlignment="1" applyProtection="1">
      <alignment vertical="top"/>
      <protection hidden="1"/>
    </xf>
    <xf numFmtId="0" fontId="0" fillId="0" borderId="0" xfId="0" applyAlignment="1" applyProtection="1">
      <alignment vertical="top" wrapText="1"/>
      <protection hidden="1"/>
    </xf>
    <xf numFmtId="0" fontId="27" fillId="0" borderId="0" xfId="0" applyFont="1" applyAlignment="1" applyProtection="1">
      <alignment vertical="top"/>
      <protection hidden="1"/>
    </xf>
    <xf numFmtId="0" fontId="0" fillId="3" borderId="2" xfId="0" applyFill="1" applyBorder="1" applyAlignment="1" applyProtection="1">
      <alignment horizontal="left" wrapText="1"/>
      <protection hidden="1"/>
    </xf>
    <xf numFmtId="0" fontId="0" fillId="3" borderId="1" xfId="0" applyFill="1" applyBorder="1" applyAlignment="1" applyProtection="1">
      <alignment horizontal="left" wrapText="1"/>
      <protection hidden="1"/>
    </xf>
    <xf numFmtId="0" fontId="19" fillId="0" borderId="0" xfId="0" applyFont="1" applyAlignment="1" applyProtection="1">
      <protection hidden="1"/>
    </xf>
    <xf numFmtId="0" fontId="0" fillId="0" borderId="15" xfId="0" applyBorder="1" applyAlignment="1" applyProtection="1">
      <alignment vertical="center"/>
      <protection hidden="1"/>
    </xf>
    <xf numFmtId="0" fontId="0" fillId="3" borderId="1" xfId="0" applyFill="1" applyBorder="1" applyAlignment="1" applyProtection="1">
      <alignment horizontal="left" vertical="center"/>
      <protection hidden="1"/>
    </xf>
    <xf numFmtId="0" fontId="0" fillId="3" borderId="1" xfId="0" applyFill="1" applyBorder="1" applyAlignment="1" applyProtection="1">
      <alignment vertical="center" wrapText="1"/>
      <protection hidden="1"/>
    </xf>
    <xf numFmtId="0" fontId="0" fillId="3" borderId="1" xfId="0" applyFont="1" applyFill="1" applyBorder="1" applyAlignment="1" applyProtection="1">
      <alignment vertical="top" wrapText="1"/>
      <protection hidden="1"/>
    </xf>
    <xf numFmtId="0" fontId="23" fillId="0" borderId="0" xfId="0" applyFont="1" applyAlignment="1" applyProtection="1">
      <alignment vertical="top" wrapText="1"/>
      <protection hidden="1"/>
    </xf>
    <xf numFmtId="0" fontId="14" fillId="0" borderId="0" xfId="0" applyFont="1" applyAlignment="1">
      <alignment horizontal="right"/>
    </xf>
    <xf numFmtId="0" fontId="14" fillId="0" borderId="0" xfId="0" applyFont="1" applyAlignment="1" applyProtection="1">
      <alignment horizontal="right"/>
      <protection hidden="1"/>
    </xf>
    <xf numFmtId="0" fontId="34" fillId="3" borderId="2" xfId="0" applyFont="1" applyFill="1" applyBorder="1" applyAlignment="1" applyProtection="1">
      <alignment horizontal="center" vertical="center" wrapText="1"/>
      <protection hidden="1"/>
    </xf>
    <xf numFmtId="0" fontId="0" fillId="3" borderId="2" xfId="0" applyFill="1" applyBorder="1" applyAlignment="1" applyProtection="1">
      <alignment horizontal="left" vertical="center" wrapText="1"/>
      <protection hidden="1"/>
    </xf>
    <xf numFmtId="0" fontId="0" fillId="3" borderId="30" xfId="0" applyFill="1" applyBorder="1" applyAlignment="1" applyProtection="1">
      <alignment horizontal="left" vertical="center" wrapText="1"/>
      <protection hidden="1"/>
    </xf>
    <xf numFmtId="0" fontId="0" fillId="0" borderId="21" xfId="0" applyBorder="1" applyProtection="1">
      <protection hidden="1"/>
    </xf>
    <xf numFmtId="0" fontId="0" fillId="0" borderId="0" xfId="0" applyBorder="1" applyProtection="1">
      <protection hidden="1"/>
    </xf>
    <xf numFmtId="0" fontId="0" fillId="0" borderId="10" xfId="0" applyBorder="1" applyProtection="1">
      <protection hidden="1"/>
    </xf>
    <xf numFmtId="0" fontId="28" fillId="0" borderId="21" xfId="0" applyFont="1" applyBorder="1" applyAlignment="1" applyProtection="1">
      <alignment vertical="top"/>
      <protection hidden="1"/>
    </xf>
    <xf numFmtId="0" fontId="39" fillId="0" borderId="2" xfId="1" applyFont="1" applyBorder="1" applyAlignment="1" applyProtection="1">
      <alignment horizontal="center" vertical="center" wrapText="1"/>
    </xf>
    <xf numFmtId="0" fontId="0" fillId="3" borderId="2" xfId="0" applyFill="1" applyBorder="1" applyAlignment="1" applyProtection="1">
      <alignment horizontal="left" vertical="center" wrapText="1"/>
      <protection hidden="1"/>
    </xf>
    <xf numFmtId="165" fontId="0" fillId="3" borderId="2" xfId="0" applyNumberFormat="1" applyFill="1" applyBorder="1" applyAlignment="1" applyProtection="1">
      <alignment horizontal="center" vertical="center" wrapText="1"/>
      <protection locked="0"/>
    </xf>
    <xf numFmtId="0" fontId="0" fillId="3" borderId="1" xfId="0" applyFill="1" applyBorder="1" applyAlignment="1" applyProtection="1">
      <alignment vertical="top" wrapText="1"/>
    </xf>
    <xf numFmtId="0" fontId="0" fillId="3" borderId="1" xfId="0" applyFill="1" applyBorder="1" applyAlignment="1" applyProtection="1">
      <alignment horizontal="center" vertical="top" wrapText="1"/>
    </xf>
    <xf numFmtId="165" fontId="0" fillId="3" borderId="1" xfId="0" applyNumberFormat="1" applyFill="1" applyBorder="1" applyAlignment="1" applyProtection="1">
      <alignment horizontal="center" vertical="top" wrapText="1"/>
    </xf>
    <xf numFmtId="0" fontId="0" fillId="3" borderId="1" xfId="0" applyNumberFormat="1" applyFill="1" applyBorder="1" applyAlignment="1" applyProtection="1">
      <alignment horizontal="center" vertical="top" wrapText="1"/>
    </xf>
    <xf numFmtId="164" fontId="0" fillId="3" borderId="1" xfId="0" applyNumberFormat="1" applyFill="1" applyBorder="1" applyAlignment="1" applyProtection="1">
      <alignment horizontal="center" vertical="top" wrapText="1"/>
    </xf>
    <xf numFmtId="0" fontId="0" fillId="3" borderId="2" xfId="0" applyFill="1" applyBorder="1" applyAlignment="1" applyProtection="1">
      <alignment vertical="top" wrapText="1"/>
    </xf>
    <xf numFmtId="0" fontId="27" fillId="0" borderId="0" xfId="0" applyFont="1" applyAlignment="1" applyProtection="1">
      <alignment vertical="top"/>
    </xf>
    <xf numFmtId="0" fontId="34" fillId="3" borderId="1" xfId="0" applyFont="1" applyFill="1" applyBorder="1" applyAlignment="1" applyProtection="1">
      <alignment horizontal="center" vertical="center" wrapText="1"/>
    </xf>
    <xf numFmtId="0" fontId="28" fillId="0" borderId="0" xfId="0" applyFont="1" applyAlignment="1" applyProtection="1">
      <alignment vertical="top"/>
    </xf>
    <xf numFmtId="0" fontId="0" fillId="0" borderId="8" xfId="0" applyBorder="1" applyAlignment="1" applyProtection="1">
      <alignment vertical="top" wrapText="1"/>
    </xf>
    <xf numFmtId="4" fontId="0" fillId="3" borderId="1" xfId="0" applyNumberFormat="1" applyFill="1" applyBorder="1" applyAlignment="1" applyProtection="1">
      <alignment horizontal="center" vertical="top" wrapText="1"/>
    </xf>
    <xf numFmtId="0" fontId="0" fillId="3" borderId="1" xfId="0" applyFill="1" applyBorder="1" applyAlignment="1" applyProtection="1">
      <alignment horizontal="left" vertical="top" wrapText="1"/>
    </xf>
    <xf numFmtId="165" fontId="0" fillId="0" borderId="0" xfId="0" applyNumberFormat="1" applyProtection="1"/>
    <xf numFmtId="0" fontId="33" fillId="3" borderId="1" xfId="0" applyFont="1" applyFill="1" applyBorder="1" applyAlignment="1" applyProtection="1">
      <alignment vertical="top" wrapText="1"/>
    </xf>
    <xf numFmtId="167" fontId="14" fillId="3" borderId="1" xfId="0" applyNumberFormat="1" applyFont="1" applyFill="1" applyBorder="1" applyAlignment="1" applyProtection="1">
      <alignment horizontal="center" vertical="top" wrapText="1"/>
    </xf>
    <xf numFmtId="167" fontId="0" fillId="3" borderId="1" xfId="0" applyNumberFormat="1" applyFill="1" applyBorder="1" applyAlignment="1" applyProtection="1">
      <alignment horizontal="center" vertical="top" wrapText="1"/>
    </xf>
    <xf numFmtId="0" fontId="0" fillId="3" borderId="2" xfId="0" applyFill="1" applyBorder="1" applyAlignment="1" applyProtection="1">
      <alignment vertical="center"/>
    </xf>
    <xf numFmtId="165" fontId="0" fillId="3" borderId="2" xfId="0" applyNumberFormat="1" applyFill="1" applyBorder="1" applyAlignment="1" applyProtection="1">
      <alignment horizontal="center" vertical="center"/>
    </xf>
    <xf numFmtId="0" fontId="0" fillId="3" borderId="1" xfId="0" applyFill="1" applyBorder="1" applyAlignment="1" applyProtection="1">
      <alignment vertical="center"/>
    </xf>
    <xf numFmtId="0" fontId="0" fillId="3" borderId="1" xfId="0" applyFill="1" applyBorder="1" applyAlignment="1" applyProtection="1">
      <alignment horizontal="center" vertical="top"/>
    </xf>
    <xf numFmtId="165" fontId="0" fillId="3" borderId="1" xfId="0" applyNumberFormat="1" applyFill="1" applyBorder="1" applyAlignment="1" applyProtection="1">
      <alignment horizontal="center" vertical="center"/>
    </xf>
    <xf numFmtId="0" fontId="32" fillId="3" borderId="1" xfId="0" applyFont="1" applyFill="1" applyBorder="1" applyAlignment="1" applyProtection="1">
      <alignment vertical="center"/>
    </xf>
    <xf numFmtId="164" fontId="32" fillId="3" borderId="1" xfId="0" applyNumberFormat="1" applyFont="1" applyFill="1" applyBorder="1" applyAlignment="1" applyProtection="1">
      <alignment horizontal="center" vertical="center"/>
    </xf>
    <xf numFmtId="0" fontId="0" fillId="3" borderId="1" xfId="0" applyFill="1" applyBorder="1" applyAlignment="1" applyProtection="1">
      <alignment horizontal="center" vertical="center"/>
    </xf>
    <xf numFmtId="166" fontId="0" fillId="3" borderId="1" xfId="0" applyNumberFormat="1" applyFill="1" applyBorder="1" applyAlignment="1" applyProtection="1">
      <alignment horizontal="center" vertical="center"/>
    </xf>
    <xf numFmtId="0" fontId="0" fillId="3" borderId="2" xfId="0" applyNumberFormat="1" applyFill="1" applyBorder="1" applyAlignment="1" applyProtection="1">
      <alignment horizontal="center" vertical="center"/>
    </xf>
    <xf numFmtId="0" fontId="32" fillId="3" borderId="1" xfId="0" applyFont="1" applyFill="1" applyBorder="1" applyAlignment="1" applyProtection="1">
      <alignment horizontal="center" vertical="center"/>
    </xf>
    <xf numFmtId="0" fontId="0" fillId="3" borderId="1" xfId="0" applyNumberFormat="1" applyFill="1" applyBorder="1" applyAlignment="1" applyProtection="1">
      <alignment horizontal="center" vertical="center"/>
    </xf>
    <xf numFmtId="0" fontId="0" fillId="3" borderId="2" xfId="0" applyFill="1" applyBorder="1" applyAlignment="1" applyProtection="1"/>
    <xf numFmtId="0" fontId="0" fillId="3" borderId="2" xfId="0" applyNumberFormat="1" applyFill="1" applyBorder="1" applyAlignment="1" applyProtection="1">
      <alignment horizontal="center" vertical="center" wrapText="1"/>
    </xf>
    <xf numFmtId="0" fontId="0" fillId="3" borderId="1" xfId="0" applyFill="1" applyBorder="1" applyAlignment="1" applyProtection="1"/>
    <xf numFmtId="0" fontId="0" fillId="3" borderId="1" xfId="0" applyNumberFormat="1" applyFill="1" applyBorder="1" applyAlignment="1" applyProtection="1">
      <alignment horizontal="center" vertical="center" wrapText="1"/>
    </xf>
    <xf numFmtId="167" fontId="0" fillId="3" borderId="1" xfId="0" applyNumberFormat="1" applyFill="1" applyBorder="1" applyAlignment="1" applyProtection="1">
      <alignment horizontal="center" vertical="top"/>
    </xf>
    <xf numFmtId="0" fontId="34" fillId="3" borderId="2" xfId="0" applyFont="1" applyFill="1" applyBorder="1" applyAlignment="1" applyProtection="1">
      <alignment horizontal="center" vertical="center" wrapText="1"/>
    </xf>
    <xf numFmtId="4" fontId="0" fillId="3" borderId="2" xfId="0" applyNumberFormat="1" applyFill="1" applyBorder="1" applyAlignment="1" applyProtection="1">
      <alignment horizontal="center" vertical="center" wrapText="1"/>
    </xf>
    <xf numFmtId="164" fontId="0" fillId="3" borderId="2" xfId="0" applyNumberFormat="1" applyFill="1" applyBorder="1" applyAlignment="1" applyProtection="1">
      <alignment horizontal="center" vertical="center" wrapText="1"/>
    </xf>
    <xf numFmtId="4" fontId="0" fillId="3" borderId="2" xfId="0" applyNumberFormat="1" applyFill="1" applyBorder="1" applyAlignment="1" applyProtection="1">
      <alignment horizontal="center" vertical="top" wrapText="1"/>
    </xf>
    <xf numFmtId="14" fontId="0" fillId="3" borderId="1" xfId="0" applyNumberFormat="1" applyFill="1" applyBorder="1" applyAlignment="1" applyProtection="1">
      <alignment horizontal="center" vertical="top"/>
    </xf>
    <xf numFmtId="14" fontId="0" fillId="0" borderId="1" xfId="0" applyNumberFormat="1" applyBorder="1" applyAlignment="1" applyProtection="1">
      <alignment horizontal="center" vertical="top" wrapText="1"/>
    </xf>
    <xf numFmtId="165" fontId="0" fillId="0" borderId="1" xfId="0" applyNumberFormat="1" applyFill="1" applyBorder="1" applyAlignment="1" applyProtection="1">
      <alignment horizontal="center" vertical="top" wrapText="1"/>
    </xf>
    <xf numFmtId="0" fontId="11" fillId="3" borderId="0" xfId="0" applyNumberFormat="1" applyFont="1" applyFill="1" applyBorder="1" applyAlignment="1" applyProtection="1">
      <alignment horizontal="left" vertical="center" wrapText="1" indent="1"/>
      <protection hidden="1"/>
    </xf>
    <xf numFmtId="4" fontId="0" fillId="0" borderId="0" xfId="0" applyNumberFormat="1"/>
    <xf numFmtId="14" fontId="0" fillId="0" borderId="0" xfId="0" applyNumberFormat="1"/>
    <xf numFmtId="14" fontId="41" fillId="0" borderId="0" xfId="0" applyNumberFormat="1" applyFont="1" applyFill="1" applyBorder="1" applyAlignment="1" applyProtection="1">
      <alignment horizontal="center" vertical="top" wrapText="1"/>
    </xf>
    <xf numFmtId="0" fontId="41" fillId="0" borderId="0" xfId="0" applyFont="1"/>
    <xf numFmtId="0" fontId="44" fillId="0" borderId="0" xfId="0" applyFont="1" applyAlignment="1"/>
    <xf numFmtId="14" fontId="0" fillId="3" borderId="1" xfId="0" applyNumberFormat="1" applyFill="1" applyBorder="1" applyAlignment="1" applyProtection="1">
      <alignment horizontal="center" vertical="top" wrapText="1"/>
      <protection hidden="1"/>
    </xf>
    <xf numFmtId="166" fontId="0" fillId="3" borderId="2" xfId="0" applyNumberFormat="1" applyFill="1" applyBorder="1" applyAlignment="1" applyProtection="1">
      <alignment horizontal="center" vertical="center"/>
    </xf>
    <xf numFmtId="3" fontId="0" fillId="3" borderId="2" xfId="0" applyNumberFormat="1" applyFill="1" applyBorder="1" applyAlignment="1" applyProtection="1">
      <alignment horizontal="center" vertical="center"/>
    </xf>
    <xf numFmtId="3" fontId="0" fillId="3" borderId="1" xfId="0" applyNumberFormat="1" applyFill="1" applyBorder="1" applyAlignment="1" applyProtection="1">
      <alignment horizontal="center" vertical="center"/>
    </xf>
    <xf numFmtId="168" fontId="0" fillId="3" borderId="2" xfId="0" applyNumberFormat="1" applyFill="1" applyBorder="1" applyAlignment="1" applyProtection="1">
      <alignment horizontal="center" vertical="center"/>
    </xf>
    <xf numFmtId="168" fontId="0" fillId="3" borderId="1" xfId="0" applyNumberFormat="1" applyFill="1" applyBorder="1" applyAlignment="1" applyProtection="1">
      <alignment horizontal="center" vertical="center"/>
    </xf>
    <xf numFmtId="2" fontId="0" fillId="0" borderId="0" xfId="0" applyNumberFormat="1" applyProtection="1"/>
    <xf numFmtId="0" fontId="0" fillId="0" borderId="0" xfId="0" applyFont="1" applyProtection="1"/>
    <xf numFmtId="14" fontId="0" fillId="0" borderId="0" xfId="0" applyNumberFormat="1" applyFont="1" applyProtection="1"/>
    <xf numFmtId="4" fontId="0" fillId="0" borderId="0" xfId="0" applyNumberFormat="1" applyProtection="1"/>
    <xf numFmtId="4" fontId="0" fillId="0" borderId="0" xfId="0" applyNumberFormat="1" applyFill="1" applyProtection="1"/>
    <xf numFmtId="4" fontId="14" fillId="0" borderId="0" xfId="0" applyNumberFormat="1" applyFont="1" applyFill="1" applyAlignment="1" applyProtection="1"/>
    <xf numFmtId="4" fontId="0" fillId="0" borderId="0" xfId="0" applyNumberFormat="1" applyFill="1" applyAlignment="1" applyProtection="1">
      <alignment vertical="top" wrapText="1"/>
    </xf>
    <xf numFmtId="0" fontId="14" fillId="3" borderId="1" xfId="0" applyFont="1" applyFill="1" applyBorder="1" applyAlignment="1" applyProtection="1">
      <alignment vertical="top" wrapText="1"/>
    </xf>
    <xf numFmtId="0" fontId="45" fillId="3" borderId="1" xfId="0" applyFont="1" applyFill="1" applyBorder="1" applyAlignment="1" applyProtection="1">
      <alignment vertical="center"/>
    </xf>
    <xf numFmtId="10" fontId="45" fillId="0" borderId="1" xfId="0" applyNumberFormat="1" applyFont="1" applyBorder="1" applyAlignment="1">
      <alignment horizontal="center"/>
    </xf>
    <xf numFmtId="168" fontId="45" fillId="0" borderId="1" xfId="0" applyNumberFormat="1" applyFont="1" applyBorder="1" applyAlignment="1">
      <alignment horizontal="center"/>
    </xf>
    <xf numFmtId="0" fontId="48" fillId="5" borderId="43" xfId="0" applyFont="1" applyFill="1" applyBorder="1" applyAlignment="1">
      <alignment horizontal="center" vertical="center" wrapText="1"/>
    </xf>
    <xf numFmtId="0" fontId="49" fillId="0" borderId="43" xfId="0" applyFont="1" applyBorder="1" applyAlignment="1">
      <alignment vertical="center" wrapText="1"/>
    </xf>
    <xf numFmtId="0" fontId="50" fillId="0" borderId="43" xfId="0" applyFont="1" applyBorder="1" applyAlignment="1">
      <alignment vertical="center" wrapText="1"/>
    </xf>
    <xf numFmtId="164" fontId="50" fillId="0" borderId="43" xfId="0" applyNumberFormat="1" applyFont="1" applyBorder="1" applyAlignment="1">
      <alignment horizontal="center" vertical="center" wrapText="1"/>
    </xf>
    <xf numFmtId="3" fontId="49" fillId="0" borderId="43" xfId="0" applyNumberFormat="1" applyFont="1" applyBorder="1" applyAlignment="1">
      <alignment horizontal="center" vertical="center" wrapText="1"/>
    </xf>
    <xf numFmtId="168" fontId="49" fillId="0" borderId="43" xfId="0" applyNumberFormat="1" applyFont="1" applyBorder="1" applyAlignment="1">
      <alignment horizontal="center" vertical="center" wrapText="1"/>
    </xf>
    <xf numFmtId="3" fontId="45" fillId="0" borderId="1" xfId="0" applyNumberFormat="1" applyFont="1" applyBorder="1" applyAlignment="1">
      <alignment horizontal="center" vertical="center"/>
    </xf>
    <xf numFmtId="164" fontId="46" fillId="0" borderId="1" xfId="0" applyNumberFormat="1" applyFont="1" applyBorder="1" applyAlignment="1">
      <alignment horizontal="center" vertical="center"/>
    </xf>
    <xf numFmtId="3" fontId="51" fillId="0" borderId="1" xfId="0" applyNumberFormat="1" applyFont="1" applyBorder="1" applyAlignment="1">
      <alignment horizontal="center" vertical="center"/>
    </xf>
    <xf numFmtId="0" fontId="45" fillId="0" borderId="43" xfId="0" applyFont="1" applyBorder="1"/>
    <xf numFmtId="9" fontId="45" fillId="0" borderId="43" xfId="0" applyNumberFormat="1" applyFont="1" applyBorder="1" applyAlignment="1">
      <alignment horizontal="center"/>
    </xf>
    <xf numFmtId="0" fontId="51" fillId="0" borderId="0" xfId="0" applyFont="1"/>
    <xf numFmtId="4" fontId="45" fillId="0" borderId="43" xfId="0" applyNumberFormat="1" applyFont="1" applyBorder="1"/>
    <xf numFmtId="0" fontId="52" fillId="0" borderId="0" xfId="0" applyFont="1" applyAlignment="1" applyProtection="1">
      <alignment vertical="top"/>
    </xf>
    <xf numFmtId="0" fontId="48" fillId="5" borderId="50" xfId="0" applyFont="1" applyFill="1" applyBorder="1" applyAlignment="1">
      <alignment horizontal="center" vertical="center" wrapText="1"/>
    </xf>
    <xf numFmtId="0" fontId="45" fillId="0" borderId="0" xfId="0" applyFont="1"/>
    <xf numFmtId="0" fontId="49" fillId="0" borderId="43" xfId="0" applyFont="1" applyBorder="1" applyAlignment="1">
      <alignment horizontal="center" vertical="center" wrapText="1"/>
    </xf>
    <xf numFmtId="9" fontId="45" fillId="0" borderId="0" xfId="0" applyNumberFormat="1" applyFont="1"/>
    <xf numFmtId="0" fontId="45" fillId="0" borderId="0" xfId="0" applyFont="1" applyBorder="1" applyAlignment="1">
      <alignment vertical="center" wrapText="1"/>
    </xf>
    <xf numFmtId="0" fontId="49" fillId="0" borderId="53" xfId="0" applyFont="1" applyBorder="1" applyAlignment="1">
      <alignment vertical="center" wrapText="1"/>
    </xf>
    <xf numFmtId="3" fontId="49" fillId="0" borderId="53" xfId="0" applyNumberFormat="1" applyFont="1" applyBorder="1" applyAlignment="1">
      <alignment horizontal="center" vertical="center" wrapText="1"/>
    </xf>
    <xf numFmtId="14" fontId="54" fillId="5" borderId="43" xfId="0" applyNumberFormat="1" applyFont="1" applyFill="1" applyBorder="1" applyAlignment="1">
      <alignment horizontal="center" vertical="center" wrapText="1"/>
    </xf>
    <xf numFmtId="0" fontId="0" fillId="3" borderId="2" xfId="0" applyFill="1" applyBorder="1" applyAlignment="1" applyProtection="1">
      <alignment horizontal="left" vertical="center" wrapText="1"/>
      <protection hidden="1"/>
    </xf>
    <xf numFmtId="0" fontId="0" fillId="3" borderId="0" xfId="0" applyFill="1" applyBorder="1" applyAlignment="1" applyProtection="1">
      <alignment horizontal="left" vertical="center" wrapText="1"/>
      <protection hidden="1"/>
    </xf>
    <xf numFmtId="0" fontId="0" fillId="3" borderId="0" xfId="0" applyFont="1" applyFill="1" applyBorder="1" applyAlignment="1" applyProtection="1">
      <alignment horizontal="left"/>
      <protection hidden="1"/>
    </xf>
    <xf numFmtId="0" fontId="0" fillId="3" borderId="0" xfId="0" applyFont="1" applyFill="1" applyBorder="1" applyAlignment="1" applyProtection="1">
      <alignment horizontal="left" wrapText="1"/>
      <protection hidden="1"/>
    </xf>
    <xf numFmtId="0" fontId="0" fillId="0" borderId="2" xfId="0" applyFill="1" applyBorder="1" applyAlignment="1" applyProtection="1">
      <alignment horizontal="left" vertical="center" wrapText="1"/>
      <protection hidden="1"/>
    </xf>
    <xf numFmtId="165" fontId="0" fillId="0" borderId="1" xfId="0" applyNumberFormat="1" applyFont="1" applyFill="1" applyBorder="1" applyAlignment="1" applyProtection="1">
      <alignment horizontal="center" vertical="top" wrapText="1"/>
    </xf>
    <xf numFmtId="164" fontId="0" fillId="3" borderId="2" xfId="0" applyNumberFormat="1" applyFill="1" applyBorder="1" applyAlignment="1" applyProtection="1">
      <alignment horizontal="center" vertical="center" wrapText="1"/>
      <protection hidden="1"/>
    </xf>
    <xf numFmtId="1" fontId="55" fillId="0" borderId="43" xfId="0" applyNumberFormat="1" applyFont="1" applyBorder="1" applyAlignment="1">
      <alignment horizontal="center"/>
    </xf>
    <xf numFmtId="3" fontId="45" fillId="0" borderId="43" xfId="0" applyNumberFormat="1" applyFont="1" applyBorder="1" applyAlignment="1">
      <alignment horizontal="center"/>
    </xf>
    <xf numFmtId="0" fontId="45" fillId="0" borderId="0" xfId="0" applyFont="1" applyAlignment="1">
      <alignment horizontal="center"/>
    </xf>
    <xf numFmtId="0" fontId="56" fillId="0" borderId="43" xfId="0" applyFont="1" applyFill="1" applyBorder="1" applyAlignment="1">
      <alignment horizontal="center" vertical="center" wrapText="1"/>
    </xf>
    <xf numFmtId="14" fontId="45" fillId="0" borderId="0" xfId="0" applyNumberFormat="1" applyFont="1"/>
    <xf numFmtId="3" fontId="45" fillId="0" borderId="43" xfId="0" applyNumberFormat="1" applyFont="1" applyBorder="1" applyAlignment="1">
      <alignment horizontal="center" vertical="center"/>
    </xf>
    <xf numFmtId="3" fontId="53" fillId="5" borderId="43" xfId="0" applyNumberFormat="1" applyFont="1" applyFill="1" applyBorder="1" applyAlignment="1">
      <alignment horizontal="center" vertical="center"/>
    </xf>
    <xf numFmtId="9" fontId="53" fillId="5" borderId="43" xfId="0" applyNumberFormat="1" applyFont="1" applyFill="1" applyBorder="1" applyAlignment="1">
      <alignment horizontal="center" vertical="center"/>
    </xf>
    <xf numFmtId="9" fontId="53" fillId="5" borderId="43" xfId="0" applyNumberFormat="1" applyFont="1" applyFill="1" applyBorder="1"/>
    <xf numFmtId="0" fontId="45" fillId="0" borderId="43" xfId="0" applyFont="1" applyBorder="1" applyAlignment="1">
      <alignment horizontal="center"/>
    </xf>
    <xf numFmtId="9" fontId="48" fillId="5" borderId="43" xfId="0" applyNumberFormat="1" applyFont="1" applyFill="1" applyBorder="1" applyAlignment="1">
      <alignment horizontal="center" vertical="center" wrapText="1"/>
    </xf>
    <xf numFmtId="165" fontId="0" fillId="2" borderId="17" xfId="0" applyNumberFormat="1" applyFill="1" applyBorder="1" applyAlignment="1" applyProtection="1">
      <alignment horizontal="center" vertical="top" wrapText="1"/>
    </xf>
    <xf numFmtId="165" fontId="0" fillId="2" borderId="6" xfId="0" applyNumberFormat="1" applyFill="1" applyBorder="1" applyAlignment="1" applyProtection="1">
      <alignment horizontal="center" vertical="top" wrapText="1"/>
    </xf>
    <xf numFmtId="164" fontId="0" fillId="0" borderId="1" xfId="0" applyNumberFormat="1" applyBorder="1" applyAlignment="1" applyProtection="1">
      <alignment horizontal="center"/>
    </xf>
    <xf numFmtId="0" fontId="14" fillId="3" borderId="1" xfId="0" applyFont="1" applyFill="1" applyBorder="1" applyAlignment="1">
      <alignment vertical="top" wrapText="1"/>
    </xf>
    <xf numFmtId="4" fontId="0" fillId="0" borderId="0" xfId="0" applyNumberFormat="1" applyFont="1" applyProtection="1"/>
    <xf numFmtId="4" fontId="0" fillId="0" borderId="2" xfId="0" applyNumberFormat="1" applyFill="1" applyBorder="1" applyAlignment="1" applyProtection="1">
      <alignment horizontal="center" vertical="center" wrapText="1"/>
      <protection hidden="1"/>
    </xf>
    <xf numFmtId="3" fontId="0" fillId="0" borderId="2" xfId="0" applyNumberFormat="1" applyFill="1" applyBorder="1" applyAlignment="1" applyProtection="1">
      <alignment horizontal="center" vertical="center" wrapText="1"/>
      <protection hidden="1"/>
    </xf>
    <xf numFmtId="164" fontId="0" fillId="0" borderId="2" xfId="0" applyNumberFormat="1" applyFill="1" applyBorder="1" applyAlignment="1" applyProtection="1">
      <alignment horizontal="center" vertical="center" wrapText="1"/>
      <protection hidden="1"/>
    </xf>
    <xf numFmtId="0" fontId="0" fillId="0" borderId="2" xfId="0" applyFill="1" applyBorder="1" applyAlignment="1" applyProtection="1">
      <alignment vertical="center" wrapText="1"/>
      <protection hidden="1"/>
    </xf>
    <xf numFmtId="14" fontId="0" fillId="0" borderId="0" xfId="0" applyNumberFormat="1" applyProtection="1"/>
    <xf numFmtId="4" fontId="0" fillId="0" borderId="1" xfId="0" applyNumberFormat="1" applyFill="1" applyBorder="1" applyAlignment="1" applyProtection="1">
      <alignment horizontal="center" vertical="center" wrapText="1"/>
      <protection hidden="1"/>
    </xf>
    <xf numFmtId="0" fontId="13" fillId="7" borderId="5" xfId="4" applyBorder="1" applyAlignment="1" applyProtection="1">
      <alignment horizontal="center" vertical="center" wrapText="1"/>
      <protection hidden="1"/>
    </xf>
    <xf numFmtId="14" fontId="13" fillId="7" borderId="5" xfId="4" applyNumberFormat="1" applyBorder="1" applyAlignment="1" applyProtection="1">
      <alignment horizontal="center" vertical="center" wrapText="1"/>
      <protection hidden="1"/>
    </xf>
    <xf numFmtId="0" fontId="13" fillId="7" borderId="5" xfId="4" applyBorder="1" applyAlignment="1">
      <alignment horizontal="center" vertical="center" wrapText="1"/>
    </xf>
    <xf numFmtId="0" fontId="13" fillId="7" borderId="14" xfId="4" applyBorder="1" applyAlignment="1" applyProtection="1">
      <alignment horizontal="center" vertical="center" wrapText="1"/>
      <protection hidden="1"/>
    </xf>
    <xf numFmtId="0" fontId="13" fillId="7" borderId="14" xfId="4" applyBorder="1" applyAlignment="1">
      <alignment horizontal="center" vertical="center" wrapText="1"/>
    </xf>
    <xf numFmtId="14" fontId="13" fillId="7" borderId="14" xfId="4" applyNumberFormat="1" applyBorder="1" applyAlignment="1" applyProtection="1">
      <alignment horizontal="center" vertical="center" wrapText="1"/>
      <protection hidden="1"/>
    </xf>
    <xf numFmtId="0" fontId="13" fillId="7" borderId="5" xfId="4" applyNumberFormat="1" applyBorder="1" applyAlignment="1" applyProtection="1">
      <alignment horizontal="center" vertical="center" wrapText="1"/>
      <protection hidden="1"/>
    </xf>
    <xf numFmtId="0" fontId="13" fillId="7" borderId="11" xfId="4" applyNumberFormat="1" applyBorder="1" applyAlignment="1" applyProtection="1">
      <alignment horizontal="center" vertical="center" wrapText="1"/>
      <protection hidden="1"/>
    </xf>
    <xf numFmtId="14" fontId="13" fillId="7" borderId="13" xfId="4" applyNumberFormat="1" applyBorder="1" applyAlignment="1" applyProtection="1">
      <alignment horizontal="center" vertical="center" wrapText="1"/>
      <protection hidden="1"/>
    </xf>
    <xf numFmtId="14" fontId="13" fillId="7" borderId="39" xfId="4" applyNumberFormat="1" applyBorder="1" applyAlignment="1" applyProtection="1">
      <alignment horizontal="center" vertical="center" wrapText="1"/>
      <protection hidden="1"/>
    </xf>
    <xf numFmtId="0" fontId="13" fillId="7" borderId="12" xfId="4" applyNumberFormat="1" applyBorder="1" applyAlignment="1" applyProtection="1">
      <alignment horizontal="center" vertical="center"/>
    </xf>
    <xf numFmtId="0" fontId="13" fillId="7" borderId="14" xfId="4" applyBorder="1" applyAlignment="1" applyProtection="1">
      <alignment horizontal="center" vertical="center" wrapText="1"/>
    </xf>
    <xf numFmtId="0" fontId="39" fillId="8" borderId="2" xfId="6" applyNumberFormat="1" applyBorder="1" applyAlignment="1" applyProtection="1">
      <alignment horizontal="left" vertical="center" wrapText="1"/>
      <protection hidden="1"/>
    </xf>
    <xf numFmtId="14" fontId="39" fillId="8" borderId="1" xfId="6" applyNumberFormat="1" applyBorder="1" applyAlignment="1" applyProtection="1">
      <alignment horizontal="center" vertical="top" wrapText="1"/>
      <protection hidden="1"/>
    </xf>
    <xf numFmtId="14" fontId="39" fillId="8" borderId="2" xfId="6" applyNumberFormat="1" applyBorder="1" applyAlignment="1" applyProtection="1">
      <alignment horizontal="center" vertical="top" wrapText="1"/>
      <protection hidden="1"/>
    </xf>
    <xf numFmtId="4" fontId="39" fillId="8" borderId="2" xfId="6" applyNumberFormat="1" applyBorder="1" applyAlignment="1" applyProtection="1">
      <alignment horizontal="center" vertical="top" wrapText="1"/>
      <protection hidden="1"/>
    </xf>
    <xf numFmtId="4" fontId="39" fillId="8" borderId="1" xfId="6" applyNumberFormat="1" applyBorder="1" applyAlignment="1" applyProtection="1">
      <alignment horizontal="center" vertical="top" wrapText="1"/>
      <protection hidden="1"/>
    </xf>
    <xf numFmtId="14" fontId="14" fillId="8" borderId="1" xfId="6" applyNumberFormat="1" applyFont="1" applyBorder="1" applyAlignment="1" applyProtection="1">
      <alignment horizontal="center" vertical="top" wrapText="1"/>
      <protection hidden="1"/>
    </xf>
    <xf numFmtId="4" fontId="39" fillId="8" borderId="2" xfId="6" applyNumberFormat="1" applyBorder="1" applyAlignment="1" applyProtection="1">
      <alignment horizontal="center" vertical="center" wrapText="1"/>
      <protection hidden="1"/>
    </xf>
    <xf numFmtId="164" fontId="39" fillId="8" borderId="2" xfId="6" applyNumberFormat="1" applyBorder="1" applyAlignment="1">
      <alignment horizontal="center" vertical="top" wrapText="1"/>
    </xf>
    <xf numFmtId="164" fontId="39" fillId="8" borderId="2" xfId="6" applyNumberFormat="1" applyBorder="1" applyAlignment="1" applyProtection="1">
      <alignment horizontal="center" vertical="top" wrapText="1"/>
    </xf>
    <xf numFmtId="0" fontId="39" fillId="8" borderId="1" xfId="6" applyNumberFormat="1" applyBorder="1" applyAlignment="1" applyProtection="1">
      <alignment horizontal="left" vertical="top" wrapText="1"/>
      <protection hidden="1"/>
    </xf>
    <xf numFmtId="165" fontId="39" fillId="8" borderId="1" xfId="6" applyNumberFormat="1" applyBorder="1" applyAlignment="1" applyProtection="1">
      <alignment horizontal="center" vertical="top" wrapText="1"/>
    </xf>
    <xf numFmtId="164" fontId="39" fillId="8" borderId="2" xfId="6" applyNumberFormat="1" applyBorder="1" applyAlignment="1">
      <alignment horizontal="left" vertical="top" wrapText="1"/>
    </xf>
    <xf numFmtId="4" fontId="39" fillId="8" borderId="2" xfId="6" applyNumberFormat="1" applyBorder="1" applyAlignment="1" applyProtection="1">
      <alignment horizontal="center" vertical="top" wrapText="1"/>
    </xf>
    <xf numFmtId="4" fontId="39" fillId="8" borderId="1" xfId="6" applyNumberFormat="1" applyBorder="1" applyAlignment="1" applyProtection="1">
      <alignment horizontal="center" vertical="top" wrapText="1"/>
    </xf>
    <xf numFmtId="165" fontId="39" fillId="8" borderId="2" xfId="6" applyNumberFormat="1" applyBorder="1" applyAlignment="1" applyProtection="1">
      <alignment horizontal="center" vertical="top" wrapText="1"/>
    </xf>
    <xf numFmtId="4" fontId="39" fillId="8" borderId="1" xfId="6" applyNumberFormat="1" applyBorder="1" applyAlignment="1">
      <alignment vertical="top" wrapText="1"/>
    </xf>
    <xf numFmtId="164" fontId="39" fillId="8" borderId="1" xfId="6" applyNumberFormat="1" applyBorder="1" applyAlignment="1" applyProtection="1">
      <alignment horizontal="center" vertical="top" wrapText="1"/>
    </xf>
    <xf numFmtId="4" fontId="14" fillId="8" borderId="1" xfId="6" applyNumberFormat="1" applyFont="1" applyBorder="1" applyAlignment="1" applyProtection="1">
      <alignment horizontal="center" vertical="top" wrapText="1"/>
    </xf>
    <xf numFmtId="167" fontId="39" fillId="8" borderId="1" xfId="6" applyNumberFormat="1" applyBorder="1" applyAlignment="1" applyProtection="1">
      <alignment horizontal="center" vertical="top" wrapText="1"/>
    </xf>
    <xf numFmtId="165" fontId="39" fillId="6" borderId="2" xfId="5" applyNumberFormat="1" applyBorder="1" applyAlignment="1" applyProtection="1">
      <alignment horizontal="center" vertical="center" wrapText="1"/>
      <protection locked="0"/>
    </xf>
    <xf numFmtId="4" fontId="14" fillId="8" borderId="1" xfId="6" applyNumberFormat="1" applyFont="1" applyBorder="1" applyAlignment="1" applyProtection="1">
      <alignment horizontal="center" vertical="center" wrapText="1"/>
      <protection hidden="1"/>
    </xf>
    <xf numFmtId="0" fontId="39" fillId="8" borderId="1" xfId="6" applyNumberFormat="1" applyBorder="1" applyAlignment="1" applyProtection="1">
      <alignment horizontal="left" vertical="top" wrapText="1"/>
    </xf>
    <xf numFmtId="0" fontId="39" fillId="8" borderId="1" xfId="6" applyNumberFormat="1" applyBorder="1" applyAlignment="1" applyProtection="1">
      <alignment horizontal="center" vertical="top" wrapText="1"/>
    </xf>
    <xf numFmtId="165" fontId="14" fillId="8" borderId="1" xfId="6" applyNumberFormat="1" applyFont="1" applyBorder="1" applyAlignment="1" applyProtection="1">
      <alignment horizontal="center" vertical="top" wrapText="1"/>
    </xf>
    <xf numFmtId="0" fontId="14" fillId="8" borderId="1" xfId="6" applyNumberFormat="1" applyFont="1" applyBorder="1" applyAlignment="1" applyProtection="1">
      <alignment horizontal="left" vertical="top" wrapText="1"/>
    </xf>
    <xf numFmtId="0" fontId="14" fillId="8" borderId="1" xfId="6" applyNumberFormat="1" applyFont="1" applyBorder="1" applyAlignment="1" applyProtection="1">
      <alignment horizontal="center" vertical="top" wrapText="1"/>
    </xf>
    <xf numFmtId="0" fontId="39" fillId="6" borderId="1" xfId="5" applyBorder="1" applyAlignment="1" applyProtection="1">
      <alignment horizontal="center" vertical="center"/>
      <protection locked="0"/>
    </xf>
    <xf numFmtId="166" fontId="39" fillId="8" borderId="2" xfId="6" applyNumberFormat="1" applyBorder="1" applyAlignment="1" applyProtection="1">
      <alignment horizontal="center" vertical="center"/>
    </xf>
    <xf numFmtId="166" fontId="39" fillId="8" borderId="1" xfId="6" applyNumberFormat="1" applyBorder="1" applyAlignment="1" applyProtection="1">
      <alignment horizontal="center" vertical="center"/>
    </xf>
    <xf numFmtId="164" fontId="39" fillId="8" borderId="1" xfId="6" applyNumberFormat="1" applyBorder="1" applyAlignment="1" applyProtection="1">
      <alignment horizontal="center" vertical="center"/>
    </xf>
    <xf numFmtId="3" fontId="39" fillId="6" borderId="1" xfId="5" applyNumberFormat="1" applyBorder="1" applyAlignment="1" applyProtection="1">
      <alignment horizontal="center" vertical="top" wrapText="1"/>
      <protection locked="0"/>
    </xf>
    <xf numFmtId="0" fontId="39" fillId="8" borderId="1" xfId="6" applyNumberFormat="1" applyBorder="1" applyAlignment="1" applyProtection="1">
      <alignment vertical="center"/>
    </xf>
    <xf numFmtId="3" fontId="39" fillId="8" borderId="1" xfId="6" applyNumberFormat="1" applyBorder="1" applyAlignment="1" applyProtection="1">
      <alignment horizontal="center" vertical="center"/>
    </xf>
    <xf numFmtId="165" fontId="39" fillId="8" borderId="2" xfId="6" applyNumberFormat="1" applyBorder="1" applyAlignment="1" applyProtection="1">
      <alignment horizontal="center" vertical="center"/>
    </xf>
    <xf numFmtId="165" fontId="39" fillId="8" borderId="1" xfId="6" applyNumberFormat="1" applyBorder="1" applyAlignment="1" applyProtection="1">
      <alignment horizontal="center" vertical="center"/>
    </xf>
    <xf numFmtId="164" fontId="39" fillId="8" borderId="2" xfId="6" applyNumberFormat="1" applyBorder="1" applyAlignment="1" applyProtection="1">
      <alignment horizontal="center" vertical="center"/>
    </xf>
    <xf numFmtId="0" fontId="14" fillId="8" borderId="1" xfId="6" applyNumberFormat="1" applyFont="1" applyBorder="1" applyAlignment="1" applyProtection="1">
      <alignment vertical="center"/>
    </xf>
    <xf numFmtId="3" fontId="14" fillId="8" borderId="1" xfId="6" applyNumberFormat="1" applyFont="1" applyBorder="1" applyAlignment="1" applyProtection="1">
      <alignment horizontal="center" vertical="center"/>
    </xf>
    <xf numFmtId="165" fontId="14" fillId="8" borderId="1" xfId="6" applyNumberFormat="1" applyFont="1" applyBorder="1" applyAlignment="1" applyProtection="1">
      <alignment horizontal="center" vertical="center"/>
    </xf>
    <xf numFmtId="164" fontId="14" fillId="8" borderId="1" xfId="6" applyNumberFormat="1" applyFont="1" applyBorder="1" applyAlignment="1" applyProtection="1">
      <alignment horizontal="center" vertical="center"/>
    </xf>
    <xf numFmtId="168" fontId="14" fillId="8" borderId="1" xfId="6" applyNumberFormat="1" applyFont="1" applyBorder="1" applyAlignment="1" applyProtection="1">
      <alignment horizontal="center" vertical="center"/>
    </xf>
    <xf numFmtId="0" fontId="39" fillId="8" borderId="1" xfId="6" applyNumberFormat="1" applyBorder="1" applyAlignment="1" applyProtection="1">
      <alignment horizontal="center" vertical="center"/>
    </xf>
    <xf numFmtId="0" fontId="14" fillId="8" borderId="1" xfId="6" applyNumberFormat="1" applyFont="1" applyBorder="1" applyAlignment="1" applyProtection="1">
      <alignment horizontal="center" vertical="center"/>
    </xf>
    <xf numFmtId="4" fontId="39" fillId="6" borderId="1" xfId="5" applyNumberFormat="1" applyBorder="1" applyAlignment="1" applyProtection="1">
      <alignment horizontal="center" vertical="top" wrapText="1"/>
      <protection locked="0"/>
    </xf>
    <xf numFmtId="0" fontId="39" fillId="6" borderId="1" xfId="5" applyBorder="1" applyAlignment="1" applyProtection="1">
      <alignment horizontal="center" vertical="top" wrapText="1"/>
      <protection locked="0"/>
    </xf>
    <xf numFmtId="14" fontId="39" fillId="6" borderId="1" xfId="5" applyNumberFormat="1" applyBorder="1" applyAlignment="1" applyProtection="1">
      <alignment horizontal="center" vertical="top" wrapText="1"/>
      <protection locked="0"/>
    </xf>
    <xf numFmtId="164" fontId="39" fillId="6" borderId="2" xfId="5" applyNumberFormat="1" applyBorder="1" applyAlignment="1" applyProtection="1">
      <alignment horizontal="center" vertical="top" wrapText="1"/>
      <protection locked="0"/>
    </xf>
    <xf numFmtId="0" fontId="39" fillId="6" borderId="1" xfId="5" applyBorder="1" applyAlignment="1">
      <alignment horizontal="center" vertical="top" wrapText="1"/>
    </xf>
    <xf numFmtId="0" fontId="39" fillId="6" borderId="2" xfId="5" applyBorder="1" applyAlignment="1" applyProtection="1">
      <alignment horizontal="left" vertical="center" wrapText="1"/>
      <protection locked="0"/>
    </xf>
    <xf numFmtId="0" fontId="39" fillId="6" borderId="2" xfId="5" applyBorder="1" applyAlignment="1" applyProtection="1">
      <alignment horizontal="center" vertical="top" wrapText="1"/>
      <protection locked="0"/>
    </xf>
    <xf numFmtId="4" fontId="39" fillId="6" borderId="2" xfId="5" applyNumberFormat="1" applyBorder="1" applyAlignment="1" applyProtection="1">
      <alignment horizontal="center" vertical="top" wrapText="1"/>
      <protection locked="0"/>
    </xf>
    <xf numFmtId="164" fontId="39" fillId="6" borderId="1" xfId="5" applyNumberFormat="1" applyBorder="1" applyAlignment="1" applyProtection="1">
      <alignment horizontal="center" vertical="top" wrapText="1"/>
      <protection locked="0"/>
    </xf>
    <xf numFmtId="0" fontId="39" fillId="6" borderId="2" xfId="5" applyBorder="1" applyAlignment="1" applyProtection="1">
      <alignment horizontal="center" vertical="top"/>
      <protection locked="0"/>
    </xf>
    <xf numFmtId="3" fontId="39" fillId="6" borderId="2" xfId="5" applyNumberFormat="1" applyBorder="1" applyAlignment="1" applyProtection="1">
      <alignment horizontal="center" vertical="top" wrapText="1"/>
      <protection locked="0"/>
    </xf>
    <xf numFmtId="166" fontId="39" fillId="6" borderId="1" xfId="5" applyNumberFormat="1" applyBorder="1" applyAlignment="1" applyProtection="1">
      <alignment horizontal="center" vertical="top" wrapText="1"/>
      <protection locked="0"/>
    </xf>
    <xf numFmtId="4" fontId="39" fillId="6" borderId="2" xfId="5" applyNumberFormat="1" applyBorder="1" applyAlignment="1" applyProtection="1">
      <alignment horizontal="center" vertical="center" wrapText="1"/>
      <protection locked="0"/>
    </xf>
    <xf numFmtId="4" fontId="39" fillId="6" borderId="1" xfId="5" applyNumberFormat="1" applyBorder="1" applyAlignment="1" applyProtection="1">
      <alignment horizontal="center" vertical="center" wrapText="1"/>
      <protection locked="0"/>
    </xf>
    <xf numFmtId="0" fontId="39" fillId="6" borderId="1" xfId="5" applyNumberFormat="1" applyBorder="1" applyAlignment="1" applyProtection="1">
      <alignment horizontal="center" vertical="center"/>
      <protection locked="0"/>
    </xf>
    <xf numFmtId="164" fontId="39" fillId="6" borderId="1" xfId="5" applyNumberFormat="1" applyBorder="1" applyAlignment="1" applyProtection="1">
      <alignment horizontal="center" vertical="center" wrapText="1"/>
      <protection locked="0"/>
    </xf>
    <xf numFmtId="165" fontId="39" fillId="6" borderId="1" xfId="5" applyNumberFormat="1" applyBorder="1" applyAlignment="1" applyProtection="1">
      <alignment horizontal="center" vertical="center" wrapText="1"/>
      <protection locked="0"/>
    </xf>
    <xf numFmtId="9" fontId="39" fillId="6" borderId="1" xfId="5" applyNumberFormat="1" applyBorder="1" applyAlignment="1" applyProtection="1">
      <alignment horizontal="center" vertical="center" wrapText="1"/>
      <protection locked="0"/>
    </xf>
    <xf numFmtId="165" fontId="39" fillId="6" borderId="1" xfId="5" applyNumberFormat="1" applyBorder="1" applyAlignment="1" applyProtection="1">
      <alignment horizontal="center" vertical="top" wrapText="1"/>
      <protection locked="0"/>
    </xf>
    <xf numFmtId="14" fontId="57" fillId="7" borderId="14" xfId="4" applyNumberFormat="1" applyFont="1" applyBorder="1" applyAlignment="1" applyProtection="1">
      <alignment horizontal="center" vertical="center" wrapText="1"/>
      <protection hidden="1"/>
    </xf>
    <xf numFmtId="0" fontId="57" fillId="7" borderId="12" xfId="4" applyNumberFormat="1" applyFont="1" applyBorder="1" applyAlignment="1" applyProtection="1">
      <alignment horizontal="center" vertical="center" wrapText="1"/>
      <protection hidden="1"/>
    </xf>
    <xf numFmtId="14" fontId="39" fillId="6" borderId="1" xfId="5" applyNumberFormat="1" applyBorder="1" applyAlignment="1" applyProtection="1">
      <alignment horizontal="center" vertical="center" wrapText="1"/>
      <protection locked="0"/>
    </xf>
    <xf numFmtId="0" fontId="29" fillId="0" borderId="0" xfId="0" applyFont="1" applyProtection="1"/>
    <xf numFmtId="164" fontId="39" fillId="8" borderId="1" xfId="7" applyNumberFormat="1" applyFill="1" applyBorder="1" applyAlignment="1" applyProtection="1">
      <alignment horizontal="center" vertical="top" wrapText="1"/>
    </xf>
    <xf numFmtId="168" fontId="45" fillId="0" borderId="43" xfId="0" applyNumberFormat="1" applyFont="1" applyBorder="1" applyAlignment="1">
      <alignment horizontal="center"/>
    </xf>
    <xf numFmtId="4" fontId="45" fillId="0" borderId="43" xfId="0" applyNumberFormat="1" applyFont="1" applyBorder="1" applyAlignment="1">
      <alignment horizontal="center"/>
    </xf>
    <xf numFmtId="0" fontId="13" fillId="7" borderId="14" xfId="4" applyBorder="1" applyAlignment="1" applyProtection="1">
      <alignment horizontal="center" vertical="center" wrapText="1"/>
      <protection hidden="1"/>
    </xf>
    <xf numFmtId="3" fontId="0" fillId="3" borderId="2" xfId="0" applyNumberFormat="1" applyFill="1" applyBorder="1" applyAlignment="1" applyProtection="1">
      <alignment horizontal="center" vertical="center" wrapText="1"/>
      <protection hidden="1"/>
    </xf>
    <xf numFmtId="3" fontId="0" fillId="3" borderId="1" xfId="0" applyNumberFormat="1" applyFill="1" applyBorder="1" applyAlignment="1" applyProtection="1">
      <alignment horizontal="center" vertical="center" wrapText="1"/>
      <protection hidden="1"/>
    </xf>
    <xf numFmtId="0" fontId="58" fillId="0" borderId="0" xfId="0" applyFont="1" applyAlignment="1" applyProtection="1">
      <alignment horizontal="center"/>
      <protection hidden="1"/>
    </xf>
    <xf numFmtId="0" fontId="13" fillId="7" borderId="5" xfId="4" applyBorder="1" applyAlignment="1" applyProtection="1">
      <alignment horizontal="center" vertical="center" wrapText="1"/>
      <protection hidden="1"/>
    </xf>
    <xf numFmtId="0" fontId="13" fillId="7" borderId="14" xfId="4" applyBorder="1" applyAlignment="1" applyProtection="1">
      <alignment horizontal="center" vertical="center" wrapText="1"/>
      <protection hidden="1"/>
    </xf>
    <xf numFmtId="0" fontId="13" fillId="7" borderId="14" xfId="4" applyBorder="1" applyAlignment="1">
      <alignment horizontal="center" vertical="center" wrapText="1"/>
    </xf>
    <xf numFmtId="0" fontId="3" fillId="3" borderId="1" xfId="0" applyFont="1" applyFill="1" applyBorder="1" applyAlignment="1">
      <alignment horizontal="left" vertical="center" wrapText="1"/>
    </xf>
    <xf numFmtId="0" fontId="0" fillId="8" borderId="1" xfId="6" applyNumberFormat="1" applyFont="1" applyBorder="1" applyAlignment="1" applyProtection="1">
      <alignment horizontal="left" vertical="top" wrapText="1"/>
    </xf>
    <xf numFmtId="0" fontId="26" fillId="0" borderId="0" xfId="0" applyFont="1" applyFill="1" applyAlignment="1" applyProtection="1">
      <alignment vertical="top"/>
    </xf>
    <xf numFmtId="0" fontId="29" fillId="0" borderId="0" xfId="0" applyFont="1"/>
    <xf numFmtId="0" fontId="13" fillId="7" borderId="5" xfId="4" applyBorder="1" applyAlignment="1">
      <alignment vertical="center" wrapText="1"/>
    </xf>
    <xf numFmtId="14" fontId="23" fillId="0" borderId="0" xfId="0" applyNumberFormat="1" applyFont="1"/>
    <xf numFmtId="169" fontId="39" fillId="0" borderId="2" xfId="5" applyNumberFormat="1" applyFill="1" applyBorder="1" applyAlignment="1" applyProtection="1">
      <alignment horizontal="center" vertical="top" wrapText="1"/>
    </xf>
    <xf numFmtId="0" fontId="13" fillId="7" borderId="5" xfId="4" applyBorder="1" applyAlignment="1" applyProtection="1">
      <alignment horizontal="center" vertical="center" wrapText="1"/>
      <protection hidden="1"/>
    </xf>
    <xf numFmtId="0" fontId="39" fillId="8" borderId="2" xfId="6" applyNumberFormat="1" applyBorder="1" applyAlignment="1" applyProtection="1">
      <alignment horizontal="left" vertical="center" wrapText="1"/>
      <protection hidden="1"/>
    </xf>
    <xf numFmtId="0" fontId="0" fillId="3" borderId="4" xfId="0" applyFill="1" applyBorder="1" applyAlignment="1" applyProtection="1">
      <alignment horizontal="left" vertical="center"/>
      <protection hidden="1"/>
    </xf>
    <xf numFmtId="0" fontId="0" fillId="3" borderId="17" xfId="0" applyFill="1" applyBorder="1" applyAlignment="1" applyProtection="1">
      <alignment horizontal="left" vertical="center"/>
      <protection hidden="1"/>
    </xf>
    <xf numFmtId="0" fontId="0" fillId="3" borderId="6" xfId="0" applyFill="1" applyBorder="1" applyAlignment="1" applyProtection="1">
      <alignment horizontal="left" vertical="center"/>
      <protection hidden="1"/>
    </xf>
    <xf numFmtId="0" fontId="39" fillId="6" borderId="2" xfId="5" applyNumberFormat="1" applyBorder="1" applyAlignment="1" applyProtection="1">
      <alignment horizontal="center" vertical="center" wrapText="1"/>
      <protection locked="0"/>
    </xf>
    <xf numFmtId="0" fontId="39" fillId="6" borderId="2" xfId="5" applyBorder="1" applyAlignment="1" applyProtection="1">
      <alignment horizontal="center" vertical="center" wrapText="1"/>
      <protection locked="0"/>
    </xf>
    <xf numFmtId="0" fontId="0" fillId="0" borderId="0" xfId="0" applyBorder="1" applyAlignment="1">
      <alignment vertical="top" wrapText="1"/>
    </xf>
    <xf numFmtId="0" fontId="5" fillId="0" borderId="0" xfId="0" applyFont="1" applyFill="1" applyBorder="1" applyAlignment="1" applyProtection="1">
      <alignment horizontal="center"/>
    </xf>
    <xf numFmtId="9" fontId="39" fillId="0" borderId="0" xfId="5" applyNumberFormat="1" applyFill="1" applyBorder="1" applyAlignment="1" applyProtection="1">
      <alignment horizontal="center" vertical="center" wrapText="1"/>
      <protection locked="0"/>
    </xf>
    <xf numFmtId="0" fontId="0" fillId="3" borderId="4" xfId="0" applyFont="1" applyFill="1" applyBorder="1" applyAlignment="1" applyProtection="1">
      <alignment horizontal="left"/>
      <protection hidden="1"/>
    </xf>
    <xf numFmtId="0" fontId="0" fillId="3" borderId="17" xfId="0" applyFont="1" applyFill="1" applyBorder="1" applyAlignment="1" applyProtection="1">
      <alignment horizontal="left"/>
      <protection hidden="1"/>
    </xf>
    <xf numFmtId="0" fontId="0" fillId="3" borderId="6" xfId="0" applyFont="1" applyFill="1" applyBorder="1" applyAlignment="1" applyProtection="1">
      <alignment horizontal="left"/>
      <protection hidden="1"/>
    </xf>
    <xf numFmtId="0" fontId="13" fillId="7" borderId="5" xfId="4" applyBorder="1" applyAlignment="1">
      <alignment horizontal="center" vertical="center" wrapText="1"/>
    </xf>
    <xf numFmtId="165" fontId="39" fillId="0" borderId="1" xfId="5" applyNumberFormat="1" applyFill="1" applyBorder="1" applyAlignment="1" applyProtection="1">
      <alignment horizontal="center" vertical="top" wrapText="1"/>
    </xf>
    <xf numFmtId="4" fontId="39" fillId="0" borderId="2" xfId="5" applyNumberFormat="1" applyFill="1" applyBorder="1" applyAlignment="1" applyProtection="1">
      <alignment horizontal="center" vertical="center" wrapText="1"/>
    </xf>
    <xf numFmtId="0" fontId="0" fillId="0" borderId="0" xfId="0" applyAlignment="1">
      <alignment vertical="center" wrapText="1"/>
    </xf>
    <xf numFmtId="0" fontId="3" fillId="3" borderId="4" xfId="0" applyFont="1" applyFill="1" applyBorder="1" applyAlignment="1">
      <alignment vertical="center" wrapText="1"/>
    </xf>
    <xf numFmtId="10" fontId="39" fillId="6" borderId="1" xfId="5" applyNumberFormat="1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left" vertical="top" wrapText="1"/>
    </xf>
    <xf numFmtId="0" fontId="0" fillId="0" borderId="28" xfId="0" applyBorder="1" applyAlignment="1">
      <alignment horizontal="left" vertical="top" wrapText="1"/>
    </xf>
    <xf numFmtId="0" fontId="0" fillId="3" borderId="2" xfId="0" applyFill="1" applyBorder="1" applyAlignment="1">
      <alignment horizontal="center" wrapText="1"/>
    </xf>
    <xf numFmtId="0" fontId="0" fillId="0" borderId="4" xfId="0" applyBorder="1" applyAlignment="1">
      <alignment horizontal="left" vertical="top" wrapText="1"/>
    </xf>
    <xf numFmtId="0" fontId="0" fillId="3" borderId="1" xfId="0" applyFill="1" applyBorder="1" applyAlignment="1">
      <alignment horizontal="center" wrapText="1"/>
    </xf>
    <xf numFmtId="0" fontId="0" fillId="6" borderId="1" xfId="5" applyFont="1" applyBorder="1" applyAlignment="1" applyProtection="1">
      <alignment horizontal="center" vertical="top" wrapText="1"/>
      <protection locked="0"/>
    </xf>
    <xf numFmtId="14" fontId="0" fillId="0" borderId="0" xfId="0" applyNumberFormat="1" applyFont="1" applyAlignment="1" applyProtection="1">
      <alignment wrapText="1"/>
    </xf>
    <xf numFmtId="0" fontId="13" fillId="7" borderId="14" xfId="4" applyBorder="1" applyAlignment="1" applyProtection="1">
      <alignment horizontal="center" vertical="center" wrapText="1"/>
      <protection hidden="1"/>
    </xf>
    <xf numFmtId="0" fontId="13" fillId="7" borderId="14" xfId="4" applyBorder="1" applyAlignment="1">
      <alignment horizontal="center" vertical="center" wrapText="1"/>
    </xf>
    <xf numFmtId="0" fontId="0" fillId="6" borderId="2" xfId="5" applyFont="1" applyBorder="1" applyAlignment="1" applyProtection="1">
      <alignment horizontal="left" vertical="center" wrapText="1"/>
      <protection locked="0"/>
    </xf>
    <xf numFmtId="164" fontId="39" fillId="6" borderId="2" xfId="7" applyNumberFormat="1" applyFill="1" applyBorder="1" applyAlignment="1" applyProtection="1">
      <alignment horizontal="center" vertical="center" wrapText="1"/>
      <protection locked="0"/>
    </xf>
    <xf numFmtId="4" fontId="0" fillId="3" borderId="0" xfId="0" applyNumberFormat="1" applyFill="1" applyBorder="1" applyAlignment="1" applyProtection="1">
      <alignment horizontal="center" vertical="top" wrapText="1"/>
      <protection hidden="1"/>
    </xf>
    <xf numFmtId="9" fontId="39" fillId="8" borderId="1" xfId="7" applyFill="1" applyBorder="1" applyAlignment="1" applyProtection="1">
      <alignment horizontal="center" vertical="top" wrapText="1"/>
    </xf>
    <xf numFmtId="9" fontId="39" fillId="0" borderId="2" xfId="7" applyFill="1" applyBorder="1" applyAlignment="1" applyProtection="1">
      <alignment horizontal="center" vertical="top" wrapText="1"/>
    </xf>
    <xf numFmtId="0" fontId="0" fillId="3" borderId="1" xfId="0" applyFill="1" applyBorder="1" applyAlignment="1" applyProtection="1">
      <alignment horizontal="center" vertical="center" wrapText="1"/>
    </xf>
    <xf numFmtId="165" fontId="39" fillId="8" borderId="1" xfId="6" applyNumberFormat="1" applyBorder="1" applyAlignment="1" applyProtection="1">
      <alignment horizontal="center" vertical="center" wrapText="1"/>
    </xf>
    <xf numFmtId="165" fontId="0" fillId="0" borderId="1" xfId="0" applyNumberFormat="1" applyFill="1" applyBorder="1" applyAlignment="1" applyProtection="1">
      <alignment horizontal="center" vertical="center" wrapText="1"/>
    </xf>
    <xf numFmtId="0" fontId="0" fillId="0" borderId="0" xfId="0" applyAlignment="1">
      <alignment vertical="center"/>
    </xf>
    <xf numFmtId="164" fontId="0" fillId="0" borderId="1" xfId="7" applyNumberFormat="1" applyFont="1" applyFill="1" applyBorder="1" applyAlignment="1" applyProtection="1">
      <alignment horizontal="center" vertical="center" wrapText="1"/>
    </xf>
    <xf numFmtId="0" fontId="59" fillId="0" borderId="0" xfId="0" applyFont="1" applyProtection="1"/>
    <xf numFmtId="0" fontId="0" fillId="6" borderId="1" xfId="5" applyFont="1" applyBorder="1" applyAlignment="1" applyProtection="1">
      <alignment horizontal="center" vertical="center"/>
      <protection locked="0"/>
    </xf>
    <xf numFmtId="0" fontId="41" fillId="0" borderId="0" xfId="0" applyFont="1" applyAlignment="1">
      <alignment horizontal="center"/>
    </xf>
    <xf numFmtId="0" fontId="41" fillId="0" borderId="0" xfId="0" applyFont="1" applyAlignment="1">
      <alignment horizontal="center" vertical="top" wrapText="1"/>
    </xf>
    <xf numFmtId="0" fontId="0" fillId="6" borderId="2" xfId="5" applyFont="1" applyBorder="1" applyAlignment="1" applyProtection="1">
      <alignment horizontal="center" vertical="top"/>
      <protection locked="0"/>
    </xf>
    <xf numFmtId="166" fontId="0" fillId="6" borderId="1" xfId="5" applyNumberFormat="1" applyFont="1" applyBorder="1" applyAlignment="1" applyProtection="1">
      <alignment horizontal="center" vertical="top" wrapText="1"/>
      <protection locked="0"/>
    </xf>
    <xf numFmtId="165" fontId="39" fillId="8" borderId="2" xfId="6" applyNumberFormat="1" applyBorder="1" applyAlignment="1" applyProtection="1">
      <alignment horizontal="center" vertical="center" wrapText="1"/>
    </xf>
    <xf numFmtId="0" fontId="39" fillId="6" borderId="1" xfId="5" applyBorder="1" applyAlignment="1" applyProtection="1">
      <alignment horizontal="center" vertical="center" wrapText="1"/>
      <protection locked="0"/>
    </xf>
    <xf numFmtId="165" fontId="2" fillId="8" borderId="1" xfId="6" applyNumberFormat="1" applyFont="1" applyBorder="1" applyAlignment="1" applyProtection="1">
      <alignment horizontal="center" vertical="top" wrapText="1"/>
    </xf>
    <xf numFmtId="0" fontId="20" fillId="4" borderId="35" xfId="0" applyFont="1" applyFill="1" applyBorder="1" applyAlignment="1">
      <alignment horizontal="center" vertical="center" wrapText="1"/>
    </xf>
    <xf numFmtId="0" fontId="20" fillId="4" borderId="0" xfId="0" applyFont="1" applyFill="1" applyBorder="1" applyAlignment="1">
      <alignment horizontal="center" vertical="center" wrapText="1"/>
    </xf>
    <xf numFmtId="0" fontId="20" fillId="4" borderId="36" xfId="0" applyFont="1" applyFill="1" applyBorder="1" applyAlignment="1">
      <alignment horizontal="center" vertical="center" wrapText="1"/>
    </xf>
    <xf numFmtId="0" fontId="21" fillId="4" borderId="35" xfId="0" applyFont="1" applyFill="1" applyBorder="1" applyAlignment="1">
      <alignment horizontal="center" vertical="center"/>
    </xf>
    <xf numFmtId="0" fontId="21" fillId="4" borderId="0" xfId="0" applyFont="1" applyFill="1" applyBorder="1" applyAlignment="1">
      <alignment horizontal="center" vertical="center"/>
    </xf>
    <xf numFmtId="0" fontId="21" fillId="4" borderId="36" xfId="0" applyFont="1" applyFill="1" applyBorder="1" applyAlignment="1">
      <alignment horizontal="center" vertical="center"/>
    </xf>
    <xf numFmtId="0" fontId="14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4" fillId="0" borderId="0" xfId="0" applyFont="1" applyAlignment="1">
      <alignment horizontal="center" wrapText="1"/>
    </xf>
    <xf numFmtId="0" fontId="0" fillId="0" borderId="0" xfId="0" applyAlignment="1" applyProtection="1">
      <alignment horizontal="left" vertical="top" wrapText="1"/>
      <protection hidden="1"/>
    </xf>
    <xf numFmtId="0" fontId="14" fillId="0" borderId="0" xfId="0" applyFont="1" applyAlignment="1">
      <alignment horizontal="center"/>
    </xf>
    <xf numFmtId="0" fontId="0" fillId="3" borderId="23" xfId="0" applyFill="1" applyBorder="1" applyAlignment="1" applyProtection="1">
      <alignment horizontal="left" vertical="center" wrapText="1"/>
      <protection hidden="1"/>
    </xf>
    <xf numFmtId="0" fontId="0" fillId="3" borderId="24" xfId="0" applyFill="1" applyBorder="1" applyAlignment="1" applyProtection="1">
      <alignment horizontal="left" vertical="center" wrapText="1"/>
      <protection hidden="1"/>
    </xf>
    <xf numFmtId="0" fontId="0" fillId="3" borderId="25" xfId="0" applyFill="1" applyBorder="1" applyAlignment="1" applyProtection="1">
      <alignment horizontal="left" vertical="center" wrapText="1"/>
      <protection hidden="1"/>
    </xf>
    <xf numFmtId="0" fontId="0" fillId="0" borderId="23" xfId="0" applyFill="1" applyBorder="1" applyAlignment="1" applyProtection="1">
      <alignment horizontal="left" vertical="center" wrapText="1"/>
      <protection hidden="1"/>
    </xf>
    <xf numFmtId="0" fontId="0" fillId="0" borderId="24" xfId="0" applyFill="1" applyBorder="1" applyAlignment="1" applyProtection="1">
      <alignment horizontal="left" vertical="center" wrapText="1"/>
      <protection hidden="1"/>
    </xf>
    <xf numFmtId="0" fontId="0" fillId="0" borderId="25" xfId="0" applyFill="1" applyBorder="1" applyAlignment="1" applyProtection="1">
      <alignment horizontal="left" vertical="center" wrapText="1"/>
      <protection hidden="1"/>
    </xf>
    <xf numFmtId="0" fontId="13" fillId="7" borderId="12" xfId="4" applyBorder="1" applyAlignment="1" applyProtection="1">
      <alignment horizontal="center" vertical="center" wrapText="1"/>
      <protection hidden="1"/>
    </xf>
    <xf numFmtId="0" fontId="13" fillId="7" borderId="13" xfId="4" applyBorder="1" applyAlignment="1" applyProtection="1">
      <alignment horizontal="center" vertical="center" wrapText="1"/>
      <protection hidden="1"/>
    </xf>
    <xf numFmtId="0" fontId="13" fillId="7" borderId="14" xfId="4" applyBorder="1" applyAlignment="1" applyProtection="1">
      <alignment horizontal="center" vertical="center" wrapText="1"/>
      <protection hidden="1"/>
    </xf>
    <xf numFmtId="0" fontId="13" fillId="7" borderId="12" xfId="4" applyFont="1" applyBorder="1" applyAlignment="1" applyProtection="1">
      <alignment horizontal="center" vertical="center" wrapText="1"/>
      <protection hidden="1"/>
    </xf>
    <xf numFmtId="0" fontId="13" fillId="7" borderId="13" xfId="4" applyFont="1" applyBorder="1" applyAlignment="1" applyProtection="1">
      <alignment horizontal="center" vertical="center" wrapText="1"/>
      <protection hidden="1"/>
    </xf>
    <xf numFmtId="0" fontId="13" fillId="7" borderId="14" xfId="4" applyFont="1" applyBorder="1" applyAlignment="1" applyProtection="1">
      <alignment horizontal="center" vertical="center" wrapText="1"/>
      <protection hidden="1"/>
    </xf>
    <xf numFmtId="0" fontId="13" fillId="7" borderId="5" xfId="4" applyBorder="1" applyAlignment="1" applyProtection="1">
      <alignment horizontal="center" vertical="center" wrapText="1"/>
      <protection hidden="1"/>
    </xf>
    <xf numFmtId="3" fontId="3" fillId="0" borderId="4" xfId="0" applyNumberFormat="1" applyFont="1" applyFill="1" applyBorder="1" applyAlignment="1" applyProtection="1">
      <alignment horizontal="left" vertical="center" wrapText="1"/>
      <protection hidden="1"/>
    </xf>
    <xf numFmtId="0" fontId="0" fillId="0" borderId="17" xfId="0" applyFill="1" applyBorder="1" applyAlignment="1">
      <alignment horizontal="left" vertical="center" wrapText="1"/>
    </xf>
    <xf numFmtId="0" fontId="0" fillId="0" borderId="6" xfId="0" applyFill="1" applyBorder="1" applyAlignment="1">
      <alignment horizontal="left" vertical="center" wrapText="1"/>
    </xf>
    <xf numFmtId="3" fontId="2" fillId="0" borderId="4" xfId="0" applyNumberFormat="1" applyFont="1" applyFill="1" applyBorder="1" applyAlignment="1" applyProtection="1">
      <alignment horizontal="left" vertical="center" wrapText="1"/>
      <protection hidden="1"/>
    </xf>
    <xf numFmtId="0" fontId="0" fillId="0" borderId="17" xfId="0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0" fontId="24" fillId="0" borderId="12" xfId="0" applyFont="1" applyFill="1" applyBorder="1" applyAlignment="1" applyProtection="1">
      <alignment horizontal="center" vertical="center" wrapText="1"/>
      <protection hidden="1"/>
    </xf>
    <xf numFmtId="0" fontId="24" fillId="0" borderId="13" xfId="0" applyFont="1" applyFill="1" applyBorder="1" applyAlignment="1" applyProtection="1">
      <alignment horizontal="center" vertical="center" wrapText="1"/>
      <protection hidden="1"/>
    </xf>
    <xf numFmtId="0" fontId="24" fillId="0" borderId="14" xfId="0" applyFont="1" applyFill="1" applyBorder="1" applyAlignment="1" applyProtection="1">
      <alignment horizontal="center" vertical="center" wrapText="1"/>
      <protection hidden="1"/>
    </xf>
    <xf numFmtId="3" fontId="4" fillId="0" borderId="23" xfId="0" applyNumberFormat="1" applyFont="1" applyFill="1" applyBorder="1" applyAlignment="1" applyProtection="1">
      <alignment horizontal="left" vertical="center" wrapText="1"/>
      <protection hidden="1"/>
    </xf>
    <xf numFmtId="3" fontId="6" fillId="0" borderId="24" xfId="0" applyNumberFormat="1" applyFont="1" applyFill="1" applyBorder="1" applyAlignment="1" applyProtection="1">
      <alignment horizontal="left" vertical="center" wrapText="1"/>
      <protection hidden="1"/>
    </xf>
    <xf numFmtId="3" fontId="6" fillId="0" borderId="25" xfId="0" applyNumberFormat="1" applyFont="1" applyFill="1" applyBorder="1" applyAlignment="1" applyProtection="1">
      <alignment horizontal="left" vertical="center" wrapText="1"/>
      <protection hidden="1"/>
    </xf>
    <xf numFmtId="0" fontId="13" fillId="7" borderId="19" xfId="4" applyBorder="1" applyAlignment="1" applyProtection="1">
      <alignment horizontal="center" vertical="center" wrapText="1"/>
      <protection hidden="1"/>
    </xf>
    <xf numFmtId="0" fontId="13" fillId="7" borderId="20" xfId="4" applyBorder="1" applyAlignment="1" applyProtection="1">
      <alignment horizontal="center" vertical="center" wrapText="1"/>
      <protection hidden="1"/>
    </xf>
    <xf numFmtId="0" fontId="13" fillId="7" borderId="9" xfId="4" applyBorder="1" applyAlignment="1" applyProtection="1">
      <alignment horizontal="center" vertical="center" wrapText="1"/>
      <protection hidden="1"/>
    </xf>
    <xf numFmtId="0" fontId="13" fillId="7" borderId="21" xfId="4" applyBorder="1" applyAlignment="1" applyProtection="1">
      <alignment horizontal="center" vertical="center" wrapText="1"/>
      <protection hidden="1"/>
    </xf>
    <xf numFmtId="0" fontId="13" fillId="7" borderId="0" xfId="4" applyBorder="1" applyAlignment="1" applyProtection="1">
      <alignment horizontal="center" vertical="center" wrapText="1"/>
      <protection hidden="1"/>
    </xf>
    <xf numFmtId="0" fontId="13" fillId="7" borderId="10" xfId="4" applyBorder="1" applyAlignment="1" applyProtection="1">
      <alignment horizontal="center" vertical="center" wrapText="1"/>
      <protection hidden="1"/>
    </xf>
    <xf numFmtId="0" fontId="13" fillId="7" borderId="22" xfId="4" applyBorder="1" applyAlignment="1" applyProtection="1">
      <alignment horizontal="center" vertical="center" wrapText="1"/>
      <protection hidden="1"/>
    </xf>
    <xf numFmtId="0" fontId="13" fillId="7" borderId="8" xfId="4" applyBorder="1" applyAlignment="1" applyProtection="1">
      <alignment horizontal="center" vertical="center" wrapText="1"/>
      <protection hidden="1"/>
    </xf>
    <xf numFmtId="0" fontId="13" fillId="7" borderId="11" xfId="4" applyBorder="1" applyAlignment="1" applyProtection="1">
      <alignment horizontal="center" vertical="center" wrapText="1"/>
      <protection hidden="1"/>
    </xf>
    <xf numFmtId="3" fontId="3" fillId="3" borderId="23" xfId="0" applyNumberFormat="1" applyFont="1" applyFill="1" applyBorder="1" applyAlignment="1" applyProtection="1">
      <alignment horizontal="left" vertical="center" wrapText="1"/>
      <protection hidden="1"/>
    </xf>
    <xf numFmtId="3" fontId="3" fillId="3" borderId="24" xfId="0" applyNumberFormat="1" applyFont="1" applyFill="1" applyBorder="1" applyAlignment="1" applyProtection="1">
      <alignment horizontal="left" vertical="center" wrapText="1"/>
      <protection hidden="1"/>
    </xf>
    <xf numFmtId="3" fontId="3" fillId="3" borderId="25" xfId="0" applyNumberFormat="1" applyFont="1" applyFill="1" applyBorder="1" applyAlignment="1" applyProtection="1">
      <alignment horizontal="left" vertical="center" wrapText="1"/>
      <protection hidden="1"/>
    </xf>
    <xf numFmtId="3" fontId="3" fillId="3" borderId="4" xfId="0" applyNumberFormat="1" applyFont="1" applyFill="1" applyBorder="1" applyAlignment="1" applyProtection="1">
      <alignment horizontal="left" vertical="center" wrapText="1"/>
      <protection hidden="1"/>
    </xf>
    <xf numFmtId="0" fontId="3" fillId="0" borderId="17" xfId="0" applyFont="1" applyBorder="1" applyAlignment="1">
      <alignment horizontal="left" vertical="center" wrapText="1"/>
    </xf>
    <xf numFmtId="0" fontId="3" fillId="0" borderId="6" xfId="0" applyFont="1" applyBorder="1" applyAlignment="1">
      <alignment horizontal="left" vertical="center" wrapText="1"/>
    </xf>
    <xf numFmtId="0" fontId="0" fillId="3" borderId="4" xfId="0" applyFont="1" applyFill="1" applyBorder="1" applyAlignment="1" applyProtection="1">
      <alignment horizontal="left" vertical="center"/>
      <protection hidden="1"/>
    </xf>
    <xf numFmtId="0" fontId="0" fillId="3" borderId="17" xfId="0" applyFont="1" applyFill="1" applyBorder="1" applyAlignment="1" applyProtection="1">
      <alignment horizontal="left" vertical="center"/>
      <protection hidden="1"/>
    </xf>
    <xf numFmtId="0" fontId="0" fillId="3" borderId="6" xfId="0" applyFont="1" applyFill="1" applyBorder="1" applyAlignment="1" applyProtection="1">
      <alignment horizontal="left" vertical="center"/>
      <protection hidden="1"/>
    </xf>
    <xf numFmtId="0" fontId="0" fillId="3" borderId="4" xfId="0" applyFont="1" applyFill="1" applyBorder="1" applyAlignment="1" applyProtection="1">
      <alignment horizontal="left"/>
      <protection hidden="1"/>
    </xf>
    <xf numFmtId="0" fontId="0" fillId="3" borderId="17" xfId="0" applyFont="1" applyFill="1" applyBorder="1" applyAlignment="1" applyProtection="1">
      <alignment horizontal="left"/>
      <protection hidden="1"/>
    </xf>
    <xf numFmtId="0" fontId="0" fillId="3" borderId="6" xfId="0" applyFont="1" applyFill="1" applyBorder="1" applyAlignment="1" applyProtection="1">
      <alignment horizontal="left"/>
      <protection hidden="1"/>
    </xf>
    <xf numFmtId="0" fontId="13" fillId="7" borderId="40" xfId="4" applyBorder="1" applyAlignment="1" applyProtection="1">
      <alignment horizontal="center" vertical="center" wrapText="1"/>
      <protection hidden="1"/>
    </xf>
    <xf numFmtId="0" fontId="13" fillId="7" borderId="44" xfId="4" applyBorder="1" applyAlignment="1" applyProtection="1">
      <alignment horizontal="center" vertical="center" wrapText="1"/>
      <protection hidden="1"/>
    </xf>
    <xf numFmtId="0" fontId="13" fillId="7" borderId="39" xfId="4" applyBorder="1" applyAlignment="1" applyProtection="1">
      <alignment horizontal="center" vertical="center" wrapText="1"/>
      <protection hidden="1"/>
    </xf>
    <xf numFmtId="0" fontId="0" fillId="3" borderId="28" xfId="0" applyFont="1" applyFill="1" applyBorder="1" applyAlignment="1" applyProtection="1">
      <alignment horizontal="left"/>
      <protection hidden="1"/>
    </xf>
    <xf numFmtId="0" fontId="0" fillId="3" borderId="29" xfId="0" applyFont="1" applyFill="1" applyBorder="1" applyAlignment="1" applyProtection="1">
      <alignment horizontal="left"/>
      <protection hidden="1"/>
    </xf>
    <xf numFmtId="0" fontId="0" fillId="3" borderId="7" xfId="0" applyFont="1" applyFill="1" applyBorder="1" applyAlignment="1" applyProtection="1">
      <alignment horizontal="left"/>
      <protection hidden="1"/>
    </xf>
    <xf numFmtId="0" fontId="0" fillId="3" borderId="4" xfId="0" applyFont="1" applyFill="1" applyBorder="1" applyAlignment="1" applyProtection="1">
      <alignment horizontal="left" vertical="center" wrapText="1"/>
      <protection hidden="1"/>
    </xf>
    <xf numFmtId="0" fontId="0" fillId="3" borderId="17" xfId="0" applyFont="1" applyFill="1" applyBorder="1" applyAlignment="1" applyProtection="1">
      <alignment horizontal="left" vertical="center" wrapText="1"/>
      <protection hidden="1"/>
    </xf>
    <xf numFmtId="0" fontId="0" fillId="3" borderId="6" xfId="0" applyFont="1" applyFill="1" applyBorder="1" applyAlignment="1" applyProtection="1">
      <alignment horizontal="left" vertical="center" wrapText="1"/>
      <protection hidden="1"/>
    </xf>
    <xf numFmtId="0" fontId="39" fillId="8" borderId="30" xfId="6" applyNumberFormat="1" applyBorder="1" applyAlignment="1" applyProtection="1">
      <alignment horizontal="left" vertical="center" wrapText="1"/>
      <protection hidden="1"/>
    </xf>
    <xf numFmtId="0" fontId="39" fillId="8" borderId="2" xfId="6" applyNumberFormat="1" applyBorder="1" applyAlignment="1" applyProtection="1">
      <alignment horizontal="left" vertical="center" wrapText="1"/>
      <protection hidden="1"/>
    </xf>
    <xf numFmtId="0" fontId="39" fillId="8" borderId="26" xfId="6" applyNumberFormat="1" applyBorder="1" applyAlignment="1" applyProtection="1">
      <alignment horizontal="left" vertical="center" wrapText="1"/>
      <protection hidden="1"/>
    </xf>
    <xf numFmtId="0" fontId="39" fillId="8" borderId="27" xfId="6" applyNumberFormat="1" applyBorder="1" applyAlignment="1" applyProtection="1">
      <alignment horizontal="left" vertical="center" wrapText="1"/>
      <protection hidden="1"/>
    </xf>
    <xf numFmtId="0" fontId="39" fillId="8" borderId="16" xfId="6" applyNumberFormat="1" applyBorder="1" applyAlignment="1" applyProtection="1">
      <alignment horizontal="left" vertical="center" wrapText="1"/>
      <protection hidden="1"/>
    </xf>
    <xf numFmtId="0" fontId="39" fillId="8" borderId="28" xfId="6" applyNumberFormat="1" applyBorder="1" applyAlignment="1" applyProtection="1">
      <alignment horizontal="left" vertical="center" wrapText="1"/>
      <protection hidden="1"/>
    </xf>
    <xf numFmtId="0" fontId="39" fillId="8" borderId="29" xfId="6" applyNumberFormat="1" applyBorder="1" applyAlignment="1" applyProtection="1">
      <alignment horizontal="left" vertical="center" wrapText="1"/>
      <protection hidden="1"/>
    </xf>
    <xf numFmtId="0" fontId="39" fillId="8" borderId="7" xfId="6" applyNumberFormat="1" applyBorder="1" applyAlignment="1" applyProtection="1">
      <alignment horizontal="left" vertical="center" wrapText="1"/>
      <protection hidden="1"/>
    </xf>
    <xf numFmtId="0" fontId="0" fillId="3" borderId="28" xfId="0" applyFont="1" applyFill="1" applyBorder="1" applyAlignment="1" applyProtection="1">
      <alignment horizontal="left" wrapText="1"/>
      <protection hidden="1"/>
    </xf>
    <xf numFmtId="0" fontId="0" fillId="3" borderId="29" xfId="0" applyFont="1" applyFill="1" applyBorder="1" applyAlignment="1" applyProtection="1">
      <alignment horizontal="left" wrapText="1"/>
      <protection hidden="1"/>
    </xf>
    <xf numFmtId="0" fontId="0" fillId="3" borderId="7" xfId="0" applyFont="1" applyFill="1" applyBorder="1" applyAlignment="1" applyProtection="1">
      <alignment horizontal="left" wrapText="1"/>
      <protection hidden="1"/>
    </xf>
    <xf numFmtId="0" fontId="0" fillId="3" borderId="26" xfId="0" applyFont="1" applyFill="1" applyBorder="1" applyAlignment="1" applyProtection="1">
      <alignment horizontal="left" vertical="center"/>
      <protection hidden="1"/>
    </xf>
    <xf numFmtId="0" fontId="0" fillId="3" borderId="27" xfId="0" applyFont="1" applyFill="1" applyBorder="1" applyAlignment="1" applyProtection="1">
      <alignment horizontal="left" vertical="center"/>
      <protection hidden="1"/>
    </xf>
    <xf numFmtId="0" fontId="0" fillId="3" borderId="16" xfId="0" applyFont="1" applyFill="1" applyBorder="1" applyAlignment="1" applyProtection="1">
      <alignment horizontal="left" vertical="center"/>
      <protection hidden="1"/>
    </xf>
    <xf numFmtId="0" fontId="0" fillId="3" borderId="4" xfId="0" applyFont="1" applyFill="1" applyBorder="1" applyAlignment="1" applyProtection="1">
      <alignment horizontal="left" wrapText="1"/>
      <protection hidden="1"/>
    </xf>
    <xf numFmtId="0" fontId="0" fillId="3" borderId="17" xfId="0" applyFont="1" applyFill="1" applyBorder="1" applyAlignment="1" applyProtection="1">
      <alignment horizontal="left" wrapText="1"/>
      <protection hidden="1"/>
    </xf>
    <xf numFmtId="0" fontId="0" fillId="3" borderId="6" xfId="0" applyFont="1" applyFill="1" applyBorder="1" applyAlignment="1" applyProtection="1">
      <alignment horizontal="left" wrapText="1"/>
      <protection hidden="1"/>
    </xf>
    <xf numFmtId="0" fontId="0" fillId="8" borderId="26" xfId="6" applyNumberFormat="1" applyFont="1" applyBorder="1" applyAlignment="1" applyProtection="1">
      <alignment horizontal="left" wrapText="1"/>
      <protection hidden="1"/>
    </xf>
    <xf numFmtId="0" fontId="39" fillId="8" borderId="27" xfId="6" applyNumberFormat="1" applyBorder="1" applyAlignment="1" applyProtection="1">
      <alignment horizontal="left" wrapText="1"/>
      <protection hidden="1"/>
    </xf>
    <xf numFmtId="0" fontId="39" fillId="8" borderId="16" xfId="6" applyNumberFormat="1" applyBorder="1" applyAlignment="1" applyProtection="1">
      <alignment horizontal="left" wrapText="1"/>
      <protection hidden="1"/>
    </xf>
    <xf numFmtId="0" fontId="39" fillId="8" borderId="28" xfId="6" applyNumberFormat="1" applyBorder="1" applyAlignment="1" applyProtection="1">
      <alignment horizontal="left" wrapText="1"/>
      <protection hidden="1"/>
    </xf>
    <xf numFmtId="0" fontId="39" fillId="8" borderId="29" xfId="6" applyNumberFormat="1" applyBorder="1" applyAlignment="1" applyProtection="1">
      <alignment horizontal="left" wrapText="1"/>
      <protection hidden="1"/>
    </xf>
    <xf numFmtId="0" fontId="39" fillId="8" borderId="7" xfId="6" applyNumberFormat="1" applyBorder="1" applyAlignment="1" applyProtection="1">
      <alignment horizontal="left" wrapText="1"/>
      <protection hidden="1"/>
    </xf>
    <xf numFmtId="0" fontId="39" fillId="8" borderId="3" xfId="6" applyNumberFormat="1" applyBorder="1" applyAlignment="1" applyProtection="1">
      <alignment horizontal="left" vertical="center" wrapText="1"/>
      <protection hidden="1"/>
    </xf>
    <xf numFmtId="0" fontId="39" fillId="8" borderId="55" xfId="6" applyNumberFormat="1" applyBorder="1" applyAlignment="1" applyProtection="1">
      <alignment horizontal="left" vertical="center" wrapText="1"/>
      <protection hidden="1"/>
    </xf>
    <xf numFmtId="0" fontId="0" fillId="8" borderId="26" xfId="6" applyNumberFormat="1" applyFont="1" applyBorder="1" applyAlignment="1" applyProtection="1">
      <alignment horizontal="left" vertical="center" wrapText="1"/>
      <protection hidden="1"/>
    </xf>
    <xf numFmtId="0" fontId="39" fillId="8" borderId="41" xfId="6" applyNumberFormat="1" applyBorder="1" applyAlignment="1" applyProtection="1">
      <alignment horizontal="left" vertical="center" wrapText="1"/>
      <protection hidden="1"/>
    </xf>
    <xf numFmtId="0" fontId="39" fillId="8" borderId="0" xfId="6" applyNumberFormat="1" applyBorder="1" applyAlignment="1" applyProtection="1">
      <alignment horizontal="left" vertical="center" wrapText="1"/>
      <protection hidden="1"/>
    </xf>
    <xf numFmtId="0" fontId="39" fillId="8" borderId="42" xfId="6" applyNumberFormat="1" applyBorder="1" applyAlignment="1" applyProtection="1">
      <alignment horizontal="left" vertical="center" wrapText="1"/>
      <protection hidden="1"/>
    </xf>
    <xf numFmtId="0" fontId="39" fillId="8" borderId="56" xfId="6" applyNumberFormat="1" applyBorder="1" applyAlignment="1" applyProtection="1">
      <alignment horizontal="left" vertical="center" wrapText="1"/>
      <protection hidden="1"/>
    </xf>
    <xf numFmtId="0" fontId="39" fillId="8" borderId="57" xfId="6" applyNumberFormat="1" applyBorder="1" applyAlignment="1" applyProtection="1">
      <alignment horizontal="left" vertical="center" wrapText="1"/>
      <protection hidden="1"/>
    </xf>
    <xf numFmtId="0" fontId="39" fillId="8" borderId="58" xfId="6" applyNumberFormat="1" applyBorder="1" applyAlignment="1" applyProtection="1">
      <alignment horizontal="left" vertical="center" wrapText="1"/>
      <protection hidden="1"/>
    </xf>
    <xf numFmtId="0" fontId="0" fillId="3" borderId="28" xfId="0" applyFont="1" applyFill="1" applyBorder="1" applyAlignment="1" applyProtection="1">
      <alignment horizontal="left" vertical="center"/>
      <protection hidden="1"/>
    </xf>
    <xf numFmtId="0" fontId="0" fillId="3" borderId="29" xfId="0" applyFont="1" applyFill="1" applyBorder="1" applyAlignment="1" applyProtection="1">
      <alignment horizontal="left" vertical="center"/>
      <protection hidden="1"/>
    </xf>
    <xf numFmtId="0" fontId="0" fillId="3" borderId="7" xfId="0" applyFont="1" applyFill="1" applyBorder="1" applyAlignment="1" applyProtection="1">
      <alignment horizontal="left" vertical="center"/>
      <protection hidden="1"/>
    </xf>
    <xf numFmtId="0" fontId="39" fillId="8" borderId="26" xfId="6" applyNumberFormat="1" applyBorder="1" applyAlignment="1" applyProtection="1">
      <alignment horizontal="left" wrapText="1"/>
      <protection hidden="1"/>
    </xf>
    <xf numFmtId="0" fontId="14" fillId="0" borderId="0" xfId="0" applyFont="1" applyAlignment="1" applyProtection="1">
      <alignment wrapText="1"/>
    </xf>
    <xf numFmtId="0" fontId="14" fillId="0" borderId="0" xfId="0" applyFont="1" applyAlignment="1"/>
    <xf numFmtId="0" fontId="13" fillId="7" borderId="13" xfId="4" applyBorder="1" applyAlignment="1" applyProtection="1">
      <alignment horizontal="center" vertical="center" wrapText="1"/>
    </xf>
    <xf numFmtId="0" fontId="13" fillId="7" borderId="18" xfId="4" applyBorder="1" applyAlignment="1" applyProtection="1">
      <alignment horizontal="center" vertical="center" wrapText="1"/>
    </xf>
    <xf numFmtId="0" fontId="26" fillId="0" borderId="0" xfId="0" applyFont="1" applyAlignment="1" applyProtection="1">
      <alignment horizontal="center" vertical="top"/>
    </xf>
    <xf numFmtId="0" fontId="0" fillId="0" borderId="30" xfId="0" applyBorder="1" applyAlignment="1" applyProtection="1">
      <alignment vertical="center" wrapText="1"/>
    </xf>
    <xf numFmtId="0" fontId="0" fillId="0" borderId="2" xfId="0" applyBorder="1" applyAlignment="1">
      <alignment vertical="center" wrapText="1"/>
    </xf>
    <xf numFmtId="9" fontId="39" fillId="6" borderId="30" xfId="5" applyNumberFormat="1" applyBorder="1" applyAlignment="1" applyProtection="1">
      <alignment horizontal="center" vertical="center" wrapText="1"/>
      <protection locked="0"/>
    </xf>
    <xf numFmtId="9" fontId="39" fillId="6" borderId="2" xfId="5" applyNumberFormat="1" applyBorder="1" applyAlignment="1" applyProtection="1">
      <alignment horizontal="center" vertical="center" wrapText="1"/>
      <protection locked="0"/>
    </xf>
    <xf numFmtId="0" fontId="13" fillId="7" borderId="5" xfId="4" applyBorder="1" applyAlignment="1">
      <alignment horizontal="center" vertical="center" wrapText="1"/>
    </xf>
    <xf numFmtId="0" fontId="13" fillId="7" borderId="21" xfId="4" applyBorder="1" applyAlignment="1"/>
    <xf numFmtId="0" fontId="13" fillId="7" borderId="54" xfId="4" applyBorder="1" applyAlignment="1"/>
    <xf numFmtId="0" fontId="0" fillId="6" borderId="4" xfId="5" applyFont="1" applyBorder="1" applyAlignment="1" applyProtection="1">
      <alignment horizontal="center" vertical="top" wrapText="1"/>
      <protection locked="0"/>
    </xf>
    <xf numFmtId="0" fontId="39" fillId="6" borderId="17" xfId="5" applyBorder="1" applyAlignment="1" applyProtection="1">
      <alignment horizontal="center" vertical="top" wrapText="1"/>
      <protection locked="0"/>
    </xf>
    <xf numFmtId="0" fontId="39" fillId="6" borderId="6" xfId="5" applyBorder="1" applyAlignment="1" applyProtection="1">
      <alignment horizontal="center" vertical="top" wrapText="1"/>
      <protection locked="0"/>
    </xf>
    <xf numFmtId="0" fontId="13" fillId="7" borderId="12" xfId="4" applyBorder="1" applyAlignment="1">
      <alignment horizontal="left" vertical="center" wrapText="1"/>
    </xf>
    <xf numFmtId="0" fontId="13" fillId="7" borderId="14" xfId="4" applyBorder="1" applyAlignment="1">
      <alignment horizontal="left" vertical="center" wrapText="1"/>
    </xf>
    <xf numFmtId="0" fontId="13" fillId="7" borderId="19" xfId="4" applyBorder="1" applyAlignment="1">
      <alignment horizontal="center" vertical="center" wrapText="1"/>
    </xf>
    <xf numFmtId="0" fontId="13" fillId="7" borderId="9" xfId="4" applyBorder="1" applyAlignment="1">
      <alignment horizontal="center" vertical="center" wrapText="1"/>
    </xf>
    <xf numFmtId="0" fontId="13" fillId="7" borderId="22" xfId="4" applyBorder="1" applyAlignment="1">
      <alignment horizontal="center" vertical="center" wrapText="1"/>
    </xf>
    <xf numFmtId="0" fontId="13" fillId="7" borderId="11" xfId="4" applyBorder="1" applyAlignment="1">
      <alignment horizontal="center" vertical="center" wrapText="1"/>
    </xf>
    <xf numFmtId="0" fontId="13" fillId="7" borderId="12" xfId="4" applyBorder="1" applyAlignment="1">
      <alignment horizontal="center" vertical="center" wrapText="1"/>
    </xf>
    <xf numFmtId="0" fontId="13" fillId="7" borderId="13" xfId="4" applyBorder="1" applyAlignment="1">
      <alignment horizontal="center" vertical="center" wrapText="1"/>
    </xf>
    <xf numFmtId="0" fontId="13" fillId="7" borderId="14" xfId="4" applyBorder="1" applyAlignment="1">
      <alignment horizontal="center" vertical="center" wrapText="1"/>
    </xf>
    <xf numFmtId="0" fontId="13" fillId="7" borderId="10" xfId="4" applyBorder="1" applyAlignment="1">
      <alignment horizontal="center" vertical="center" wrapText="1"/>
    </xf>
    <xf numFmtId="0" fontId="7" fillId="3" borderId="4" xfId="0" applyFont="1" applyFill="1" applyBorder="1" applyAlignment="1">
      <alignment horizontal="left" vertical="center" wrapText="1"/>
    </xf>
    <xf numFmtId="0" fontId="7" fillId="3" borderId="17" xfId="0" applyFont="1" applyFill="1" applyBorder="1" applyAlignment="1">
      <alignment horizontal="left" vertical="center" wrapText="1"/>
    </xf>
    <xf numFmtId="0" fontId="7" fillId="3" borderId="6" xfId="0" applyFont="1" applyFill="1" applyBorder="1" applyAlignment="1">
      <alignment horizontal="left" vertical="center" wrapText="1"/>
    </xf>
    <xf numFmtId="0" fontId="0" fillId="6" borderId="26" xfId="5" applyFont="1" applyBorder="1" applyAlignment="1" applyProtection="1">
      <alignment horizontal="left" vertical="center" wrapText="1"/>
      <protection locked="0"/>
    </xf>
    <xf numFmtId="0" fontId="39" fillId="6" borderId="27" xfId="5" applyBorder="1" applyAlignment="1" applyProtection="1">
      <alignment horizontal="left" vertical="center" wrapText="1"/>
      <protection locked="0"/>
    </xf>
    <xf numFmtId="0" fontId="39" fillId="6" borderId="16" xfId="5" applyBorder="1" applyAlignment="1" applyProtection="1">
      <alignment horizontal="left" vertical="center" wrapText="1"/>
      <protection locked="0"/>
    </xf>
    <xf numFmtId="0" fontId="39" fillId="6" borderId="28" xfId="5" applyBorder="1" applyAlignment="1" applyProtection="1">
      <alignment horizontal="left" vertical="center" wrapText="1"/>
      <protection locked="0"/>
    </xf>
    <xf numFmtId="0" fontId="39" fillId="6" borderId="29" xfId="5" applyBorder="1" applyAlignment="1" applyProtection="1">
      <alignment horizontal="left" vertical="center" wrapText="1"/>
      <protection locked="0"/>
    </xf>
    <xf numFmtId="0" fontId="39" fillId="6" borderId="7" xfId="5" applyBorder="1" applyAlignment="1" applyProtection="1">
      <alignment horizontal="left" vertical="center" wrapText="1"/>
      <protection locked="0"/>
    </xf>
    <xf numFmtId="0" fontId="0" fillId="0" borderId="30" xfId="0" applyBorder="1" applyAlignment="1">
      <alignment horizontal="left" wrapText="1"/>
    </xf>
    <xf numFmtId="0" fontId="0" fillId="0" borderId="2" xfId="0" applyBorder="1" applyAlignment="1">
      <alignment horizontal="left" wrapText="1"/>
    </xf>
    <xf numFmtId="0" fontId="13" fillId="7" borderId="9" xfId="4" applyBorder="1" applyAlignment="1" applyProtection="1">
      <alignment horizontal="center" vertical="center" wrapText="1"/>
    </xf>
    <xf numFmtId="0" fontId="13" fillId="7" borderId="10" xfId="4" applyBorder="1" applyAlignment="1" applyProtection="1">
      <alignment horizontal="center" vertical="center" wrapText="1"/>
    </xf>
    <xf numFmtId="0" fontId="13" fillId="7" borderId="11" xfId="4" applyBorder="1" applyAlignment="1" applyProtection="1">
      <alignment horizontal="center" vertical="center" wrapText="1"/>
    </xf>
    <xf numFmtId="0" fontId="28" fillId="0" borderId="0" xfId="0" applyFont="1" applyAlignment="1">
      <alignment vertical="top" wrapText="1"/>
    </xf>
    <xf numFmtId="0" fontId="0" fillId="0" borderId="0" xfId="0" applyAlignment="1">
      <alignment wrapText="1"/>
    </xf>
    <xf numFmtId="0" fontId="35" fillId="0" borderId="4" xfId="1" applyFont="1" applyBorder="1" applyAlignment="1" applyProtection="1">
      <alignment horizontal="center" vertical="top" wrapText="1"/>
      <protection hidden="1"/>
    </xf>
    <xf numFmtId="0" fontId="35" fillId="0" borderId="17" xfId="1" applyFont="1" applyBorder="1" applyAlignment="1" applyProtection="1">
      <alignment horizontal="center" vertical="top" wrapText="1"/>
      <protection hidden="1"/>
    </xf>
    <xf numFmtId="0" fontId="35" fillId="0" borderId="6" xfId="1" applyFont="1" applyBorder="1" applyAlignment="1" applyProtection="1">
      <alignment horizontal="center" vertical="top" wrapText="1"/>
      <protection hidden="1"/>
    </xf>
    <xf numFmtId="0" fontId="0" fillId="0" borderId="4" xfId="0" applyBorder="1" applyAlignment="1">
      <alignment horizontal="left" vertical="center"/>
    </xf>
    <xf numFmtId="0" fontId="0" fillId="0" borderId="17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4" xfId="0" applyBorder="1" applyAlignment="1" applyProtection="1">
      <alignment horizontal="left" vertical="center"/>
      <protection hidden="1"/>
    </xf>
    <xf numFmtId="0" fontId="0" fillId="0" borderId="17" xfId="0" applyBorder="1" applyAlignment="1" applyProtection="1">
      <alignment horizontal="left" vertical="center"/>
      <protection hidden="1"/>
    </xf>
    <xf numFmtId="0" fontId="0" fillId="0" borderId="6" xfId="0" applyBorder="1" applyAlignment="1" applyProtection="1">
      <alignment horizontal="left" vertical="center"/>
      <protection hidden="1"/>
    </xf>
    <xf numFmtId="0" fontId="13" fillId="7" borderId="40" xfId="4" applyBorder="1" applyAlignment="1">
      <alignment horizontal="center" vertical="center" wrapText="1"/>
    </xf>
    <xf numFmtId="0" fontId="13" fillId="7" borderId="44" xfId="4" applyBorder="1" applyAlignment="1">
      <alignment horizontal="center" vertical="center" wrapText="1"/>
    </xf>
    <xf numFmtId="0" fontId="13" fillId="7" borderId="39" xfId="4" applyBorder="1" applyAlignment="1">
      <alignment horizontal="center" vertical="center" wrapText="1"/>
    </xf>
    <xf numFmtId="0" fontId="0" fillId="6" borderId="28" xfId="5" applyFont="1" applyBorder="1" applyAlignment="1" applyProtection="1">
      <alignment horizontal="center" vertical="top" wrapText="1"/>
      <protection locked="0"/>
    </xf>
    <xf numFmtId="0" fontId="39" fillId="6" borderId="29" xfId="5" applyBorder="1" applyAlignment="1" applyProtection="1">
      <alignment horizontal="center" vertical="top" wrapText="1"/>
      <protection locked="0"/>
    </xf>
    <xf numFmtId="0" fontId="39" fillId="6" borderId="7" xfId="5" applyBorder="1" applyAlignment="1" applyProtection="1">
      <alignment horizontal="center" vertical="top" wrapText="1"/>
      <protection locked="0"/>
    </xf>
    <xf numFmtId="14" fontId="13" fillId="7" borderId="12" xfId="4" applyNumberFormat="1" applyBorder="1" applyAlignment="1" applyProtection="1">
      <alignment horizontal="center" vertical="center" wrapText="1"/>
      <protection hidden="1"/>
    </xf>
    <xf numFmtId="14" fontId="13" fillId="7" borderId="13" xfId="4" applyNumberFormat="1" applyBorder="1" applyAlignment="1" applyProtection="1">
      <alignment horizontal="center" vertical="center" wrapText="1"/>
      <protection hidden="1"/>
    </xf>
    <xf numFmtId="14" fontId="13" fillId="7" borderId="14" xfId="4" applyNumberFormat="1" applyBorder="1" applyAlignment="1" applyProtection="1">
      <alignment horizontal="center" vertical="center" wrapText="1"/>
      <protection hidden="1"/>
    </xf>
    <xf numFmtId="0" fontId="0" fillId="3" borderId="4" xfId="0" applyFill="1" applyBorder="1" applyAlignment="1" applyProtection="1">
      <alignment horizontal="left" vertical="center" wrapText="1"/>
    </xf>
    <xf numFmtId="0" fontId="0" fillId="3" borderId="6" xfId="0" applyFill="1" applyBorder="1" applyAlignment="1" applyProtection="1">
      <alignment horizontal="left" vertical="center" wrapText="1"/>
    </xf>
    <xf numFmtId="0" fontId="13" fillId="7" borderId="12" xfId="4" applyNumberFormat="1" applyBorder="1" applyAlignment="1" applyProtection="1">
      <alignment horizontal="center" vertical="center"/>
    </xf>
    <xf numFmtId="0" fontId="13" fillId="7" borderId="14" xfId="4" applyNumberFormat="1" applyBorder="1" applyAlignment="1" applyProtection="1">
      <alignment horizontal="center" vertical="center"/>
    </xf>
    <xf numFmtId="0" fontId="11" fillId="3" borderId="27" xfId="0" applyNumberFormat="1" applyFont="1" applyFill="1" applyBorder="1" applyAlignment="1" applyProtection="1">
      <alignment horizontal="left" vertical="center" wrapText="1" indent="1"/>
      <protection hidden="1"/>
    </xf>
    <xf numFmtId="0" fontId="11" fillId="3" borderId="16" xfId="0" applyNumberFormat="1" applyFont="1" applyFill="1" applyBorder="1" applyAlignment="1" applyProtection="1">
      <alignment horizontal="left" vertical="center" wrapText="1" indent="1"/>
      <protection hidden="1"/>
    </xf>
    <xf numFmtId="0" fontId="11" fillId="3" borderId="29" xfId="0" applyNumberFormat="1" applyFont="1" applyFill="1" applyBorder="1" applyAlignment="1" applyProtection="1">
      <alignment horizontal="left" vertical="center" wrapText="1" indent="1"/>
      <protection hidden="1"/>
    </xf>
    <xf numFmtId="0" fontId="11" fillId="3" borderId="7" xfId="0" applyNumberFormat="1" applyFont="1" applyFill="1" applyBorder="1" applyAlignment="1" applyProtection="1">
      <alignment horizontal="left" vertical="center" wrapText="1" indent="1"/>
      <protection hidden="1"/>
    </xf>
    <xf numFmtId="0" fontId="13" fillId="7" borderId="12" xfId="4" applyNumberFormat="1" applyBorder="1" applyAlignment="1">
      <alignment horizontal="center" vertical="center" wrapText="1"/>
    </xf>
    <xf numFmtId="0" fontId="13" fillId="7" borderId="14" xfId="4" applyNumberFormat="1" applyBorder="1" applyAlignment="1">
      <alignment horizontal="center" vertical="center" wrapText="1"/>
    </xf>
    <xf numFmtId="0" fontId="13" fillId="7" borderId="12" xfId="4" applyNumberFormat="1" applyBorder="1" applyAlignment="1" applyProtection="1">
      <alignment horizontal="center" vertical="center" wrapText="1"/>
    </xf>
    <xf numFmtId="0" fontId="13" fillId="7" borderId="14" xfId="4" applyNumberFormat="1" applyBorder="1" applyAlignment="1" applyProtection="1">
      <alignment horizontal="center" vertical="center" wrapText="1"/>
    </xf>
    <xf numFmtId="0" fontId="39" fillId="8" borderId="4" xfId="6" applyNumberFormat="1" applyBorder="1" applyAlignment="1" applyProtection="1">
      <alignment horizontal="left" vertical="center" wrapText="1"/>
      <protection hidden="1"/>
    </xf>
    <xf numFmtId="0" fontId="39" fillId="8" borderId="17" xfId="6" applyNumberFormat="1" applyBorder="1" applyAlignment="1" applyProtection="1">
      <alignment horizontal="left" vertical="center" wrapText="1"/>
      <protection hidden="1"/>
    </xf>
    <xf numFmtId="0" fontId="39" fillId="8" borderId="6" xfId="6" applyNumberFormat="1" applyBorder="1" applyAlignment="1" applyProtection="1">
      <alignment horizontal="left" vertical="center" wrapText="1"/>
      <protection hidden="1"/>
    </xf>
    <xf numFmtId="0" fontId="0" fillId="3" borderId="4" xfId="0" applyFill="1" applyBorder="1" applyAlignment="1" applyProtection="1">
      <alignment horizontal="left" vertical="center"/>
      <protection hidden="1"/>
    </xf>
    <xf numFmtId="0" fontId="0" fillId="3" borderId="17" xfId="0" applyFill="1" applyBorder="1" applyAlignment="1" applyProtection="1">
      <alignment horizontal="left" vertical="center"/>
      <protection hidden="1"/>
    </xf>
    <xf numFmtId="0" fontId="0" fillId="3" borderId="6" xfId="0" applyFill="1" applyBorder="1" applyAlignment="1" applyProtection="1">
      <alignment horizontal="left" vertical="center"/>
      <protection hidden="1"/>
    </xf>
    <xf numFmtId="0" fontId="0" fillId="3" borderId="28" xfId="0" applyFill="1" applyBorder="1" applyAlignment="1" applyProtection="1">
      <alignment horizontal="left" vertical="center"/>
      <protection hidden="1"/>
    </xf>
    <xf numFmtId="0" fontId="0" fillId="3" borderId="29" xfId="0" applyFill="1" applyBorder="1" applyAlignment="1" applyProtection="1">
      <alignment horizontal="left" vertical="center"/>
      <protection hidden="1"/>
    </xf>
    <xf numFmtId="0" fontId="0" fillId="3" borderId="7" xfId="0" applyFill="1" applyBorder="1" applyAlignment="1" applyProtection="1">
      <alignment horizontal="left" vertical="center"/>
      <protection hidden="1"/>
    </xf>
    <xf numFmtId="0" fontId="45" fillId="0" borderId="43" xfId="0" applyFont="1" applyBorder="1" applyAlignment="1">
      <alignment wrapText="1"/>
    </xf>
    <xf numFmtId="0" fontId="53" fillId="5" borderId="0" xfId="0" applyFont="1" applyFill="1" applyAlignment="1">
      <alignment horizontal="left"/>
    </xf>
    <xf numFmtId="0" fontId="47" fillId="5" borderId="45" xfId="0" applyFont="1" applyFill="1" applyBorder="1" applyAlignment="1">
      <alignment horizontal="center" vertical="center" wrapText="1"/>
    </xf>
    <xf numFmtId="0" fontId="47" fillId="5" borderId="46" xfId="0" applyFont="1" applyFill="1" applyBorder="1" applyAlignment="1">
      <alignment horizontal="center" vertical="center" wrapText="1"/>
    </xf>
    <xf numFmtId="0" fontId="45" fillId="0" borderId="46" xfId="0" applyFont="1" applyBorder="1" applyAlignment="1"/>
    <xf numFmtId="0" fontId="45" fillId="0" borderId="47" xfId="0" applyFont="1" applyBorder="1" applyAlignment="1"/>
    <xf numFmtId="0" fontId="48" fillId="5" borderId="45" xfId="0" applyFont="1" applyFill="1" applyBorder="1" applyAlignment="1">
      <alignment horizontal="center" vertical="center" wrapText="1"/>
    </xf>
    <xf numFmtId="0" fontId="45" fillId="0" borderId="47" xfId="0" applyFont="1" applyBorder="1" applyAlignment="1">
      <alignment horizontal="center" vertical="center" wrapText="1"/>
    </xf>
    <xf numFmtId="0" fontId="48" fillId="5" borderId="48" xfId="0" applyFont="1" applyFill="1" applyBorder="1" applyAlignment="1">
      <alignment horizontal="center" vertical="center" wrapText="1"/>
    </xf>
    <xf numFmtId="0" fontId="45" fillId="0" borderId="49" xfId="0" applyFont="1" applyBorder="1" applyAlignment="1">
      <alignment horizontal="center" vertical="center" wrapText="1"/>
    </xf>
    <xf numFmtId="0" fontId="49" fillId="0" borderId="50" xfId="0" applyFont="1" applyBorder="1" applyAlignment="1">
      <alignment vertical="center" wrapText="1"/>
    </xf>
    <xf numFmtId="0" fontId="45" fillId="0" borderId="51" xfId="0" applyFont="1" applyBorder="1" applyAlignment="1">
      <alignment vertical="center" wrapText="1"/>
    </xf>
    <xf numFmtId="0" fontId="45" fillId="0" borderId="52" xfId="0" applyFont="1" applyBorder="1" applyAlignment="1">
      <alignment vertical="center" wrapText="1"/>
    </xf>
    <xf numFmtId="0" fontId="45" fillId="0" borderId="46" xfId="0" applyFont="1" applyBorder="1" applyAlignment="1">
      <alignment horizontal="center" vertical="center" wrapText="1"/>
    </xf>
    <xf numFmtId="0" fontId="48" fillId="5" borderId="50" xfId="0" applyFont="1" applyFill="1" applyBorder="1" applyAlignment="1">
      <alignment horizontal="center" vertical="center" wrapText="1"/>
    </xf>
    <xf numFmtId="0" fontId="45" fillId="0" borderId="51" xfId="0" applyFont="1" applyBorder="1" applyAlignment="1">
      <alignment horizontal="center" vertical="center" wrapText="1"/>
    </xf>
    <xf numFmtId="164" fontId="39" fillId="6" borderId="2" xfId="5" applyNumberFormat="1" applyBorder="1" applyAlignment="1" applyProtection="1">
      <alignment horizontal="center" vertical="center" wrapText="1"/>
      <protection locked="0"/>
    </xf>
  </cellXfs>
  <cellStyles count="8">
    <cellStyle name="Гиперссылка" xfId="1" builtinId="8"/>
    <cellStyle name="Изменяемые ячейки" xfId="5"/>
    <cellStyle name="Обычный" xfId="0" builtinId="0"/>
    <cellStyle name="Обычный 10" xfId="3"/>
    <cellStyle name="Обычный 4 2" xfId="2"/>
    <cellStyle name="Процентный" xfId="7" builtinId="5"/>
    <cellStyle name="Ячейки заголовков" xfId="4"/>
    <cellStyle name="Ячейки итогов" xfId="6"/>
  </cellStyles>
  <dxfs count="139"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lightGray">
          <bgColor theme="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 patternType="mediumGray"/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lightGray">
          <bgColor theme="0"/>
        </patternFill>
      </fill>
    </dxf>
    <dxf>
      <fill>
        <patternFill patternType="lightGray"/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lightGray"/>
      </fill>
    </dxf>
    <dxf>
      <fill>
        <patternFill patternType="lightGray"/>
      </fill>
    </dxf>
    <dxf>
      <fill>
        <patternFill patternType="lightGray"/>
      </fill>
    </dxf>
    <dxf>
      <fill>
        <patternFill patternType="lightGray"/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F6DD"/>
      <color rgb="FFC8E6E5"/>
      <color rgb="FFFFC7CE"/>
      <color rgb="FFFF9999"/>
      <color rgb="FF2A2D4F"/>
      <color rgb="FFFFF6FB"/>
      <color rgb="FF548DD4"/>
      <color rgb="FF0099FF"/>
      <color rgb="FF3366FF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https://frprf.ru/kontakty/" TargetMode="External"/><Relationship Id="rId13" Type="http://schemas.openxmlformats.org/officeDocument/2006/relationships/image" Target="../media/image3.png"/><Relationship Id="rId3" Type="http://schemas.openxmlformats.org/officeDocument/2006/relationships/hyperlink" Target="https://frprf.ru/o-fonde/" TargetMode="External"/><Relationship Id="rId7" Type="http://schemas.openxmlformats.org/officeDocument/2006/relationships/image" Target="../media/image2.png"/><Relationship Id="rId12" Type="http://schemas.openxmlformats.org/officeDocument/2006/relationships/hyperlink" Target="mailto:fm@frprf.ru" TargetMode="External"/><Relationship Id="rId2" Type="http://schemas.openxmlformats.org/officeDocument/2006/relationships/image" Target="../media/image1.png"/><Relationship Id="rId1" Type="http://schemas.openxmlformats.org/officeDocument/2006/relationships/hyperlink" Target="https://frprf.ru/" TargetMode="External"/><Relationship Id="rId6" Type="http://schemas.openxmlformats.org/officeDocument/2006/relationships/hyperlink" Target="https://lk.frprf.ru/" TargetMode="External"/><Relationship Id="rId11" Type="http://schemas.openxmlformats.org/officeDocument/2006/relationships/hyperlink" Target="#&#1042;&#1099;&#1074;&#1086;&#1076;&#1099;!A1"/><Relationship Id="rId5" Type="http://schemas.openxmlformats.org/officeDocument/2006/relationships/hyperlink" Target="https://frprf.ru/partnery/" TargetMode="External"/><Relationship Id="rId10" Type="http://schemas.openxmlformats.org/officeDocument/2006/relationships/hyperlink" Target="#&#1055;&#1088;&#1077;&#1076;&#1087;&#1086;&#1089;&#1099;&#1083;&#1082;&#1080;!A1"/><Relationship Id="rId4" Type="http://schemas.openxmlformats.org/officeDocument/2006/relationships/hyperlink" Target="https://frprf.ru/zaymy/" TargetMode="External"/><Relationship Id="rId9" Type="http://schemas.openxmlformats.org/officeDocument/2006/relationships/hyperlink" Target="#'&#1055;&#1072;&#1088;&#1072;&#1084;&#1077;&#1090;&#1088;&#1099; &#1079;&#1072;&#1081;&#1084;&#1072;'!A1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hyperlink" Target="https://frprf.ru/" TargetMode="Externa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hyperlink" Target="https://frprf.ru/" TargetMode="Externa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hyperlink" Target="https://frprf.ru/" TargetMode="Externa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hyperlink" Target="https://frprf.ru/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hyperlink" Target="https://frprf.ru/" TargetMode="Externa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image" Target="../media/image5.png"/><Relationship Id="rId1" Type="http://schemas.openxmlformats.org/officeDocument/2006/relationships/hyperlink" Target="https://frprf.ru/" TargetMode="Externa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hyperlink" Target="https://frprf.ru/" TargetMode="Externa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hyperlink" Target="https://frprf.ru/" TargetMode="Externa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hyperlink" Target="https://frprf.ru/" TargetMode="Externa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hyperlink" Target="https://frprf.ru/" TargetMode="Externa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hyperlink" Target="https://frprf.ru/" TargetMode="Externa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hyperlink" Target="https://frprf.ru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168871</xdr:colOff>
      <xdr:row>0</xdr:row>
      <xdr:rowOff>157733</xdr:rowOff>
    </xdr:from>
    <xdr:to>
      <xdr:col>3</xdr:col>
      <xdr:colOff>42768</xdr:colOff>
      <xdr:row>2</xdr:row>
      <xdr:rowOff>71408</xdr:rowOff>
    </xdr:to>
    <xdr:pic>
      <xdr:nvPicPr>
        <xdr:cNvPr id="2" name="Рисунок 1" descr="https://frprf.ru/local/templates/.default/i/logo.png">
          <a:hlinkClick xmlns:r="http://schemas.openxmlformats.org/officeDocument/2006/relationships" r:id="rId1" tooltip="Перейти на сайт Фонда развития промышленности"/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8871" y="157733"/>
          <a:ext cx="2035206" cy="3016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3174</xdr:colOff>
      <xdr:row>3</xdr:row>
      <xdr:rowOff>131618</xdr:rowOff>
    </xdr:from>
    <xdr:to>
      <xdr:col>2</xdr:col>
      <xdr:colOff>459501</xdr:colOff>
      <xdr:row>5</xdr:row>
      <xdr:rowOff>59400</xdr:rowOff>
    </xdr:to>
    <xdr:sp macro="" textlink="">
      <xdr:nvSpPr>
        <xdr:cNvPr id="3" name="Скругленный прямоугольник 2">
          <a:hlinkClick xmlns:r="http://schemas.openxmlformats.org/officeDocument/2006/relationships" r:id="rId3" tooltip="Сведения о деятельности фонда"/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204065" y="671945"/>
          <a:ext cx="1440000" cy="288000"/>
        </a:xfrm>
        <a:prstGeom prst="roundRect">
          <a:avLst/>
        </a:prstGeom>
        <a:ln>
          <a:noFill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ru-RU" sz="1400">
              <a:solidFill>
                <a:schemeClr val="bg1">
                  <a:lumMod val="50000"/>
                </a:schemeClr>
              </a:solidFill>
            </a:rPr>
            <a:t>О фонде</a:t>
          </a:r>
        </a:p>
      </xdr:txBody>
    </xdr:sp>
    <xdr:clientData/>
  </xdr:twoCellAnchor>
  <xdr:twoCellAnchor>
    <xdr:from>
      <xdr:col>2</xdr:col>
      <xdr:colOff>852337</xdr:colOff>
      <xdr:row>3</xdr:row>
      <xdr:rowOff>131619</xdr:rowOff>
    </xdr:from>
    <xdr:to>
      <xdr:col>4</xdr:col>
      <xdr:colOff>324992</xdr:colOff>
      <xdr:row>5</xdr:row>
      <xdr:rowOff>59401</xdr:rowOff>
    </xdr:to>
    <xdr:sp macro="" textlink="">
      <xdr:nvSpPr>
        <xdr:cNvPr id="4" name="Скругленный прямоугольник 3">
          <a:hlinkClick xmlns:r="http://schemas.openxmlformats.org/officeDocument/2006/relationships" r:id="rId4" tooltip="Основные условия программ финансирования"/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2036901" y="671946"/>
          <a:ext cx="1440000" cy="288000"/>
        </a:xfrm>
        <a:prstGeom prst="roundRect">
          <a:avLst/>
        </a:prstGeom>
        <a:ln>
          <a:noFill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marL="0" indent="0" algn="ctr"/>
          <a:r>
            <a:rPr lang="ru-RU" sz="1400">
              <a:solidFill>
                <a:schemeClr val="bg1">
                  <a:lumMod val="50000"/>
                </a:schemeClr>
              </a:solidFill>
              <a:latin typeface="+mn-lt"/>
              <a:ea typeface="+mn-ea"/>
              <a:cs typeface="+mn-cs"/>
            </a:rPr>
            <a:t>Программы</a:t>
          </a:r>
        </a:p>
      </xdr:txBody>
    </xdr:sp>
    <xdr:clientData/>
  </xdr:twoCellAnchor>
  <xdr:twoCellAnchor>
    <xdr:from>
      <xdr:col>4</xdr:col>
      <xdr:colOff>709474</xdr:colOff>
      <xdr:row>3</xdr:row>
      <xdr:rowOff>134791</xdr:rowOff>
    </xdr:from>
    <xdr:to>
      <xdr:col>6</xdr:col>
      <xdr:colOff>182128</xdr:colOff>
      <xdr:row>5</xdr:row>
      <xdr:rowOff>62573</xdr:rowOff>
    </xdr:to>
    <xdr:sp macro="" textlink="">
      <xdr:nvSpPr>
        <xdr:cNvPr id="10" name="Скругленный прямоугольник 9">
          <a:hlinkClick xmlns:r="http://schemas.openxmlformats.org/officeDocument/2006/relationships" r:id="rId5" tooltip="Региональные фонды развития промышленности, институты развития и другие партнёры"/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/>
      </xdr:nvSpPr>
      <xdr:spPr>
        <a:xfrm>
          <a:off x="3861383" y="675118"/>
          <a:ext cx="1440000" cy="288000"/>
        </a:xfrm>
        <a:prstGeom prst="roundRect">
          <a:avLst/>
        </a:prstGeom>
        <a:ln>
          <a:noFill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marL="0" indent="0" algn="ctr"/>
          <a:r>
            <a:rPr lang="ru-RU" sz="1400">
              <a:solidFill>
                <a:schemeClr val="bg1">
                  <a:lumMod val="50000"/>
                </a:schemeClr>
              </a:solidFill>
              <a:latin typeface="+mn-lt"/>
              <a:ea typeface="+mn-ea"/>
              <a:cs typeface="+mn-cs"/>
            </a:rPr>
            <a:t>Партнёры</a:t>
          </a:r>
        </a:p>
      </xdr:txBody>
    </xdr:sp>
    <xdr:clientData/>
  </xdr:twoCellAnchor>
  <xdr:twoCellAnchor>
    <xdr:from>
      <xdr:col>5</xdr:col>
      <xdr:colOff>17121</xdr:colOff>
      <xdr:row>0</xdr:row>
      <xdr:rowOff>126952</xdr:rowOff>
    </xdr:from>
    <xdr:to>
      <xdr:col>6</xdr:col>
      <xdr:colOff>539750</xdr:colOff>
      <xdr:row>2</xdr:row>
      <xdr:rowOff>69850</xdr:rowOff>
    </xdr:to>
    <xdr:grpSp>
      <xdr:nvGrpSpPr>
        <xdr:cNvPr id="8" name="Группа 7">
          <a:hlinkClick xmlns:r="http://schemas.openxmlformats.org/officeDocument/2006/relationships" r:id="rId6" tooltip="Перейти в Личный кабинет Заявителя"/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pSpPr/>
      </xdr:nvGrpSpPr>
      <xdr:grpSpPr>
        <a:xfrm>
          <a:off x="4008096" y="126952"/>
          <a:ext cx="1475129" cy="323898"/>
          <a:chOff x="4144621" y="126952"/>
          <a:chExt cx="1506879" cy="323898"/>
        </a:xfrm>
      </xdr:grpSpPr>
      <xdr:sp macro="" textlink="">
        <xdr:nvSpPr>
          <xdr:cNvPr id="15" name="Скругленный прямоугольник 14">
            <a:extLst>
              <a:ext uri="{FF2B5EF4-FFF2-40B4-BE49-F238E27FC236}">
                <a16:creationId xmlns:a16="http://schemas.microsoft.com/office/drawing/2014/main" id="{00000000-0008-0000-0000-00000F000000}"/>
              </a:ext>
            </a:extLst>
          </xdr:cNvPr>
          <xdr:cNvSpPr/>
        </xdr:nvSpPr>
        <xdr:spPr>
          <a:xfrm>
            <a:off x="4451350" y="139700"/>
            <a:ext cx="1200150" cy="308782"/>
          </a:xfrm>
          <a:prstGeom prst="roundRect">
            <a:avLst/>
          </a:prstGeom>
          <a:ln>
            <a:noFill/>
          </a:ln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marL="0" indent="0" algn="ctr"/>
            <a:r>
              <a:rPr lang="ru-RU" sz="1100">
                <a:solidFill>
                  <a:schemeClr val="bg1">
                    <a:lumMod val="50000"/>
                  </a:schemeClr>
                </a:solidFill>
                <a:latin typeface="+mn-lt"/>
                <a:ea typeface="+mn-ea"/>
                <a:cs typeface="+mn-cs"/>
              </a:rPr>
              <a:t>Личный</a:t>
            </a:r>
            <a:r>
              <a:rPr lang="ru-RU" sz="1100" baseline="0">
                <a:solidFill>
                  <a:schemeClr val="bg1">
                    <a:lumMod val="50000"/>
                  </a:schemeClr>
                </a:solidFill>
                <a:latin typeface="+mn-lt"/>
                <a:ea typeface="+mn-ea"/>
                <a:cs typeface="+mn-cs"/>
              </a:rPr>
              <a:t> кабинет</a:t>
            </a:r>
            <a:endParaRPr lang="ru-RU" sz="1100">
              <a:solidFill>
                <a:schemeClr val="bg1">
                  <a:lumMod val="50000"/>
                </a:schemeClr>
              </a:solidFill>
              <a:latin typeface="+mn-lt"/>
              <a:ea typeface="+mn-ea"/>
              <a:cs typeface="+mn-cs"/>
            </a:endParaRPr>
          </a:p>
        </xdr:txBody>
      </xdr:sp>
      <xdr:pic>
        <xdr:nvPicPr>
          <xdr:cNvPr id="6" name="Рисунок 5">
            <a:extLst>
              <a:ext uri="{FF2B5EF4-FFF2-40B4-BE49-F238E27FC236}">
                <a16:creationId xmlns:a16="http://schemas.microsoft.com/office/drawing/2014/main" id="{00000000-0008-0000-0000-000006000000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7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t="10263" r="74368" b="12168"/>
          <a:stretch/>
        </xdr:blipFill>
        <xdr:spPr>
          <a:xfrm>
            <a:off x="4144621" y="126952"/>
            <a:ext cx="357529" cy="323898"/>
          </a:xfrm>
          <a:prstGeom prst="rect">
            <a:avLst/>
          </a:prstGeom>
        </xdr:spPr>
      </xdr:pic>
    </xdr:grpSp>
    <xdr:clientData/>
  </xdr:twoCellAnchor>
  <xdr:twoCellAnchor>
    <xdr:from>
      <xdr:col>6</xdr:col>
      <xdr:colOff>533403</xdr:colOff>
      <xdr:row>3</xdr:row>
      <xdr:rowOff>131617</xdr:rowOff>
    </xdr:from>
    <xdr:to>
      <xdr:col>8</xdr:col>
      <xdr:colOff>6058</xdr:colOff>
      <xdr:row>5</xdr:row>
      <xdr:rowOff>59399</xdr:rowOff>
    </xdr:to>
    <xdr:sp macro="" textlink="">
      <xdr:nvSpPr>
        <xdr:cNvPr id="9" name="Скругленный прямоугольник 8">
          <a:hlinkClick xmlns:r="http://schemas.openxmlformats.org/officeDocument/2006/relationships" r:id="rId8" tooltip="Контактные данные фонда"/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5652658" y="671944"/>
          <a:ext cx="1440000" cy="288000"/>
        </a:xfrm>
        <a:prstGeom prst="roundRect">
          <a:avLst/>
        </a:prstGeom>
        <a:ln>
          <a:noFill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marL="0" indent="0" algn="ctr"/>
          <a:r>
            <a:rPr lang="ru-RU" sz="1400">
              <a:solidFill>
                <a:schemeClr val="bg1">
                  <a:lumMod val="50000"/>
                </a:schemeClr>
              </a:solidFill>
              <a:latin typeface="+mn-lt"/>
              <a:ea typeface="+mn-ea"/>
              <a:cs typeface="+mn-cs"/>
            </a:rPr>
            <a:t>Контакты</a:t>
          </a:r>
        </a:p>
      </xdr:txBody>
    </xdr:sp>
    <xdr:clientData/>
  </xdr:twoCellAnchor>
  <xdr:twoCellAnchor>
    <xdr:from>
      <xdr:col>0</xdr:col>
      <xdr:colOff>193269</xdr:colOff>
      <xdr:row>14</xdr:row>
      <xdr:rowOff>90051</xdr:rowOff>
    </xdr:from>
    <xdr:to>
      <xdr:col>2</xdr:col>
      <xdr:colOff>816325</xdr:colOff>
      <xdr:row>17</xdr:row>
      <xdr:rowOff>89724</xdr:rowOff>
    </xdr:to>
    <xdr:sp macro="" textlink="">
      <xdr:nvSpPr>
        <xdr:cNvPr id="11" name="Скругленный прямоугольник 10">
          <a:hlinkClick xmlns:r="http://schemas.openxmlformats.org/officeDocument/2006/relationships" r:id="rId9" tooltip="Установить параметры привлечения займа"/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/>
      </xdr:nvSpPr>
      <xdr:spPr>
        <a:xfrm>
          <a:off x="193269" y="2805542"/>
          <a:ext cx="1800692" cy="581564"/>
        </a:xfrm>
        <a:prstGeom prst="roundRect">
          <a:avLst/>
        </a:prstGeom>
        <a:solidFill>
          <a:srgbClr val="2A2D4F"/>
        </a:solidFill>
        <a:ln w="38100">
          <a:noFill/>
        </a:ln>
        <a:effectLst>
          <a:outerShdw blurRad="63500" sx="102000" sy="102000" algn="ctr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ru-RU" sz="1400">
              <a:solidFill>
                <a:schemeClr val="bg1"/>
              </a:solidFill>
            </a:rPr>
            <a:t>Параметры</a:t>
          </a:r>
          <a:r>
            <a:rPr lang="ru-RU" sz="1400" baseline="0">
              <a:solidFill>
                <a:schemeClr val="bg1"/>
              </a:solidFill>
            </a:rPr>
            <a:t> займа</a:t>
          </a:r>
          <a:endParaRPr lang="ru-RU" sz="1400">
            <a:solidFill>
              <a:schemeClr val="bg1"/>
            </a:solidFill>
          </a:endParaRPr>
        </a:p>
      </xdr:txBody>
    </xdr:sp>
    <xdr:clientData/>
  </xdr:twoCellAnchor>
  <xdr:twoCellAnchor>
    <xdr:from>
      <xdr:col>3</xdr:col>
      <xdr:colOff>561107</xdr:colOff>
      <xdr:row>14</xdr:row>
      <xdr:rowOff>96977</xdr:rowOff>
    </xdr:from>
    <xdr:to>
      <xdr:col>5</xdr:col>
      <xdr:colOff>393761</xdr:colOff>
      <xdr:row>17</xdr:row>
      <xdr:rowOff>96650</xdr:rowOff>
    </xdr:to>
    <xdr:sp macro="" textlink="">
      <xdr:nvSpPr>
        <xdr:cNvPr id="12" name="Скругленный прямоугольник 11">
          <a:hlinkClick xmlns:r="http://schemas.openxmlformats.org/officeDocument/2006/relationships" r:id="rId10" tooltip="Установить параметры реализации проекта"/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/>
      </xdr:nvSpPr>
      <xdr:spPr>
        <a:xfrm>
          <a:off x="2722416" y="2812468"/>
          <a:ext cx="1800000" cy="581564"/>
        </a:xfrm>
        <a:prstGeom prst="roundRect">
          <a:avLst/>
        </a:prstGeom>
        <a:solidFill>
          <a:srgbClr val="2A2D4F"/>
        </a:solidFill>
        <a:ln w="38100">
          <a:noFill/>
        </a:ln>
        <a:effectLst>
          <a:outerShdw blurRad="63500" sx="102000" sy="102000" algn="ctr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ru-RU" sz="1400">
              <a:solidFill>
                <a:schemeClr val="bg1"/>
              </a:solidFill>
            </a:rPr>
            <a:t>Предпосылки</a:t>
          </a:r>
        </a:p>
      </xdr:txBody>
    </xdr:sp>
    <xdr:clientData/>
  </xdr:twoCellAnchor>
  <xdr:twoCellAnchor>
    <xdr:from>
      <xdr:col>6</xdr:col>
      <xdr:colOff>166253</xdr:colOff>
      <xdr:row>14</xdr:row>
      <xdr:rowOff>96980</xdr:rowOff>
    </xdr:from>
    <xdr:to>
      <xdr:col>7</xdr:col>
      <xdr:colOff>974961</xdr:colOff>
      <xdr:row>17</xdr:row>
      <xdr:rowOff>96653</xdr:rowOff>
    </xdr:to>
    <xdr:sp macro="" textlink="">
      <xdr:nvSpPr>
        <xdr:cNvPr id="13" name="Скругленный прямоугольник 12">
          <a:hlinkClick xmlns:r="http://schemas.openxmlformats.org/officeDocument/2006/relationships" r:id="rId11" tooltip="Ознакомиться с результатами проекта"/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/>
      </xdr:nvSpPr>
      <xdr:spPr>
        <a:xfrm>
          <a:off x="5278580" y="2812471"/>
          <a:ext cx="1792381" cy="581564"/>
        </a:xfrm>
        <a:prstGeom prst="roundRect">
          <a:avLst/>
        </a:prstGeom>
        <a:solidFill>
          <a:srgbClr val="2A2D4F"/>
        </a:solidFill>
        <a:ln w="38100">
          <a:noFill/>
        </a:ln>
        <a:effectLst>
          <a:outerShdw blurRad="63500" sx="102000" sy="102000" algn="ctr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ru-RU" sz="1400">
              <a:solidFill>
                <a:schemeClr val="bg1"/>
              </a:solidFill>
            </a:rPr>
            <a:t>Выводы</a:t>
          </a:r>
        </a:p>
      </xdr:txBody>
    </xdr:sp>
    <xdr:clientData/>
  </xdr:twoCellAnchor>
  <xdr:twoCellAnchor>
    <xdr:from>
      <xdr:col>6</xdr:col>
      <xdr:colOff>692151</xdr:colOff>
      <xdr:row>0</xdr:row>
      <xdr:rowOff>139700</xdr:rowOff>
    </xdr:from>
    <xdr:to>
      <xdr:col>9</xdr:col>
      <xdr:colOff>1</xdr:colOff>
      <xdr:row>2</xdr:row>
      <xdr:rowOff>82550</xdr:rowOff>
    </xdr:to>
    <xdr:grpSp>
      <xdr:nvGrpSpPr>
        <xdr:cNvPr id="5" name="Группа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pSpPr/>
      </xdr:nvGrpSpPr>
      <xdr:grpSpPr>
        <a:xfrm>
          <a:off x="5635626" y="139700"/>
          <a:ext cx="1393824" cy="323850"/>
          <a:chOff x="5810250" y="139700"/>
          <a:chExt cx="1455215" cy="323850"/>
        </a:xfrm>
      </xdr:grpSpPr>
      <xdr:sp macro="" textlink="">
        <xdr:nvSpPr>
          <xdr:cNvPr id="14" name="Скругленный прямоугольник 13">
            <a:hlinkClick xmlns:r="http://schemas.openxmlformats.org/officeDocument/2006/relationships" r:id="rId12" tooltip="Написать в Техподдержку финансовой модели"/>
            <a:extLst>
              <a:ext uri="{FF2B5EF4-FFF2-40B4-BE49-F238E27FC236}">
                <a16:creationId xmlns:a16="http://schemas.microsoft.com/office/drawing/2014/main" id="{00000000-0008-0000-0000-00000E000000}"/>
              </a:ext>
            </a:extLst>
          </xdr:cNvPr>
          <xdr:cNvSpPr/>
        </xdr:nvSpPr>
        <xdr:spPr>
          <a:xfrm>
            <a:off x="6108700" y="139700"/>
            <a:ext cx="1156765" cy="308782"/>
          </a:xfrm>
          <a:prstGeom prst="roundRect">
            <a:avLst/>
          </a:prstGeom>
          <a:ln>
            <a:noFill/>
          </a:ln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marL="0" indent="0" algn="ctr"/>
            <a:r>
              <a:rPr lang="ru-RU" sz="1100">
                <a:solidFill>
                  <a:schemeClr val="bg1">
                    <a:lumMod val="50000"/>
                  </a:schemeClr>
                </a:solidFill>
                <a:latin typeface="+mn-lt"/>
                <a:ea typeface="+mn-ea"/>
                <a:cs typeface="+mn-cs"/>
              </a:rPr>
              <a:t>Техподдержка</a:t>
            </a:r>
          </a:p>
        </xdr:txBody>
      </xdr:sp>
      <xdr:pic>
        <xdr:nvPicPr>
          <xdr:cNvPr id="7" name="Рисунок 6">
            <a:extLst>
              <a:ext uri="{FF2B5EF4-FFF2-40B4-BE49-F238E27FC236}">
                <a16:creationId xmlns:a16="http://schemas.microsoft.com/office/drawing/2014/main" id="{00000000-0008-0000-0000-000007000000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1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3707" t="17644" r="67699" b="10700"/>
          <a:stretch/>
        </xdr:blipFill>
        <xdr:spPr>
          <a:xfrm>
            <a:off x="5810250" y="158750"/>
            <a:ext cx="355600" cy="304800"/>
          </a:xfrm>
          <a:prstGeom prst="rect">
            <a:avLst/>
          </a:prstGeom>
        </xdr:spPr>
      </xdr:pic>
    </xdr:grp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1</xdr:row>
      <xdr:rowOff>38101</xdr:rowOff>
    </xdr:from>
    <xdr:to>
      <xdr:col>1</xdr:col>
      <xdr:colOff>2057400</xdr:colOff>
      <xdr:row>2</xdr:row>
      <xdr:rowOff>158391</xdr:rowOff>
    </xdr:to>
    <xdr:pic>
      <xdr:nvPicPr>
        <xdr:cNvPr id="2" name="Рисунок 1" descr="https://frprf.ru/local/templates/.default/i/logo.png">
          <a:hlinkClick xmlns:r="http://schemas.openxmlformats.org/officeDocument/2006/relationships" r:id="rId1" tooltip="Перейти на сайт Фонда развития промышленности"/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5745" y="228601"/>
          <a:ext cx="2009775" cy="30317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1</xdr:row>
      <xdr:rowOff>38101</xdr:rowOff>
    </xdr:from>
    <xdr:to>
      <xdr:col>1</xdr:col>
      <xdr:colOff>2057400</xdr:colOff>
      <xdr:row>2</xdr:row>
      <xdr:rowOff>158391</xdr:rowOff>
    </xdr:to>
    <xdr:pic>
      <xdr:nvPicPr>
        <xdr:cNvPr id="2" name="Рисунок 1" descr="https://frprf.ru/local/templates/.default/i/logo.png">
          <a:hlinkClick xmlns:r="http://schemas.openxmlformats.org/officeDocument/2006/relationships" r:id="rId1" tooltip="Перейти на сайт Фонда развития промышленности"/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5745" y="228601"/>
          <a:ext cx="2009775" cy="30317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47625</xdr:colOff>
      <xdr:row>1</xdr:row>
      <xdr:rowOff>38101</xdr:rowOff>
    </xdr:from>
    <xdr:ext cx="2009775" cy="301265"/>
    <xdr:pic>
      <xdr:nvPicPr>
        <xdr:cNvPr id="2" name="Рисунок 1" descr="https://frprf.ru/local/templates/.default/i/logo.png">
          <a:hlinkClick xmlns:r="http://schemas.openxmlformats.org/officeDocument/2006/relationships" r:id="rId1" tooltip="Перейти на сайт Фонда развития промышленности"/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5745" y="228601"/>
          <a:ext cx="2009775" cy="30126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1</xdr:row>
      <xdr:rowOff>38101</xdr:rowOff>
    </xdr:from>
    <xdr:to>
      <xdr:col>1</xdr:col>
      <xdr:colOff>2057400</xdr:colOff>
      <xdr:row>2</xdr:row>
      <xdr:rowOff>158391</xdr:rowOff>
    </xdr:to>
    <xdr:pic>
      <xdr:nvPicPr>
        <xdr:cNvPr id="2" name="Рисунок 1" descr="https://frprf.ru/local/templates/.default/i/logo.png">
          <a:hlinkClick xmlns:r="http://schemas.openxmlformats.org/officeDocument/2006/relationships" r:id="rId1" tooltip="Перейти на сайт Фонда развития промышленности"/>
          <a:extLst>
            <a:ext uri="{FF2B5EF4-FFF2-40B4-BE49-F238E27FC236}">
              <a16:creationId xmlns:a16="http://schemas.microsoft.com/office/drawing/2014/main" id="{00000000-0008-0000-1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5745" y="228601"/>
          <a:ext cx="2009775" cy="30317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1</xdr:row>
      <xdr:rowOff>38101</xdr:rowOff>
    </xdr:from>
    <xdr:to>
      <xdr:col>1</xdr:col>
      <xdr:colOff>2057400</xdr:colOff>
      <xdr:row>2</xdr:row>
      <xdr:rowOff>158391</xdr:rowOff>
    </xdr:to>
    <xdr:pic>
      <xdr:nvPicPr>
        <xdr:cNvPr id="2" name="Рисунок 1" descr="https://frprf.ru/local/templates/.default/i/logo.png">
          <a:hlinkClick xmlns:r="http://schemas.openxmlformats.org/officeDocument/2006/relationships" r:id="rId1" tooltip="Перейти на сайт Фонда развития промышленности"/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5745" y="228601"/>
          <a:ext cx="2009775" cy="30317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1</xdr:row>
      <xdr:rowOff>38101</xdr:rowOff>
    </xdr:from>
    <xdr:to>
      <xdr:col>4</xdr:col>
      <xdr:colOff>228600</xdr:colOff>
      <xdr:row>2</xdr:row>
      <xdr:rowOff>158391</xdr:rowOff>
    </xdr:to>
    <xdr:pic>
      <xdr:nvPicPr>
        <xdr:cNvPr id="2" name="Рисунок 1" descr="https://frprf.ru/local/templates/.default/i/logo.png">
          <a:hlinkClick xmlns:r="http://schemas.openxmlformats.org/officeDocument/2006/relationships" r:id="rId1" tooltip="Перейти на сайт Фонда развития промышленности"/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38101"/>
          <a:ext cx="2009775" cy="3107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194732</xdr:colOff>
      <xdr:row>5</xdr:row>
      <xdr:rowOff>179294</xdr:rowOff>
    </xdr:from>
    <xdr:to>
      <xdr:col>8</xdr:col>
      <xdr:colOff>1821</xdr:colOff>
      <xdr:row>31</xdr:row>
      <xdr:rowOff>0</xdr:rowOff>
    </xdr:to>
    <xdr:pic>
      <xdr:nvPicPr>
        <xdr:cNvPr id="5" name="Рисунок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/>
      </xdr:nvPicPr>
      <xdr:blipFill rotWithShape="1">
        <a:blip xmlns:r="http://schemas.openxmlformats.org/officeDocument/2006/relationships" r:embed="rId3"/>
        <a:srcRect r="1023"/>
        <a:stretch/>
      </xdr:blipFill>
      <xdr:spPr>
        <a:xfrm>
          <a:off x="194732" y="1110627"/>
          <a:ext cx="4377765" cy="467210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1</xdr:row>
      <xdr:rowOff>38101</xdr:rowOff>
    </xdr:from>
    <xdr:to>
      <xdr:col>1</xdr:col>
      <xdr:colOff>2057400</xdr:colOff>
      <xdr:row>2</xdr:row>
      <xdr:rowOff>158391</xdr:rowOff>
    </xdr:to>
    <xdr:pic>
      <xdr:nvPicPr>
        <xdr:cNvPr id="2" name="Рисунок 1" descr="https://frprf.ru/local/templates/.default/i/logo.png">
          <a:hlinkClick xmlns:r="http://schemas.openxmlformats.org/officeDocument/2006/relationships" r:id="rId1" tooltip="Перейти на сайт Фонда развития промышленности"/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38101"/>
          <a:ext cx="2009775" cy="3107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1</xdr:row>
      <xdr:rowOff>38101</xdr:rowOff>
    </xdr:from>
    <xdr:to>
      <xdr:col>1</xdr:col>
      <xdr:colOff>2057400</xdr:colOff>
      <xdr:row>2</xdr:row>
      <xdr:rowOff>161566</xdr:rowOff>
    </xdr:to>
    <xdr:pic>
      <xdr:nvPicPr>
        <xdr:cNvPr id="2" name="Рисунок 1" descr="https://frprf.ru/local/templates/.default/i/logo.png">
          <a:hlinkClick xmlns:r="http://schemas.openxmlformats.org/officeDocument/2006/relationships" r:id="rId1" tooltip="Перейти на сайт Фонда развития промышленности"/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5745" y="228601"/>
          <a:ext cx="2009775" cy="30317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1</xdr:row>
      <xdr:rowOff>38101</xdr:rowOff>
    </xdr:from>
    <xdr:to>
      <xdr:col>1</xdr:col>
      <xdr:colOff>2057400</xdr:colOff>
      <xdr:row>1</xdr:row>
      <xdr:rowOff>348891</xdr:rowOff>
    </xdr:to>
    <xdr:pic>
      <xdr:nvPicPr>
        <xdr:cNvPr id="2" name="Рисунок 1" descr="https://frprf.ru/local/templates/.default/i/logo.png">
          <a:hlinkClick xmlns:r="http://schemas.openxmlformats.org/officeDocument/2006/relationships" r:id="rId1" tooltip="Перейти на сайт Фонда развития промышленности"/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38101"/>
          <a:ext cx="2009775" cy="3107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1</xdr:row>
      <xdr:rowOff>38101</xdr:rowOff>
    </xdr:from>
    <xdr:to>
      <xdr:col>1</xdr:col>
      <xdr:colOff>2057400</xdr:colOff>
      <xdr:row>2</xdr:row>
      <xdr:rowOff>148866</xdr:rowOff>
    </xdr:to>
    <xdr:pic>
      <xdr:nvPicPr>
        <xdr:cNvPr id="2" name="Рисунок 1" descr="https://frprf.ru/local/templates/.default/i/logo.png">
          <a:hlinkClick xmlns:r="http://schemas.openxmlformats.org/officeDocument/2006/relationships" r:id="rId1" tooltip="Перейти на сайт Фонда развития промышленности"/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38101"/>
          <a:ext cx="2009775" cy="3107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1</xdr:row>
      <xdr:rowOff>38101</xdr:rowOff>
    </xdr:from>
    <xdr:to>
      <xdr:col>1</xdr:col>
      <xdr:colOff>2057400</xdr:colOff>
      <xdr:row>2</xdr:row>
      <xdr:rowOff>158391</xdr:rowOff>
    </xdr:to>
    <xdr:pic>
      <xdr:nvPicPr>
        <xdr:cNvPr id="2" name="Рисунок 1" descr="https://frprf.ru/local/templates/.default/i/logo.png">
          <a:hlinkClick xmlns:r="http://schemas.openxmlformats.org/officeDocument/2006/relationships" r:id="rId1" tooltip="Перейти на сайт Фонда развития промышленности"/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228601"/>
          <a:ext cx="2009775" cy="3107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1</xdr:row>
      <xdr:rowOff>38101</xdr:rowOff>
    </xdr:from>
    <xdr:to>
      <xdr:col>1</xdr:col>
      <xdr:colOff>2057400</xdr:colOff>
      <xdr:row>2</xdr:row>
      <xdr:rowOff>158391</xdr:rowOff>
    </xdr:to>
    <xdr:pic>
      <xdr:nvPicPr>
        <xdr:cNvPr id="2" name="Рисунок 1" descr="https://frprf.ru/local/templates/.default/i/logo.png">
          <a:hlinkClick xmlns:r="http://schemas.openxmlformats.org/officeDocument/2006/relationships" r:id="rId1" tooltip="Перейти на сайт Фонда развития промышленности"/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228601"/>
          <a:ext cx="2009775" cy="3107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mailto:fm@frprf.ru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1.xml"/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mailto:fm@frprf.ru" TargetMode="Externa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3.xml"/><Relationship Id="rId2" Type="http://schemas.openxmlformats.org/officeDocument/2006/relationships/printerSettings" Target="../printerSettings/printerSettings13.bin"/><Relationship Id="rId1" Type="http://schemas.openxmlformats.org/officeDocument/2006/relationships/hyperlink" Target="mailto:fm@frprf.ru" TargetMode="Externa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mailto:fm@frprf.ru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mailto:fm@frprf.ru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mailto:fm@frprf.ru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rgb="FF2A2D4F"/>
    <pageSetUpPr fitToPage="1"/>
  </sheetPr>
  <dimension ref="A1:O23"/>
  <sheetViews>
    <sheetView showGridLines="0" showRowColHeaders="0" tabSelected="1" zoomScaleNormal="100" workbookViewId="0">
      <selection activeCell="H22" sqref="H22"/>
    </sheetView>
  </sheetViews>
  <sheetFormatPr defaultColWidth="0" defaultRowHeight="15.6" customHeight="1" zeroHeight="1"/>
  <cols>
    <col min="1" max="1" width="2.7109375" customWidth="1"/>
    <col min="2" max="8" width="14.28515625" customWidth="1"/>
    <col min="9" max="9" width="2.7109375" customWidth="1"/>
    <col min="10" max="15" width="0" hidden="1" customWidth="1"/>
    <col min="16" max="16384" width="9.140625" hidden="1"/>
  </cols>
  <sheetData>
    <row r="1" spans="2:8" ht="15" customHeight="1"/>
    <row r="2" spans="2:8" ht="15" customHeight="1"/>
    <row r="3" spans="2:8" ht="15" customHeight="1">
      <c r="B3" s="28"/>
      <c r="C3" s="28"/>
      <c r="D3" s="28"/>
      <c r="E3" s="28"/>
      <c r="F3" s="28"/>
      <c r="G3" s="28"/>
      <c r="H3" s="28"/>
    </row>
    <row r="4" spans="2:8" ht="15" customHeight="1">
      <c r="B4" s="27"/>
      <c r="C4" s="27"/>
      <c r="D4" s="27"/>
      <c r="E4" s="27"/>
      <c r="F4" s="27"/>
      <c r="G4" s="27"/>
      <c r="H4" s="27"/>
    </row>
    <row r="5" spans="2:8" ht="15" customHeight="1"/>
    <row r="6" spans="2:8" ht="15" customHeight="1"/>
    <row r="7" spans="2:8" ht="15" customHeight="1">
      <c r="B7" s="29"/>
      <c r="C7" s="30"/>
      <c r="D7" s="30"/>
      <c r="E7" s="30"/>
      <c r="F7" s="30"/>
      <c r="G7" s="30"/>
      <c r="H7" s="31"/>
    </row>
    <row r="8" spans="2:8" ht="15" customHeight="1">
      <c r="B8" s="371" t="s">
        <v>599</v>
      </c>
      <c r="C8" s="372"/>
      <c r="D8" s="372"/>
      <c r="E8" s="372"/>
      <c r="F8" s="372"/>
      <c r="G8" s="372"/>
      <c r="H8" s="373"/>
    </row>
    <row r="9" spans="2:8" ht="15" customHeight="1">
      <c r="B9" s="368" t="str">
        <f>IF(ISBLANK(Предпосылки!B9),"&lt;…&gt;",CONCATENATE(Предпосылки!C10," ",Предпосылки!B9," ",Предпосылки!E10))</f>
        <v>&lt;…&gt;</v>
      </c>
      <c r="C9" s="369"/>
      <c r="D9" s="369"/>
      <c r="E9" s="369"/>
      <c r="F9" s="369"/>
      <c r="G9" s="369"/>
      <c r="H9" s="370"/>
    </row>
    <row r="10" spans="2:8" ht="15" customHeight="1">
      <c r="B10" s="368"/>
      <c r="C10" s="369"/>
      <c r="D10" s="369"/>
      <c r="E10" s="369"/>
      <c r="F10" s="369"/>
      <c r="G10" s="369"/>
      <c r="H10" s="370"/>
    </row>
    <row r="11" spans="2:8" ht="15" customHeight="1">
      <c r="B11" s="368"/>
      <c r="C11" s="369"/>
      <c r="D11" s="369"/>
      <c r="E11" s="369"/>
      <c r="F11" s="369"/>
      <c r="G11" s="369"/>
      <c r="H11" s="370"/>
    </row>
    <row r="12" spans="2:8" ht="15" customHeight="1">
      <c r="B12" s="368"/>
      <c r="C12" s="369"/>
      <c r="D12" s="369"/>
      <c r="E12" s="369"/>
      <c r="F12" s="369"/>
      <c r="G12" s="369"/>
      <c r="H12" s="370"/>
    </row>
    <row r="13" spans="2:8" ht="15" customHeight="1">
      <c r="B13" s="32"/>
      <c r="C13" s="33"/>
      <c r="D13" s="33"/>
      <c r="E13" s="33"/>
      <c r="F13" s="33"/>
      <c r="G13" s="33"/>
      <c r="H13" s="34"/>
    </row>
    <row r="14" spans="2:8" ht="15" customHeight="1"/>
    <row r="15" spans="2:8" ht="15" customHeight="1"/>
    <row r="16" spans="2:8" ht="15" customHeight="1"/>
    <row r="17" spans="2:11" ht="15" customHeight="1"/>
    <row r="18" spans="2:11" ht="15" customHeight="1"/>
    <row r="19" spans="2:11" ht="15" customHeight="1">
      <c r="B19" s="3"/>
      <c r="D19" s="2"/>
      <c r="E19" s="4"/>
    </row>
    <row r="20" spans="2:11" ht="15" customHeight="1">
      <c r="B20" s="374" t="s">
        <v>801</v>
      </c>
      <c r="C20" s="375"/>
      <c r="D20" s="375"/>
      <c r="E20" s="375"/>
      <c r="F20" s="375"/>
      <c r="G20" s="375"/>
      <c r="H20" s="375"/>
    </row>
    <row r="21" spans="2:11" ht="15" customHeight="1">
      <c r="B21" s="376" t="s">
        <v>17</v>
      </c>
      <c r="C21" s="376"/>
      <c r="D21" s="376"/>
      <c r="E21" s="376"/>
      <c r="F21" s="376"/>
      <c r="G21" s="376"/>
      <c r="H21" s="376"/>
    </row>
    <row r="22" spans="2:11" ht="15" customHeight="1">
      <c r="B22" s="35"/>
      <c r="H22" s="50" t="s">
        <v>796</v>
      </c>
    </row>
    <row r="23" spans="2:11" ht="15" hidden="1" customHeight="1">
      <c r="K23" s="1"/>
    </row>
  </sheetData>
  <sheetProtection algorithmName="SHA-512" hashValue="NrtKJyHo3UCRxucSmSQZ78zF5lJuDoz0M+pgEBPBXgfZ8EGUGRETW353RlyGNL52WksIc+ETjec+WIMeGso8Yw==" saltValue="68FDmYgtr1TFPM5Tcg22qg==" spinCount="100000" sheet="1" selectLockedCells="1" selectUnlockedCells="1"/>
  <mergeCells count="4">
    <mergeCell ref="B9:H12"/>
    <mergeCell ref="B8:H8"/>
    <mergeCell ref="B20:H20"/>
    <mergeCell ref="B21:H21"/>
  </mergeCells>
  <pageMargins left="0.7" right="0.7" top="0.75" bottom="0.75" header="0.3" footer="0.3"/>
  <pageSetup paperSize="9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2">
    <tabColor rgb="FFC8E6E5"/>
    <pageSetUpPr fitToPage="1"/>
  </sheetPr>
  <dimension ref="A1:BM382"/>
  <sheetViews>
    <sheetView showGridLines="0" zoomScale="80" zoomScaleNormal="80" workbookViewId="0">
      <pane xSplit="4" ySplit="8" topLeftCell="E9" activePane="bottomRight" state="frozen"/>
      <selection activeCell="K3" sqref="K3"/>
      <selection pane="topRight" activeCell="K3" sqref="K3"/>
      <selection pane="bottomLeft" activeCell="K3" sqref="K3"/>
      <selection pane="bottomRight" activeCell="E12" sqref="E12"/>
    </sheetView>
  </sheetViews>
  <sheetFormatPr defaultColWidth="0" defaultRowHeight="15" customHeight="1" zeroHeight="1"/>
  <cols>
    <col min="1" max="1" width="2.7109375" customWidth="1"/>
    <col min="2" max="2" width="50" customWidth="1"/>
    <col min="3" max="20" width="17.28515625" customWidth="1"/>
    <col min="21" max="21" width="2.85546875" customWidth="1"/>
    <col min="22" max="23" width="15.7109375" hidden="1" customWidth="1"/>
    <col min="24" max="24" width="2.7109375" hidden="1" customWidth="1"/>
    <col min="25" max="26" width="15.7109375" hidden="1" customWidth="1"/>
    <col min="27" max="27" width="2.85546875" hidden="1" customWidth="1"/>
    <col min="28" max="38" width="0" hidden="1" customWidth="1"/>
    <col min="39" max="41" width="15.7109375" hidden="1" customWidth="1"/>
    <col min="42" max="42" width="2.85546875" hidden="1" customWidth="1"/>
    <col min="43" max="53" width="0" hidden="1" customWidth="1"/>
    <col min="54" max="16384" width="9.140625" hidden="1"/>
  </cols>
  <sheetData>
    <row r="1" spans="2:26" ht="15" customHeight="1"/>
    <row r="2" spans="2:26">
      <c r="E2" s="520" t="s">
        <v>401</v>
      </c>
      <c r="F2" s="521"/>
      <c r="G2" s="521"/>
      <c r="H2" s="522"/>
    </row>
    <row r="3" spans="2:26" ht="15" customHeight="1">
      <c r="E3" s="65" t="s">
        <v>250</v>
      </c>
      <c r="F3" s="65" t="s">
        <v>28</v>
      </c>
      <c r="G3" s="65" t="s">
        <v>1</v>
      </c>
      <c r="H3" s="65" t="s">
        <v>172</v>
      </c>
      <c r="J3" s="12" t="str">
        <f>'Квартальная отчетность'!J3</f>
        <v xml:space="preserve">Рассчитать по </v>
      </c>
      <c r="K3" s="158">
        <f>'Квартальная отчетность'!K3</f>
        <v>48213</v>
      </c>
    </row>
    <row r="4" spans="2:26" ht="15" customHeight="1">
      <c r="E4" s="511" t="str">
        <f>IF(H4="R","Все расчёты корректны","Имеются некорректные данные")</f>
        <v>Имеются некорректные данные</v>
      </c>
      <c r="F4" s="512"/>
      <c r="G4" s="513"/>
      <c r="H4" s="73" t="str">
        <f>Проверка</f>
        <v>Q</v>
      </c>
    </row>
    <row r="5" spans="2:26" ht="31.5">
      <c r="B5" s="7" t="s">
        <v>245</v>
      </c>
      <c r="D5" s="7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spans="2:26" ht="15" customHeight="1">
      <c r="B6" s="526" t="s">
        <v>9</v>
      </c>
      <c r="C6" s="526" t="s">
        <v>13</v>
      </c>
      <c r="D6" s="526"/>
      <c r="E6" s="232">
        <f>Предпосылки!J28</f>
        <v>1</v>
      </c>
      <c r="F6" s="232">
        <f>Предпосылки!K28</f>
        <v>2</v>
      </c>
      <c r="G6" s="232">
        <f>Предпосылки!L28</f>
        <v>3</v>
      </c>
      <c r="H6" s="232">
        <f>Предпосылки!M28</f>
        <v>4</v>
      </c>
      <c r="I6" s="232">
        <f>Предпосылки!N28</f>
        <v>5</v>
      </c>
      <c r="J6" s="232">
        <f>Предпосылки!O28</f>
        <v>6</v>
      </c>
      <c r="K6" s="232">
        <f>Предпосылки!P28</f>
        <v>7</v>
      </c>
      <c r="L6" s="232">
        <f>Предпосылки!Q28</f>
        <v>8</v>
      </c>
      <c r="M6" s="232">
        <f>Предпосылки!R28</f>
        <v>9</v>
      </c>
      <c r="N6" s="232">
        <f>Предпосылки!S28</f>
        <v>10</v>
      </c>
      <c r="O6" s="232">
        <f>Предпосылки!T28</f>
        <v>11</v>
      </c>
      <c r="P6" s="232">
        <f>Предпосылки!U28</f>
        <v>12</v>
      </c>
      <c r="Q6" s="232">
        <f>Предпосылки!V28</f>
        <v>13</v>
      </c>
      <c r="R6" s="232">
        <f>Предпосылки!W28</f>
        <v>14</v>
      </c>
      <c r="S6" s="232">
        <f>Предпосылки!X28</f>
        <v>15</v>
      </c>
      <c r="T6" s="232">
        <f>Предпосылки!Y28</f>
        <v>16</v>
      </c>
    </row>
    <row r="7" spans="2:26" ht="15" customHeight="1">
      <c r="B7" s="527"/>
      <c r="C7" s="527"/>
      <c r="D7" s="527"/>
      <c r="E7" s="227">
        <f>IF(E6=1,Предпосылки!J29,D8+1)</f>
        <v>46204</v>
      </c>
      <c r="F7" s="227">
        <f>IF(F6=1,Предпосылки!K29,E8+1)</f>
        <v>46388</v>
      </c>
      <c r="G7" s="227">
        <f>IF(G6=1,Предпосылки!L29,F8+1)</f>
        <v>46753</v>
      </c>
      <c r="H7" s="227">
        <f>IF(H6=1,Предпосылки!M29,G8+1)</f>
        <v>47119</v>
      </c>
      <c r="I7" s="227">
        <f>IF(I6=1,Предпосылки!N29,H8+1)</f>
        <v>47484</v>
      </c>
      <c r="J7" s="227">
        <f>IF(J6=1,Предпосылки!O29,I8+1)</f>
        <v>47849</v>
      </c>
      <c r="K7" s="227">
        <f>IF(K6=1,Предпосылки!P29,J8+1)</f>
        <v>48214</v>
      </c>
      <c r="L7" s="227">
        <f>IF(L6=1,Предпосылки!Q29,K8+1)</f>
        <v>48580</v>
      </c>
      <c r="M7" s="227">
        <f>IF(M6=1,Предпосылки!R29,L8+1)</f>
        <v>48945</v>
      </c>
      <c r="N7" s="227">
        <f>IF(N6=1,Предпосылки!S29,M8+1)</f>
        <v>49310</v>
      </c>
      <c r="O7" s="227">
        <f>IF(O6=1,Предпосылки!T29,N8+1)</f>
        <v>49675</v>
      </c>
      <c r="P7" s="227">
        <f>IF(P6=1,Предпосылки!U29,O8+1)</f>
        <v>50041</v>
      </c>
      <c r="Q7" s="227">
        <f>IF(Q6=1,Предпосылки!V29,P8+1)</f>
        <v>50406</v>
      </c>
      <c r="R7" s="227">
        <f>IF(R6=1,Предпосылки!W29,Q8+1)</f>
        <v>50771</v>
      </c>
      <c r="S7" s="227">
        <f>IF(S6=1,Предпосылки!X29,R8+1)</f>
        <v>51136</v>
      </c>
      <c r="T7" s="227">
        <f>IF(T6=1,Предпосылки!Y29,S8+1)</f>
        <v>51502</v>
      </c>
    </row>
    <row r="8" spans="2:26" ht="15" customHeight="1">
      <c r="B8" s="528"/>
      <c r="C8" s="528"/>
      <c r="D8" s="528"/>
      <c r="E8" s="227">
        <f t="shared" ref="E8" si="0">DATE(YEAR(E7),12,31)</f>
        <v>46387</v>
      </c>
      <c r="F8" s="227">
        <f t="shared" ref="F8:L8" si="1">DATE(YEAR(F7),12,31)</f>
        <v>46752</v>
      </c>
      <c r="G8" s="227">
        <f t="shared" si="1"/>
        <v>47118</v>
      </c>
      <c r="H8" s="227">
        <f t="shared" si="1"/>
        <v>47483</v>
      </c>
      <c r="I8" s="227">
        <f t="shared" si="1"/>
        <v>47848</v>
      </c>
      <c r="J8" s="227">
        <f t="shared" si="1"/>
        <v>48213</v>
      </c>
      <c r="K8" s="227">
        <f t="shared" si="1"/>
        <v>48579</v>
      </c>
      <c r="L8" s="227">
        <f t="shared" si="1"/>
        <v>48944</v>
      </c>
      <c r="M8" s="227">
        <f t="shared" ref="M8:R8" si="2">DATE(YEAR(M7),12,31)</f>
        <v>49309</v>
      </c>
      <c r="N8" s="227">
        <f t="shared" si="2"/>
        <v>49674</v>
      </c>
      <c r="O8" s="227">
        <f t="shared" si="2"/>
        <v>50040</v>
      </c>
      <c r="P8" s="227">
        <f t="shared" si="2"/>
        <v>50405</v>
      </c>
      <c r="Q8" s="227">
        <f t="shared" si="2"/>
        <v>50770</v>
      </c>
      <c r="R8" s="227">
        <f t="shared" si="2"/>
        <v>51135</v>
      </c>
      <c r="S8" s="227">
        <f t="shared" ref="S8:T8" si="3">DATE(YEAR(S7),12,31)</f>
        <v>51501</v>
      </c>
      <c r="T8" s="227">
        <f t="shared" si="3"/>
        <v>51866</v>
      </c>
    </row>
    <row r="9" spans="2:26" ht="15" customHeight="1">
      <c r="B9" s="88"/>
      <c r="C9" s="88"/>
      <c r="D9" s="88"/>
      <c r="E9" s="88"/>
      <c r="F9" s="88"/>
      <c r="G9" s="88"/>
      <c r="H9" s="88"/>
      <c r="I9" s="88"/>
      <c r="J9" s="88"/>
      <c r="K9" s="88"/>
      <c r="L9" s="88"/>
      <c r="M9" s="88"/>
      <c r="N9" s="88"/>
      <c r="O9" s="88"/>
      <c r="P9" s="88"/>
      <c r="Q9" s="88"/>
      <c r="R9" s="88"/>
      <c r="S9" s="88"/>
      <c r="T9" s="88"/>
    </row>
    <row r="10" spans="2:26" ht="31.5">
      <c r="B10" s="38" t="s">
        <v>564</v>
      </c>
      <c r="C10" s="37"/>
      <c r="D10" s="38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6"/>
      <c r="V10" s="6"/>
      <c r="W10" s="6"/>
      <c r="X10" s="6"/>
      <c r="Y10" s="6"/>
      <c r="Z10" s="6"/>
    </row>
    <row r="11" spans="2:26" ht="21">
      <c r="B11" s="40" t="s">
        <v>86</v>
      </c>
      <c r="C11" s="37"/>
      <c r="D11" s="40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5"/>
      <c r="V11" s="5"/>
      <c r="W11" s="5"/>
      <c r="X11" s="5"/>
      <c r="Y11" s="5"/>
      <c r="Z11" s="5"/>
    </row>
    <row r="12" spans="2:26" ht="15" customHeight="1">
      <c r="B12" s="112" t="s">
        <v>87</v>
      </c>
      <c r="C12" s="113" t="str">
        <f t="shared" ref="C12:C27" si="4">Единица_измерения</f>
        <v>тыс. руб.</v>
      </c>
      <c r="D12" s="248">
        <f>SUM(E12:T12)</f>
        <v>0</v>
      </c>
      <c r="E12" s="114">
        <f>SUMIF('Квартальная отчетность'!$E$10:$BM$10,YEAR(E$8),'Квартальная отчетность'!$E16:$BM16)</f>
        <v>0</v>
      </c>
      <c r="F12" s="114">
        <f>SUMIF('Квартальная отчетность'!$E$10:$BM$10,YEAR(F$8),'Квартальная отчетность'!$E16:$BM16)</f>
        <v>0</v>
      </c>
      <c r="G12" s="114">
        <f>SUMIF('Квартальная отчетность'!$E$10:$BM$10,YEAR(G$8),'Квартальная отчетность'!$E16:$BM16)</f>
        <v>0</v>
      </c>
      <c r="H12" s="114">
        <f>SUMIF('Квартальная отчетность'!$E$10:$BM$10,YEAR(H$8),'Квартальная отчетность'!$E16:$BM16)</f>
        <v>0</v>
      </c>
      <c r="I12" s="114">
        <f>SUMIF('Квартальная отчетность'!$E$10:$BM$10,YEAR(I$8),'Квартальная отчетность'!$E16:$BM16)</f>
        <v>0</v>
      </c>
      <c r="J12" s="114">
        <f>SUMIF('Квартальная отчетность'!$E$10:$BM$10,YEAR(J$8),'Квартальная отчетность'!$E16:$BM16)</f>
        <v>0</v>
      </c>
      <c r="K12" s="114">
        <f>SUMIF('Квартальная отчетность'!$E$10:$BM$10,YEAR(K$8),'Квартальная отчетность'!$E16:$BM16)</f>
        <v>0</v>
      </c>
      <c r="L12" s="114">
        <f>SUMIF('Квартальная отчетность'!$E$10:$BM$10,YEAR(L$8),'Квартальная отчетность'!$E16:$BM16)</f>
        <v>0</v>
      </c>
      <c r="M12" s="114">
        <f>SUMIF('Квартальная отчетность'!$E$10:$BM$10,YEAR(M$8),'Квартальная отчетность'!$E16:$BM16)</f>
        <v>0</v>
      </c>
      <c r="N12" s="114">
        <f>SUMIF('Квартальная отчетность'!$E$10:$BM$10,YEAR(N$8),'Квартальная отчетность'!$E16:$BM16)</f>
        <v>0</v>
      </c>
      <c r="O12" s="114">
        <f>SUMIF('Квартальная отчетность'!$E$10:$BM$10,YEAR(O$8),'Квартальная отчетность'!$E16:$BM16)</f>
        <v>0</v>
      </c>
      <c r="P12" s="114">
        <f>SUMIF('Квартальная отчетность'!$E$10:$BM$10,YEAR(P$8),'Квартальная отчетность'!$E16:$BM16)</f>
        <v>0</v>
      </c>
      <c r="Q12" s="114">
        <f>SUMIF('Квартальная отчетность'!$E$10:$BM$10,YEAR(Q$8),'Квартальная отчетность'!$E16:$BM16)</f>
        <v>0</v>
      </c>
      <c r="R12" s="114">
        <f>SUMIF('Квартальная отчетность'!$E$10:$BM$10,YEAR(R$8),'Квартальная отчетность'!$E16:$BM16)</f>
        <v>0</v>
      </c>
      <c r="S12" s="114">
        <f>SUMIF('Квартальная отчетность'!$E$10:$BM$10,YEAR(S$8),'Квартальная отчетность'!$E16:$BM16)</f>
        <v>0</v>
      </c>
      <c r="T12" s="114">
        <f>SUMIF('Квартальная отчетность'!$E$10:$BM$10,YEAR(T$8),'Квартальная отчетность'!$E16:$BM16)</f>
        <v>0</v>
      </c>
    </row>
    <row r="13" spans="2:26" ht="15" customHeight="1">
      <c r="B13" s="117" t="s">
        <v>92</v>
      </c>
      <c r="C13" s="113" t="str">
        <f t="shared" si="4"/>
        <v>тыс. руб.</v>
      </c>
      <c r="D13" s="248">
        <f>SUM(E13:T13)</f>
        <v>0</v>
      </c>
      <c r="E13" s="114">
        <f>SUMIF('Квартальная отчетность'!$E$10:$BM$10,YEAR(E$8),'Квартальная отчетность'!$E17:$BM17)</f>
        <v>0</v>
      </c>
      <c r="F13" s="114">
        <f>SUMIF('Квартальная отчетность'!$E$10:$BM$10,YEAR(F$8),'Квартальная отчетность'!$E17:$BM17)</f>
        <v>0</v>
      </c>
      <c r="G13" s="114">
        <f>SUMIF('Квартальная отчетность'!$E$10:$BM$10,YEAR(G$8),'Квартальная отчетность'!$E17:$BM17)</f>
        <v>0</v>
      </c>
      <c r="H13" s="114">
        <f>SUMIF('Квартальная отчетность'!$E$10:$BM$10,YEAR(H$8),'Квартальная отчетность'!$E17:$BM17)</f>
        <v>0</v>
      </c>
      <c r="I13" s="114">
        <f>SUMIF('Квартальная отчетность'!$E$10:$BM$10,YEAR(I$8),'Квартальная отчетность'!$E17:$BM17)</f>
        <v>0</v>
      </c>
      <c r="J13" s="114">
        <f>SUMIF('Квартальная отчетность'!$E$10:$BM$10,YEAR(J$8),'Квартальная отчетность'!$E17:$BM17)</f>
        <v>0</v>
      </c>
      <c r="K13" s="114">
        <f>SUMIF('Квартальная отчетность'!$E$10:$BM$10,YEAR(K$8),'Квартальная отчетность'!$E17:$BM17)</f>
        <v>0</v>
      </c>
      <c r="L13" s="114">
        <f>SUMIF('Квартальная отчетность'!$E$10:$BM$10,YEAR(L$8),'Квартальная отчетность'!$E17:$BM17)</f>
        <v>0</v>
      </c>
      <c r="M13" s="114">
        <f>SUMIF('Квартальная отчетность'!$E$10:$BM$10,YEAR(M$8),'Квартальная отчетность'!$E17:$BM17)</f>
        <v>0</v>
      </c>
      <c r="N13" s="114">
        <f>SUMIF('Квартальная отчетность'!$E$10:$BM$10,YEAR(N$8),'Квартальная отчетность'!$E17:$BM17)</f>
        <v>0</v>
      </c>
      <c r="O13" s="114">
        <f>SUMIF('Квартальная отчетность'!$E$10:$BM$10,YEAR(O$8),'Квартальная отчетность'!$E17:$BM17)</f>
        <v>0</v>
      </c>
      <c r="P13" s="114">
        <f>SUMIF('Квартальная отчетность'!$E$10:$BM$10,YEAR(P$8),'Квартальная отчетность'!$E17:$BM17)</f>
        <v>0</v>
      </c>
      <c r="Q13" s="114">
        <f>SUMIF('Квартальная отчетность'!$E$10:$BM$10,YEAR(Q$8),'Квартальная отчетность'!$E17:$BM17)</f>
        <v>0</v>
      </c>
      <c r="R13" s="114">
        <f>SUMIF('Квартальная отчетность'!$E$10:$BM$10,YEAR(R$8),'Квартальная отчетность'!$E17:$BM17)</f>
        <v>0</v>
      </c>
      <c r="S13" s="114">
        <f>SUMIF('Квартальная отчетность'!$E$10:$BM$10,YEAR(S$8),'Квартальная отчетность'!$E17:$BM17)</f>
        <v>0</v>
      </c>
      <c r="T13" s="114">
        <f>SUMIF('Квартальная отчетность'!$E$10:$BM$10,YEAR(T$8),'Квартальная отчетность'!$E17:$BM17)</f>
        <v>0</v>
      </c>
    </row>
    <row r="14" spans="2:26" ht="15" customHeight="1">
      <c r="B14" s="259" t="s">
        <v>88</v>
      </c>
      <c r="C14" s="260" t="str">
        <f t="shared" si="4"/>
        <v>тыс. руб.</v>
      </c>
      <c r="D14" s="248">
        <f t="shared" ref="D14:E14" si="5">SUM(D12:D13)</f>
        <v>0</v>
      </c>
      <c r="E14" s="248">
        <f t="shared" si="5"/>
        <v>0</v>
      </c>
      <c r="F14" s="248">
        <f t="shared" ref="F14:T14" si="6">SUM(F12:F13)</f>
        <v>0</v>
      </c>
      <c r="G14" s="248">
        <f t="shared" si="6"/>
        <v>0</v>
      </c>
      <c r="H14" s="248">
        <f t="shared" si="6"/>
        <v>0</v>
      </c>
      <c r="I14" s="248">
        <f t="shared" si="6"/>
        <v>0</v>
      </c>
      <c r="J14" s="248">
        <f t="shared" si="6"/>
        <v>0</v>
      </c>
      <c r="K14" s="248">
        <f t="shared" si="6"/>
        <v>0</v>
      </c>
      <c r="L14" s="248">
        <f t="shared" si="6"/>
        <v>0</v>
      </c>
      <c r="M14" s="248">
        <f t="shared" si="6"/>
        <v>0</v>
      </c>
      <c r="N14" s="248">
        <f t="shared" si="6"/>
        <v>0</v>
      </c>
      <c r="O14" s="248">
        <f t="shared" si="6"/>
        <v>0</v>
      </c>
      <c r="P14" s="248">
        <f t="shared" si="6"/>
        <v>0</v>
      </c>
      <c r="Q14" s="248">
        <f t="shared" si="6"/>
        <v>0</v>
      </c>
      <c r="R14" s="248">
        <f t="shared" si="6"/>
        <v>0</v>
      </c>
      <c r="S14" s="248">
        <f t="shared" si="6"/>
        <v>0</v>
      </c>
      <c r="T14" s="248">
        <f t="shared" si="6"/>
        <v>0</v>
      </c>
    </row>
    <row r="15" spans="2:26" ht="15" customHeight="1">
      <c r="B15" s="259" t="s">
        <v>145</v>
      </c>
      <c r="C15" s="260" t="s">
        <v>100</v>
      </c>
      <c r="D15" s="254" t="str">
        <f>IF(D12=0,"-",D14/D12)</f>
        <v>-</v>
      </c>
      <c r="E15" s="254" t="str">
        <f>IF(E12=0,"-",E14/E12)</f>
        <v>-</v>
      </c>
      <c r="F15" s="254" t="str">
        <f t="shared" ref="F15:T15" si="7">IF(F12=0,"-",F14/F12)</f>
        <v>-</v>
      </c>
      <c r="G15" s="254" t="str">
        <f t="shared" si="7"/>
        <v>-</v>
      </c>
      <c r="H15" s="254" t="str">
        <f t="shared" si="7"/>
        <v>-</v>
      </c>
      <c r="I15" s="254" t="str">
        <f t="shared" si="7"/>
        <v>-</v>
      </c>
      <c r="J15" s="254" t="str">
        <f t="shared" si="7"/>
        <v>-</v>
      </c>
      <c r="K15" s="254" t="str">
        <f t="shared" si="7"/>
        <v>-</v>
      </c>
      <c r="L15" s="254" t="str">
        <f t="shared" si="7"/>
        <v>-</v>
      </c>
      <c r="M15" s="254" t="str">
        <f t="shared" si="7"/>
        <v>-</v>
      </c>
      <c r="N15" s="254" t="str">
        <f t="shared" si="7"/>
        <v>-</v>
      </c>
      <c r="O15" s="254" t="str">
        <f t="shared" si="7"/>
        <v>-</v>
      </c>
      <c r="P15" s="254" t="str">
        <f t="shared" si="7"/>
        <v>-</v>
      </c>
      <c r="Q15" s="254" t="str">
        <f t="shared" si="7"/>
        <v>-</v>
      </c>
      <c r="R15" s="254" t="str">
        <f t="shared" si="7"/>
        <v>-</v>
      </c>
      <c r="S15" s="254" t="str">
        <f t="shared" si="7"/>
        <v>-</v>
      </c>
      <c r="T15" s="254" t="str">
        <f t="shared" si="7"/>
        <v>-</v>
      </c>
    </row>
    <row r="16" spans="2:26" ht="15" customHeight="1">
      <c r="B16" s="112" t="s">
        <v>90</v>
      </c>
      <c r="C16" s="113" t="str">
        <f t="shared" si="4"/>
        <v>тыс. руб.</v>
      </c>
      <c r="D16" s="248">
        <f>SUM(E16:T16)</f>
        <v>0</v>
      </c>
      <c r="E16" s="114">
        <f>SUMIF('Квартальная отчетность'!$E$10:$BM$10,YEAR(E$8),'Квартальная отчетность'!$E20:$BM20)</f>
        <v>0</v>
      </c>
      <c r="F16" s="114">
        <f>SUMIF('Квартальная отчетность'!$E$10:$BM$10,YEAR(F$8),'Квартальная отчетность'!$E20:$BM20)</f>
        <v>0</v>
      </c>
      <c r="G16" s="114">
        <f>SUMIF('Квартальная отчетность'!$E$10:$BM$10,YEAR(G$8),'Квартальная отчетность'!$E20:$BM20)</f>
        <v>0</v>
      </c>
      <c r="H16" s="114">
        <f>SUMIF('Квартальная отчетность'!$E$10:$BM$10,YEAR(H$8),'Квартальная отчетность'!$E20:$BM20)</f>
        <v>0</v>
      </c>
      <c r="I16" s="114">
        <f>SUMIF('Квартальная отчетность'!$E$10:$BM$10,YEAR(I$8),'Квартальная отчетность'!$E20:$BM20)</f>
        <v>0</v>
      </c>
      <c r="J16" s="114">
        <f>SUMIF('Квартальная отчетность'!$E$10:$BM$10,YEAR(J$8),'Квартальная отчетность'!$E20:$BM20)</f>
        <v>0</v>
      </c>
      <c r="K16" s="114">
        <f>SUMIF('Квартальная отчетность'!$E$10:$BM$10,YEAR(K$8),'Квартальная отчетность'!$E20:$BM20)</f>
        <v>0</v>
      </c>
      <c r="L16" s="114">
        <f>SUMIF('Квартальная отчетность'!$E$10:$BM$10,YEAR(L$8),'Квартальная отчетность'!$E20:$BM20)</f>
        <v>0</v>
      </c>
      <c r="M16" s="114">
        <f>SUMIF('Квартальная отчетность'!$E$10:$BM$10,YEAR(M$8),'Квартальная отчетность'!$E20:$BM20)</f>
        <v>0</v>
      </c>
      <c r="N16" s="114">
        <f>SUMIF('Квартальная отчетность'!$E$10:$BM$10,YEAR(N$8),'Квартальная отчетность'!$E20:$BM20)</f>
        <v>0</v>
      </c>
      <c r="O16" s="114">
        <f>SUMIF('Квартальная отчетность'!$E$10:$BM$10,YEAR(O$8),'Квартальная отчетность'!$E20:$BM20)</f>
        <v>0</v>
      </c>
      <c r="P16" s="114">
        <f>SUMIF('Квартальная отчетность'!$E$10:$BM$10,YEAR(P$8),'Квартальная отчетность'!$E20:$BM20)</f>
        <v>0</v>
      </c>
      <c r="Q16" s="114">
        <f>SUMIF('Квартальная отчетность'!$E$10:$BM$10,YEAR(Q$8),'Квартальная отчетность'!$E20:$BM20)</f>
        <v>0</v>
      </c>
      <c r="R16" s="114">
        <f>SUMIF('Квартальная отчетность'!$E$10:$BM$10,YEAR(R$8),'Квартальная отчетность'!$E20:$BM20)</f>
        <v>0</v>
      </c>
      <c r="S16" s="114">
        <f>SUMIF('Квартальная отчетность'!$E$10:$BM$10,YEAR(S$8),'Квартальная отчетность'!$E20:$BM20)</f>
        <v>0</v>
      </c>
      <c r="T16" s="114">
        <f>SUMIF('Квартальная отчетность'!$E$10:$BM$10,YEAR(T$8),'Квартальная отчетность'!$E20:$BM20)</f>
        <v>0</v>
      </c>
    </row>
    <row r="17" spans="2:65" ht="15" customHeight="1">
      <c r="B17" s="112" t="s">
        <v>91</v>
      </c>
      <c r="C17" s="113" t="str">
        <f t="shared" si="4"/>
        <v>тыс. руб.</v>
      </c>
      <c r="D17" s="248">
        <f>SUM(E17:T17)</f>
        <v>0</v>
      </c>
      <c r="E17" s="114">
        <f>SUMIF('Квартальная отчетность'!$E$10:$BM$10,YEAR(E$8),'Квартальная отчетность'!$E21:$BM21)</f>
        <v>0</v>
      </c>
      <c r="F17" s="114">
        <f>SUMIF('Квартальная отчетность'!$E$10:$BM$10,YEAR(F$8),'Квартальная отчетность'!$E21:$BM21)</f>
        <v>0</v>
      </c>
      <c r="G17" s="114">
        <f>SUMIF('Квартальная отчетность'!$E$10:$BM$10,YEAR(G$8),'Квартальная отчетность'!$E21:$BM21)</f>
        <v>0</v>
      </c>
      <c r="H17" s="114">
        <f>SUMIF('Квартальная отчетность'!$E$10:$BM$10,YEAR(H$8),'Квартальная отчетность'!$E21:$BM21)</f>
        <v>0</v>
      </c>
      <c r="I17" s="114">
        <f>SUMIF('Квартальная отчетность'!$E$10:$BM$10,YEAR(I$8),'Квартальная отчетность'!$E21:$BM21)</f>
        <v>0</v>
      </c>
      <c r="J17" s="114">
        <f>SUMIF('Квартальная отчетность'!$E$10:$BM$10,YEAR(J$8),'Квартальная отчетность'!$E21:$BM21)</f>
        <v>0</v>
      </c>
      <c r="K17" s="114">
        <f>SUMIF('Квартальная отчетность'!$E$10:$BM$10,YEAR(K$8),'Квартальная отчетность'!$E21:$BM21)</f>
        <v>0</v>
      </c>
      <c r="L17" s="114">
        <f>SUMIF('Квартальная отчетность'!$E$10:$BM$10,YEAR(L$8),'Квартальная отчетность'!$E21:$BM21)</f>
        <v>0</v>
      </c>
      <c r="M17" s="114">
        <f>SUMIF('Квартальная отчетность'!$E$10:$BM$10,YEAR(M$8),'Квартальная отчетность'!$E21:$BM21)</f>
        <v>0</v>
      </c>
      <c r="N17" s="114">
        <f>SUMIF('Квартальная отчетность'!$E$10:$BM$10,YEAR(N$8),'Квартальная отчетность'!$E21:$BM21)</f>
        <v>0</v>
      </c>
      <c r="O17" s="114">
        <f>SUMIF('Квартальная отчетность'!$E$10:$BM$10,YEAR(O$8),'Квартальная отчетность'!$E21:$BM21)</f>
        <v>0</v>
      </c>
      <c r="P17" s="114">
        <f>SUMIF('Квартальная отчетность'!$E$10:$BM$10,YEAR(P$8),'Квартальная отчетность'!$E21:$BM21)</f>
        <v>0</v>
      </c>
      <c r="Q17" s="114">
        <f>SUMIF('Квартальная отчетность'!$E$10:$BM$10,YEAR(Q$8),'Квартальная отчетность'!$E21:$BM21)</f>
        <v>0</v>
      </c>
      <c r="R17" s="114">
        <f>SUMIF('Квартальная отчетность'!$E$10:$BM$10,YEAR(R$8),'Квартальная отчетность'!$E21:$BM21)</f>
        <v>0</v>
      </c>
      <c r="S17" s="114">
        <f>SUMIF('Квартальная отчетность'!$E$10:$BM$10,YEAR(S$8),'Квартальная отчетность'!$E21:$BM21)</f>
        <v>0</v>
      </c>
      <c r="T17" s="114">
        <f>SUMIF('Квартальная отчетность'!$E$10:$BM$10,YEAR(T$8),'Квартальная отчетность'!$E21:$BM21)</f>
        <v>0</v>
      </c>
    </row>
    <row r="18" spans="2:65" ht="15" customHeight="1">
      <c r="B18" s="259" t="s">
        <v>89</v>
      </c>
      <c r="C18" s="260" t="str">
        <f t="shared" si="4"/>
        <v>тыс. руб.</v>
      </c>
      <c r="D18" s="248">
        <f t="shared" ref="D18:E18" si="8">SUM(D14:D17)</f>
        <v>0</v>
      </c>
      <c r="E18" s="248">
        <f t="shared" si="8"/>
        <v>0</v>
      </c>
      <c r="F18" s="248">
        <f t="shared" ref="F18:T18" si="9">SUM(F14:F17)</f>
        <v>0</v>
      </c>
      <c r="G18" s="248">
        <f t="shared" si="9"/>
        <v>0</v>
      </c>
      <c r="H18" s="248">
        <f t="shared" si="9"/>
        <v>0</v>
      </c>
      <c r="I18" s="248">
        <f t="shared" si="9"/>
        <v>0</v>
      </c>
      <c r="J18" s="248">
        <f t="shared" si="9"/>
        <v>0</v>
      </c>
      <c r="K18" s="248">
        <f t="shared" si="9"/>
        <v>0</v>
      </c>
      <c r="L18" s="248">
        <f t="shared" si="9"/>
        <v>0</v>
      </c>
      <c r="M18" s="248">
        <f t="shared" si="9"/>
        <v>0</v>
      </c>
      <c r="N18" s="248">
        <f t="shared" si="9"/>
        <v>0</v>
      </c>
      <c r="O18" s="248">
        <f t="shared" si="9"/>
        <v>0</v>
      </c>
      <c r="P18" s="248">
        <f t="shared" si="9"/>
        <v>0</v>
      </c>
      <c r="Q18" s="248">
        <f t="shared" si="9"/>
        <v>0</v>
      </c>
      <c r="R18" s="248">
        <f t="shared" si="9"/>
        <v>0</v>
      </c>
      <c r="S18" s="248">
        <f t="shared" si="9"/>
        <v>0</v>
      </c>
      <c r="T18" s="248">
        <f t="shared" si="9"/>
        <v>0</v>
      </c>
    </row>
    <row r="19" spans="2:65" ht="15" customHeight="1">
      <c r="B19" s="259" t="s">
        <v>147</v>
      </c>
      <c r="C19" s="260" t="s">
        <v>100</v>
      </c>
      <c r="D19" s="254" t="str">
        <f>IF(D12=0,"-",D18/D12)</f>
        <v>-</v>
      </c>
      <c r="E19" s="254" t="str">
        <f>IF(E12=0,"-",E18/E12)</f>
        <v>-</v>
      </c>
      <c r="F19" s="254" t="str">
        <f t="shared" ref="F19:T19" si="10">IF(F12=0,"-",F18/F12)</f>
        <v>-</v>
      </c>
      <c r="G19" s="254" t="str">
        <f t="shared" si="10"/>
        <v>-</v>
      </c>
      <c r="H19" s="254" t="str">
        <f t="shared" si="10"/>
        <v>-</v>
      </c>
      <c r="I19" s="254" t="str">
        <f t="shared" si="10"/>
        <v>-</v>
      </c>
      <c r="J19" s="254" t="str">
        <f t="shared" si="10"/>
        <v>-</v>
      </c>
      <c r="K19" s="254" t="str">
        <f t="shared" si="10"/>
        <v>-</v>
      </c>
      <c r="L19" s="254" t="str">
        <f t="shared" si="10"/>
        <v>-</v>
      </c>
      <c r="M19" s="254" t="str">
        <f t="shared" si="10"/>
        <v>-</v>
      </c>
      <c r="N19" s="254" t="str">
        <f t="shared" si="10"/>
        <v>-</v>
      </c>
      <c r="O19" s="254" t="str">
        <f t="shared" si="10"/>
        <v>-</v>
      </c>
      <c r="P19" s="254" t="str">
        <f t="shared" si="10"/>
        <v>-</v>
      </c>
      <c r="Q19" s="254" t="str">
        <f t="shared" si="10"/>
        <v>-</v>
      </c>
      <c r="R19" s="254" t="str">
        <f t="shared" si="10"/>
        <v>-</v>
      </c>
      <c r="S19" s="254" t="str">
        <f t="shared" si="10"/>
        <v>-</v>
      </c>
      <c r="T19" s="254" t="str">
        <f t="shared" si="10"/>
        <v>-</v>
      </c>
    </row>
    <row r="20" spans="2:65" ht="15" customHeight="1">
      <c r="B20" s="112" t="s">
        <v>175</v>
      </c>
      <c r="C20" s="113" t="str">
        <f t="shared" si="4"/>
        <v>тыс. руб.</v>
      </c>
      <c r="D20" s="248">
        <f>SUM(E20:T20)</f>
        <v>0</v>
      </c>
      <c r="E20" s="114">
        <f>SUMIF('Квартальная отчетность'!$E$10:$BM$10,YEAR(E$8),'Квартальная отчетность'!$E24:$BM24)</f>
        <v>0</v>
      </c>
      <c r="F20" s="114">
        <f>SUMIF('Квартальная отчетность'!$E$10:$BM$10,YEAR(F$8),'Квартальная отчетность'!$E24:$BM24)</f>
        <v>0</v>
      </c>
      <c r="G20" s="114">
        <f>SUMIF('Квартальная отчетность'!$E$10:$BM$10,YEAR(G$8),'Квартальная отчетность'!$E24:$BM24)</f>
        <v>0</v>
      </c>
      <c r="H20" s="114">
        <f>SUMIF('Квартальная отчетность'!$E$10:$BM$10,YEAR(H$8),'Квартальная отчетность'!$E24:$BM24)</f>
        <v>0</v>
      </c>
      <c r="I20" s="114">
        <f>SUMIF('Квартальная отчетность'!$E$10:$BM$10,YEAR(I$8),'Квартальная отчетность'!$E24:$BM24)</f>
        <v>0</v>
      </c>
      <c r="J20" s="114">
        <f>SUMIF('Квартальная отчетность'!$E$10:$BM$10,YEAR(J$8),'Квартальная отчетность'!$E24:$BM24)</f>
        <v>0</v>
      </c>
      <c r="K20" s="114">
        <f>SUMIF('Квартальная отчетность'!$E$10:$BM$10,YEAR(K$8),'Квартальная отчетность'!$E24:$BM24)</f>
        <v>0</v>
      </c>
      <c r="L20" s="114">
        <f>SUMIF('Квартальная отчетность'!$E$10:$BM$10,YEAR(L$8),'Квартальная отчетность'!$E24:$BM24)</f>
        <v>0</v>
      </c>
      <c r="M20" s="114">
        <f>SUMIF('Квартальная отчетность'!$E$10:$BM$10,YEAR(M$8),'Квартальная отчетность'!$E24:$BM24)</f>
        <v>0</v>
      </c>
      <c r="N20" s="114">
        <f>SUMIF('Квартальная отчетность'!$E$10:$BM$10,YEAR(N$8),'Квартальная отчетность'!$E24:$BM24)</f>
        <v>0</v>
      </c>
      <c r="O20" s="114">
        <f>SUMIF('Квартальная отчетность'!$E$10:$BM$10,YEAR(O$8),'Квартальная отчетность'!$E24:$BM24)</f>
        <v>0</v>
      </c>
      <c r="P20" s="114">
        <f>SUMIF('Квартальная отчетность'!$E$10:$BM$10,YEAR(P$8),'Квартальная отчетность'!$E24:$BM24)</f>
        <v>0</v>
      </c>
      <c r="Q20" s="114">
        <f>SUMIF('Квартальная отчетность'!$E$10:$BM$10,YEAR(Q$8),'Квартальная отчетность'!$E24:$BM24)</f>
        <v>0</v>
      </c>
      <c r="R20" s="114">
        <f>SUMIF('Квартальная отчетность'!$E$10:$BM$10,YEAR(R$8),'Квартальная отчетность'!$E24:$BM24)</f>
        <v>0</v>
      </c>
      <c r="S20" s="114">
        <f>SUMIF('Квартальная отчетность'!$E$10:$BM$10,YEAR(S$8),'Квартальная отчетность'!$E24:$BM24)</f>
        <v>0</v>
      </c>
      <c r="T20" s="114">
        <f>SUMIF('Квартальная отчетность'!$E$10:$BM$10,YEAR(T$8),'Квартальная отчетность'!$E24:$BM24)</f>
        <v>0</v>
      </c>
    </row>
    <row r="21" spans="2:65" ht="15" customHeight="1">
      <c r="B21" s="112" t="s">
        <v>93</v>
      </c>
      <c r="C21" s="113" t="str">
        <f t="shared" si="4"/>
        <v>тыс. руб.</v>
      </c>
      <c r="D21" s="248">
        <f>SUM(E21:T21)</f>
        <v>0</v>
      </c>
      <c r="E21" s="114">
        <f>SUMIF('Квартальная отчетность'!$E$10:$BM$10,YEAR(E$8),'Квартальная отчетность'!$E25:$BM25)</f>
        <v>0</v>
      </c>
      <c r="F21" s="114">
        <f>SUMIF('Квартальная отчетность'!$E$10:$BM$10,YEAR(F$8),'Квартальная отчетность'!$E25:$BM25)</f>
        <v>0</v>
      </c>
      <c r="G21" s="114">
        <f>SUMIF('Квартальная отчетность'!$E$10:$BM$10,YEAR(G$8),'Квартальная отчетность'!$E25:$BM25)</f>
        <v>0</v>
      </c>
      <c r="H21" s="114">
        <f>SUMIF('Квартальная отчетность'!$E$10:$BM$10,YEAR(H$8),'Квартальная отчетность'!$E25:$BM25)</f>
        <v>0</v>
      </c>
      <c r="I21" s="114">
        <f>SUMIF('Квартальная отчетность'!$E$10:$BM$10,YEAR(I$8),'Квартальная отчетность'!$E25:$BM25)</f>
        <v>0</v>
      </c>
      <c r="J21" s="114">
        <f>SUMIF('Квартальная отчетность'!$E$10:$BM$10,YEAR(J$8),'Квартальная отчетность'!$E25:$BM25)</f>
        <v>0</v>
      </c>
      <c r="K21" s="114">
        <f>SUMIF('Квартальная отчетность'!$E$10:$BM$10,YEAR(K$8),'Квартальная отчетность'!$E25:$BM25)</f>
        <v>0</v>
      </c>
      <c r="L21" s="114">
        <f>SUMIF('Квартальная отчетность'!$E$10:$BM$10,YEAR(L$8),'Квартальная отчетность'!$E25:$BM25)</f>
        <v>0</v>
      </c>
      <c r="M21" s="114">
        <f>SUMIF('Квартальная отчетность'!$E$10:$BM$10,YEAR(M$8),'Квартальная отчетность'!$E25:$BM25)</f>
        <v>0</v>
      </c>
      <c r="N21" s="114">
        <f>SUMIF('Квартальная отчетность'!$E$10:$BM$10,YEAR(N$8),'Квартальная отчетность'!$E25:$BM25)</f>
        <v>0</v>
      </c>
      <c r="O21" s="114">
        <f>SUMIF('Квартальная отчетность'!$E$10:$BM$10,YEAR(O$8),'Квартальная отчетность'!$E25:$BM25)</f>
        <v>0</v>
      </c>
      <c r="P21" s="114">
        <f>SUMIF('Квартальная отчетность'!$E$10:$BM$10,YEAR(P$8),'Квартальная отчетность'!$E25:$BM25)</f>
        <v>0</v>
      </c>
      <c r="Q21" s="114">
        <f>SUMIF('Квартальная отчетность'!$E$10:$BM$10,YEAR(Q$8),'Квартальная отчетность'!$E25:$BM25)</f>
        <v>0</v>
      </c>
      <c r="R21" s="114">
        <f>SUMIF('Квартальная отчетность'!$E$10:$BM$10,YEAR(R$8),'Квартальная отчетность'!$E25:$BM25)</f>
        <v>0</v>
      </c>
      <c r="S21" s="114">
        <f>SUMIF('Квартальная отчетность'!$E$10:$BM$10,YEAR(S$8),'Квартальная отчетность'!$E25:$BM25)</f>
        <v>0</v>
      </c>
      <c r="T21" s="114">
        <f>SUMIF('Квартальная отчетность'!$E$10:$BM$10,YEAR(T$8),'Квартальная отчетность'!$E25:$BM25)</f>
        <v>0</v>
      </c>
    </row>
    <row r="22" spans="2:65" ht="15" customHeight="1">
      <c r="B22" s="112" t="s">
        <v>95</v>
      </c>
      <c r="C22" s="113" t="str">
        <f t="shared" si="4"/>
        <v>тыс. руб.</v>
      </c>
      <c r="D22" s="248">
        <f>SUM(E22:T22)</f>
        <v>0</v>
      </c>
      <c r="E22" s="114">
        <f>SUMIF('Квартальная отчетность'!$E$10:$BM$10,YEAR(E$8),'Квартальная отчетность'!$E26:$BM26)</f>
        <v>0</v>
      </c>
      <c r="F22" s="114">
        <f>SUMIF('Квартальная отчетность'!$E$10:$BM$10,YEAR(F$8),'Квартальная отчетность'!$E26:$BM26)</f>
        <v>0</v>
      </c>
      <c r="G22" s="114">
        <f>SUMIF('Квартальная отчетность'!$E$10:$BM$10,YEAR(G$8),'Квартальная отчетность'!$E26:$BM26)</f>
        <v>0</v>
      </c>
      <c r="H22" s="114">
        <f>SUMIF('Квартальная отчетность'!$E$10:$BM$10,YEAR(H$8),'Квартальная отчетность'!$E26:$BM26)</f>
        <v>0</v>
      </c>
      <c r="I22" s="114">
        <f>SUMIF('Квартальная отчетность'!$E$10:$BM$10,YEAR(I$8),'Квартальная отчетность'!$E26:$BM26)</f>
        <v>0</v>
      </c>
      <c r="J22" s="114">
        <f>SUMIF('Квартальная отчетность'!$E$10:$BM$10,YEAR(J$8),'Квартальная отчетность'!$E26:$BM26)</f>
        <v>0</v>
      </c>
      <c r="K22" s="114">
        <f>SUMIF('Квартальная отчетность'!$E$10:$BM$10,YEAR(K$8),'Квартальная отчетность'!$E26:$BM26)</f>
        <v>0</v>
      </c>
      <c r="L22" s="114">
        <f>SUMIF('Квартальная отчетность'!$E$10:$BM$10,YEAR(L$8),'Квартальная отчетность'!$E26:$BM26)</f>
        <v>0</v>
      </c>
      <c r="M22" s="114">
        <f>SUMIF('Квартальная отчетность'!$E$10:$BM$10,YEAR(M$8),'Квартальная отчетность'!$E26:$BM26)</f>
        <v>0</v>
      </c>
      <c r="N22" s="114">
        <f>SUMIF('Квартальная отчетность'!$E$10:$BM$10,YEAR(N$8),'Квартальная отчетность'!$E26:$BM26)</f>
        <v>0</v>
      </c>
      <c r="O22" s="114">
        <f>SUMIF('Квартальная отчетность'!$E$10:$BM$10,YEAR(O$8),'Квартальная отчетность'!$E26:$BM26)</f>
        <v>0</v>
      </c>
      <c r="P22" s="114">
        <f>SUMIF('Квартальная отчетность'!$E$10:$BM$10,YEAR(P$8),'Квартальная отчетность'!$E26:$BM26)</f>
        <v>0</v>
      </c>
      <c r="Q22" s="114">
        <f>SUMIF('Квартальная отчетность'!$E$10:$BM$10,YEAR(Q$8),'Квартальная отчетность'!$E26:$BM26)</f>
        <v>0</v>
      </c>
      <c r="R22" s="114">
        <f>SUMIF('Квартальная отчетность'!$E$10:$BM$10,YEAR(R$8),'Квартальная отчетность'!$E26:$BM26)</f>
        <v>0</v>
      </c>
      <c r="S22" s="114">
        <f>SUMIF('Квартальная отчетность'!$E$10:$BM$10,YEAR(S$8),'Квартальная отчетность'!$E26:$BM26)</f>
        <v>0</v>
      </c>
      <c r="T22" s="114">
        <f>SUMIF('Квартальная отчетность'!$E$10:$BM$10,YEAR(T$8),'Квартальная отчетность'!$E26:$BM26)</f>
        <v>0</v>
      </c>
    </row>
    <row r="23" spans="2:65" ht="15" customHeight="1">
      <c r="B23" s="112" t="s">
        <v>94</v>
      </c>
      <c r="C23" s="113" t="str">
        <f t="shared" si="4"/>
        <v>тыс. руб.</v>
      </c>
      <c r="D23" s="248">
        <f>SUM(E23:T23)</f>
        <v>0</v>
      </c>
      <c r="E23" s="114">
        <f>SUMIF('Квартальная отчетность'!$E$10:$BM$10,YEAR(E$8),'Квартальная отчетность'!$E27:$BM27)</f>
        <v>0</v>
      </c>
      <c r="F23" s="114">
        <f>SUMIF('Квартальная отчетность'!$E$10:$BM$10,YEAR(F$8),'Квартальная отчетность'!$E27:$BM27)</f>
        <v>0</v>
      </c>
      <c r="G23" s="114">
        <f>SUMIF('Квартальная отчетность'!$E$10:$BM$10,YEAR(G$8),'Квартальная отчетность'!$E27:$BM27)</f>
        <v>0</v>
      </c>
      <c r="H23" s="114">
        <f>SUMIF('Квартальная отчетность'!$E$10:$BM$10,YEAR(H$8),'Квартальная отчетность'!$E27:$BM27)</f>
        <v>0</v>
      </c>
      <c r="I23" s="114">
        <f>SUMIF('Квартальная отчетность'!$E$10:$BM$10,YEAR(I$8),'Квартальная отчетность'!$E27:$BM27)</f>
        <v>0</v>
      </c>
      <c r="J23" s="114">
        <f>SUMIF('Квартальная отчетность'!$E$10:$BM$10,YEAR(J$8),'Квартальная отчетность'!$E27:$BM27)</f>
        <v>0</v>
      </c>
      <c r="K23" s="114">
        <f>SUMIF('Квартальная отчетность'!$E$10:$BM$10,YEAR(K$8),'Квартальная отчетность'!$E27:$BM27)</f>
        <v>0</v>
      </c>
      <c r="L23" s="114">
        <f>SUMIF('Квартальная отчетность'!$E$10:$BM$10,YEAR(L$8),'Квартальная отчетность'!$E27:$BM27)</f>
        <v>0</v>
      </c>
      <c r="M23" s="114">
        <f>SUMIF('Квартальная отчетность'!$E$10:$BM$10,YEAR(M$8),'Квартальная отчетность'!$E27:$BM27)</f>
        <v>0</v>
      </c>
      <c r="N23" s="114">
        <f>SUMIF('Квартальная отчетность'!$E$10:$BM$10,YEAR(N$8),'Квартальная отчетность'!$E27:$BM27)</f>
        <v>0</v>
      </c>
      <c r="O23" s="114">
        <f>SUMIF('Квартальная отчетность'!$E$10:$BM$10,YEAR(O$8),'Квартальная отчетность'!$E27:$BM27)</f>
        <v>0</v>
      </c>
      <c r="P23" s="114">
        <f>SUMIF('Квартальная отчетность'!$E$10:$BM$10,YEAR(P$8),'Квартальная отчетность'!$E27:$BM27)</f>
        <v>0</v>
      </c>
      <c r="Q23" s="114">
        <f>SUMIF('Квартальная отчетность'!$E$10:$BM$10,YEAR(Q$8),'Квартальная отчетность'!$E27:$BM27)</f>
        <v>0</v>
      </c>
      <c r="R23" s="114">
        <f>SUMIF('Квартальная отчетность'!$E$10:$BM$10,YEAR(R$8),'Квартальная отчетность'!$E27:$BM27)</f>
        <v>0</v>
      </c>
      <c r="S23" s="114">
        <f>SUMIF('Квартальная отчетность'!$E$10:$BM$10,YEAR(S$8),'Квартальная отчетность'!$E27:$BM27)</f>
        <v>0</v>
      </c>
      <c r="T23" s="114">
        <f>SUMIF('Квартальная отчетность'!$E$10:$BM$10,YEAR(T$8),'Квартальная отчетность'!$E27:$BM27)</f>
        <v>0</v>
      </c>
    </row>
    <row r="24" spans="2:65" ht="15" customHeight="1">
      <c r="B24" s="112" t="s">
        <v>96</v>
      </c>
      <c r="C24" s="113" t="str">
        <f t="shared" si="4"/>
        <v>тыс. руб.</v>
      </c>
      <c r="D24" s="248">
        <f>SUM(E24:T24)</f>
        <v>0</v>
      </c>
      <c r="E24" s="114">
        <f>SUMIF('Квартальная отчетность'!$E$10:$BM$10,YEAR(E$8),'Квартальная отчетность'!$E28:$BM28)</f>
        <v>0</v>
      </c>
      <c r="F24" s="114">
        <f>SUMIF('Квартальная отчетность'!$E$10:$BM$10,YEAR(F$8),'Квартальная отчетность'!$E28:$BM28)</f>
        <v>0</v>
      </c>
      <c r="G24" s="114">
        <f>SUMIF('Квартальная отчетность'!$E$10:$BM$10,YEAR(G$8),'Квартальная отчетность'!$E28:$BM28)</f>
        <v>0</v>
      </c>
      <c r="H24" s="114">
        <f>SUMIF('Квартальная отчетность'!$E$10:$BM$10,YEAR(H$8),'Квартальная отчетность'!$E28:$BM28)</f>
        <v>0</v>
      </c>
      <c r="I24" s="114">
        <f>SUMIF('Квартальная отчетность'!$E$10:$BM$10,YEAR(I$8),'Квартальная отчетность'!$E28:$BM28)</f>
        <v>0</v>
      </c>
      <c r="J24" s="114">
        <f>SUMIF('Квартальная отчетность'!$E$10:$BM$10,YEAR(J$8),'Квартальная отчетность'!$E28:$BM28)</f>
        <v>0</v>
      </c>
      <c r="K24" s="114">
        <f>SUMIF('Квартальная отчетность'!$E$10:$BM$10,YEAR(K$8),'Квартальная отчетность'!$E28:$BM28)</f>
        <v>0</v>
      </c>
      <c r="L24" s="114">
        <f>SUMIF('Квартальная отчетность'!$E$10:$BM$10,YEAR(L$8),'Квартальная отчетность'!$E28:$BM28)</f>
        <v>0</v>
      </c>
      <c r="M24" s="114">
        <f>SUMIF('Квартальная отчетность'!$E$10:$BM$10,YEAR(M$8),'Квартальная отчетность'!$E28:$BM28)</f>
        <v>0</v>
      </c>
      <c r="N24" s="114">
        <f>SUMIF('Квартальная отчетность'!$E$10:$BM$10,YEAR(N$8),'Квартальная отчетность'!$E28:$BM28)</f>
        <v>0</v>
      </c>
      <c r="O24" s="114">
        <f>SUMIF('Квартальная отчетность'!$E$10:$BM$10,YEAR(O$8),'Квартальная отчетность'!$E28:$BM28)</f>
        <v>0</v>
      </c>
      <c r="P24" s="114">
        <f>SUMIF('Квартальная отчетность'!$E$10:$BM$10,YEAR(P$8),'Квартальная отчетность'!$E28:$BM28)</f>
        <v>0</v>
      </c>
      <c r="Q24" s="114">
        <f>SUMIF('Квартальная отчетность'!$E$10:$BM$10,YEAR(Q$8),'Квартальная отчетность'!$E28:$BM28)</f>
        <v>0</v>
      </c>
      <c r="R24" s="114">
        <f>SUMIF('Квартальная отчетность'!$E$10:$BM$10,YEAR(R$8),'Квартальная отчетность'!$E28:$BM28)</f>
        <v>0</v>
      </c>
      <c r="S24" s="114">
        <f>SUMIF('Квартальная отчетность'!$E$10:$BM$10,YEAR(S$8),'Квартальная отчетность'!$E28:$BM28)</f>
        <v>0</v>
      </c>
      <c r="T24" s="114">
        <f>SUMIF('Квартальная отчетность'!$E$10:$BM$10,YEAR(T$8),'Квартальная отчетность'!$E28:$BM28)</f>
        <v>0</v>
      </c>
    </row>
    <row r="25" spans="2:65" ht="15" customHeight="1">
      <c r="B25" s="259" t="s">
        <v>97</v>
      </c>
      <c r="C25" s="260" t="str">
        <f t="shared" si="4"/>
        <v>тыс. руб.</v>
      </c>
      <c r="D25" s="248">
        <f t="shared" ref="D25:E25" si="11">SUM(D18:D24)</f>
        <v>0</v>
      </c>
      <c r="E25" s="248">
        <f t="shared" si="11"/>
        <v>0</v>
      </c>
      <c r="F25" s="248">
        <f t="shared" ref="F25:T25" si="12">SUM(F18:F24)</f>
        <v>0</v>
      </c>
      <c r="G25" s="248">
        <f t="shared" si="12"/>
        <v>0</v>
      </c>
      <c r="H25" s="248">
        <f t="shared" si="12"/>
        <v>0</v>
      </c>
      <c r="I25" s="248">
        <f t="shared" si="12"/>
        <v>0</v>
      </c>
      <c r="J25" s="248">
        <f t="shared" si="12"/>
        <v>0</v>
      </c>
      <c r="K25" s="248">
        <f t="shared" si="12"/>
        <v>0</v>
      </c>
      <c r="L25" s="248">
        <f t="shared" si="12"/>
        <v>0</v>
      </c>
      <c r="M25" s="248">
        <f t="shared" si="12"/>
        <v>0</v>
      </c>
      <c r="N25" s="248">
        <f t="shared" si="12"/>
        <v>0</v>
      </c>
      <c r="O25" s="248">
        <f t="shared" si="12"/>
        <v>0</v>
      </c>
      <c r="P25" s="248">
        <f t="shared" si="12"/>
        <v>0</v>
      </c>
      <c r="Q25" s="248">
        <f t="shared" si="12"/>
        <v>0</v>
      </c>
      <c r="R25" s="248">
        <f t="shared" si="12"/>
        <v>0</v>
      </c>
      <c r="S25" s="248">
        <f t="shared" si="12"/>
        <v>0</v>
      </c>
      <c r="T25" s="248">
        <f t="shared" si="12"/>
        <v>0</v>
      </c>
    </row>
    <row r="26" spans="2:65" ht="15" customHeight="1">
      <c r="B26" s="112" t="s">
        <v>98</v>
      </c>
      <c r="C26" s="113" t="str">
        <f t="shared" si="4"/>
        <v>тыс. руб.</v>
      </c>
      <c r="D26" s="248">
        <f>SUM(E26:T26)</f>
        <v>0</v>
      </c>
      <c r="E26" s="114">
        <f>SUMIF('Квартальная отчетность'!$E$10:$BM$10,YEAR(E$8),'Квартальная отчетность'!$E30:$BM30)</f>
        <v>0</v>
      </c>
      <c r="F26" s="114">
        <f>SUMIF('Квартальная отчетность'!$E$10:$BM$10,YEAR(F$8),'Квартальная отчетность'!$E30:$BM30)</f>
        <v>0</v>
      </c>
      <c r="G26" s="114">
        <f>SUMIF('Квартальная отчетность'!$E$10:$BM$10,YEAR(G$8),'Квартальная отчетность'!$E30:$BM30)</f>
        <v>0</v>
      </c>
      <c r="H26" s="114">
        <f>SUMIF('Квартальная отчетность'!$E$10:$BM$10,YEAR(H$8),'Квартальная отчетность'!$E30:$BM30)</f>
        <v>0</v>
      </c>
      <c r="I26" s="114">
        <f>SUMIF('Квартальная отчетность'!$E$10:$BM$10,YEAR(I$8),'Квартальная отчетность'!$E30:$BM30)</f>
        <v>0</v>
      </c>
      <c r="J26" s="114">
        <f>SUMIF('Квартальная отчетность'!$E$10:$BM$10,YEAR(J$8),'Квартальная отчетность'!$E30:$BM30)</f>
        <v>0</v>
      </c>
      <c r="K26" s="114">
        <f>SUMIF('Квартальная отчетность'!$E$10:$BM$10,YEAR(K$8),'Квартальная отчетность'!$E30:$BM30)</f>
        <v>0</v>
      </c>
      <c r="L26" s="114">
        <f>SUMIF('Квартальная отчетность'!$E$10:$BM$10,YEAR(L$8),'Квартальная отчетность'!$E30:$BM30)</f>
        <v>0</v>
      </c>
      <c r="M26" s="114">
        <f>SUMIF('Квартальная отчетность'!$E$10:$BM$10,YEAR(M$8),'Квартальная отчетность'!$E30:$BM30)</f>
        <v>0</v>
      </c>
      <c r="N26" s="114">
        <f>SUMIF('Квартальная отчетность'!$E$10:$BM$10,YEAR(N$8),'Квартальная отчетность'!$E30:$BM30)</f>
        <v>0</v>
      </c>
      <c r="O26" s="114">
        <f>SUMIF('Квартальная отчетность'!$E$10:$BM$10,YEAR(O$8),'Квартальная отчетность'!$E30:$BM30)</f>
        <v>0</v>
      </c>
      <c r="P26" s="114">
        <f>SUMIF('Квартальная отчетность'!$E$10:$BM$10,YEAR(P$8),'Квартальная отчетность'!$E30:$BM30)</f>
        <v>0</v>
      </c>
      <c r="Q26" s="114">
        <f>SUMIF('Квартальная отчетность'!$E$10:$BM$10,YEAR(Q$8),'Квартальная отчетность'!$E30:$BM30)</f>
        <v>0</v>
      </c>
      <c r="R26" s="114">
        <f>SUMIF('Квартальная отчетность'!$E$10:$BM$10,YEAR(R$8),'Квартальная отчетность'!$E30:$BM30)</f>
        <v>0</v>
      </c>
      <c r="S26" s="114">
        <f>SUMIF('Квартальная отчетность'!$E$10:$BM$10,YEAR(S$8),'Квартальная отчетность'!$E30:$BM30)</f>
        <v>0</v>
      </c>
      <c r="T26" s="114">
        <f>SUMIF('Квартальная отчетность'!$E$10:$BM$10,YEAR(T$8),'Квартальная отчетность'!$E30:$BM30)</f>
        <v>0</v>
      </c>
    </row>
    <row r="27" spans="2:65" ht="15" customHeight="1">
      <c r="B27" s="259" t="s">
        <v>99</v>
      </c>
      <c r="C27" s="260" t="str">
        <f t="shared" si="4"/>
        <v>тыс. руб.</v>
      </c>
      <c r="D27" s="248">
        <f t="shared" ref="D27:E27" si="13">SUM(D25:D26)</f>
        <v>0</v>
      </c>
      <c r="E27" s="248">
        <f t="shared" si="13"/>
        <v>0</v>
      </c>
      <c r="F27" s="248">
        <f t="shared" ref="F27:T27" si="14">SUM(F25:F26)</f>
        <v>0</v>
      </c>
      <c r="G27" s="248">
        <f t="shared" si="14"/>
        <v>0</v>
      </c>
      <c r="H27" s="248">
        <f t="shared" si="14"/>
        <v>0</v>
      </c>
      <c r="I27" s="248">
        <f t="shared" si="14"/>
        <v>0</v>
      </c>
      <c r="J27" s="248">
        <f t="shared" si="14"/>
        <v>0</v>
      </c>
      <c r="K27" s="248">
        <f t="shared" si="14"/>
        <v>0</v>
      </c>
      <c r="L27" s="248">
        <f t="shared" si="14"/>
        <v>0</v>
      </c>
      <c r="M27" s="248">
        <f t="shared" si="14"/>
        <v>0</v>
      </c>
      <c r="N27" s="248">
        <f t="shared" si="14"/>
        <v>0</v>
      </c>
      <c r="O27" s="248">
        <f t="shared" si="14"/>
        <v>0</v>
      </c>
      <c r="P27" s="248">
        <f t="shared" si="14"/>
        <v>0</v>
      </c>
      <c r="Q27" s="248">
        <f t="shared" si="14"/>
        <v>0</v>
      </c>
      <c r="R27" s="248">
        <f t="shared" si="14"/>
        <v>0</v>
      </c>
      <c r="S27" s="248">
        <f t="shared" si="14"/>
        <v>0</v>
      </c>
      <c r="T27" s="248">
        <f t="shared" si="14"/>
        <v>0</v>
      </c>
    </row>
    <row r="28" spans="2:65" ht="15" customHeight="1">
      <c r="B28" s="259" t="s">
        <v>149</v>
      </c>
      <c r="C28" s="260" t="s">
        <v>100</v>
      </c>
      <c r="D28" s="254" t="str">
        <f>IF(D12=0,"-",D27/D12)</f>
        <v>-</v>
      </c>
      <c r="E28" s="254" t="str">
        <f>IF(E12=0,"-",E27/E12)</f>
        <v>-</v>
      </c>
      <c r="F28" s="254" t="str">
        <f t="shared" ref="F28:T28" si="15">IF(F12=0,"-",F27/F12)</f>
        <v>-</v>
      </c>
      <c r="G28" s="254" t="str">
        <f t="shared" si="15"/>
        <v>-</v>
      </c>
      <c r="H28" s="254" t="str">
        <f t="shared" si="15"/>
        <v>-</v>
      </c>
      <c r="I28" s="254" t="str">
        <f t="shared" si="15"/>
        <v>-</v>
      </c>
      <c r="J28" s="254" t="str">
        <f t="shared" si="15"/>
        <v>-</v>
      </c>
      <c r="K28" s="254" t="str">
        <f t="shared" si="15"/>
        <v>-</v>
      </c>
      <c r="L28" s="254" t="str">
        <f t="shared" si="15"/>
        <v>-</v>
      </c>
      <c r="M28" s="254" t="str">
        <f t="shared" si="15"/>
        <v>-</v>
      </c>
      <c r="N28" s="254" t="str">
        <f t="shared" si="15"/>
        <v>-</v>
      </c>
      <c r="O28" s="254" t="str">
        <f t="shared" si="15"/>
        <v>-</v>
      </c>
      <c r="P28" s="254" t="str">
        <f t="shared" si="15"/>
        <v>-</v>
      </c>
      <c r="Q28" s="254" t="str">
        <f t="shared" si="15"/>
        <v>-</v>
      </c>
      <c r="R28" s="254" t="str">
        <f t="shared" si="15"/>
        <v>-</v>
      </c>
      <c r="S28" s="254" t="str">
        <f t="shared" si="15"/>
        <v>-</v>
      </c>
      <c r="T28" s="254" t="str">
        <f t="shared" si="15"/>
        <v>-</v>
      </c>
      <c r="V28" s="215"/>
      <c r="W28" s="215"/>
      <c r="X28" s="215"/>
      <c r="Y28" s="215"/>
      <c r="Z28" s="215"/>
      <c r="AA28" s="215"/>
      <c r="AB28" s="215"/>
      <c r="AC28" s="215"/>
      <c r="AD28" s="215"/>
      <c r="AE28" s="215"/>
      <c r="AF28" s="215"/>
      <c r="AG28" s="215"/>
      <c r="AH28" s="215"/>
      <c r="AI28" s="215"/>
      <c r="AJ28" s="215"/>
      <c r="AK28" s="215"/>
      <c r="AL28" s="215"/>
      <c r="AM28" s="215"/>
      <c r="AN28" s="215"/>
      <c r="AO28" s="215"/>
      <c r="AP28" s="215"/>
      <c r="AQ28" s="215"/>
      <c r="AR28" s="215"/>
      <c r="AS28" s="215"/>
      <c r="AT28" s="215"/>
      <c r="AU28" s="215"/>
      <c r="AV28" s="215"/>
      <c r="AW28" s="215"/>
      <c r="AX28" s="215"/>
      <c r="AY28" s="215"/>
      <c r="AZ28" s="215"/>
      <c r="BA28" s="215"/>
      <c r="BB28" s="215"/>
      <c r="BC28" s="215"/>
      <c r="BD28" s="215"/>
      <c r="BE28" s="215"/>
      <c r="BF28" s="215"/>
      <c r="BG28" s="215"/>
      <c r="BH28" s="215"/>
      <c r="BI28" s="215"/>
      <c r="BJ28" s="215"/>
      <c r="BK28" s="215"/>
      <c r="BL28" s="215"/>
      <c r="BM28" s="216"/>
    </row>
    <row r="29" spans="2:65" ht="15" customHeight="1">
      <c r="B29" s="37"/>
      <c r="C29" s="37"/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</row>
    <row r="30" spans="2:65" ht="21">
      <c r="B30" s="118" t="s">
        <v>238</v>
      </c>
      <c r="C30" s="37"/>
      <c r="D30" s="40"/>
      <c r="E30" s="41"/>
      <c r="F30" s="41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5"/>
      <c r="V30" s="5"/>
      <c r="W30" s="5"/>
      <c r="X30" s="5"/>
      <c r="Y30" s="5"/>
      <c r="Z30" s="5"/>
    </row>
    <row r="31" spans="2:65" ht="15" customHeight="1">
      <c r="B31" s="123" t="s">
        <v>129</v>
      </c>
      <c r="C31" s="113" t="str">
        <f>Единица_измерения</f>
        <v>тыс. руб.</v>
      </c>
      <c r="D31" s="248">
        <f>SUM(E31:T31)</f>
        <v>0</v>
      </c>
      <c r="E31" s="114">
        <f>SUMIF('Квартальная отчетность'!$E$10:$BM$10,YEAR(E$8),'Квартальная отчетность'!$E37:$BM37)</f>
        <v>0</v>
      </c>
      <c r="F31" s="114">
        <f>SUMIF('Квартальная отчетность'!$E$10:$BM$10,YEAR(F$8),'Квартальная отчетность'!$E37:$BM37)</f>
        <v>0</v>
      </c>
      <c r="G31" s="114">
        <f>SUMIF('Квартальная отчетность'!$E$10:$BM$10,YEAR(G$8),'Квартальная отчетность'!$E37:$BM37)</f>
        <v>0</v>
      </c>
      <c r="H31" s="114">
        <f>SUMIF('Квартальная отчетность'!$E$10:$BM$10,YEAR(H$8),'Квартальная отчетность'!$E37:$BM37)</f>
        <v>0</v>
      </c>
      <c r="I31" s="114">
        <f>SUMIF('Квартальная отчетность'!$E$10:$BM$10,YEAR(I$8),'Квартальная отчетность'!$E37:$BM37)</f>
        <v>0</v>
      </c>
      <c r="J31" s="114">
        <f>SUMIF('Квартальная отчетность'!$E$10:$BM$10,YEAR(J$8),'Квартальная отчетность'!$E37:$BM37)</f>
        <v>0</v>
      </c>
      <c r="K31" s="114">
        <f>SUMIF('Квартальная отчетность'!$E$10:$BM$10,YEAR(K$8),'Квартальная отчетность'!$E37:$BM37)</f>
        <v>0</v>
      </c>
      <c r="L31" s="114">
        <f>SUMIF('Квартальная отчетность'!$E$10:$BM$10,YEAR(L$8),'Квартальная отчетность'!$E37:$BM37)</f>
        <v>0</v>
      </c>
      <c r="M31" s="114">
        <f>SUMIF('Квартальная отчетность'!$E$10:$BM$10,YEAR(M$8),'Квартальная отчетность'!$E37:$BM37)</f>
        <v>0</v>
      </c>
      <c r="N31" s="114">
        <f>SUMIF('Квартальная отчетность'!$E$10:$BM$10,YEAR(N$8),'Квартальная отчетность'!$E37:$BM37)</f>
        <v>0</v>
      </c>
      <c r="O31" s="114">
        <f>SUMIF('Квартальная отчетность'!$E$10:$BM$10,YEAR(O$8),'Квартальная отчетность'!$E37:$BM37)</f>
        <v>0</v>
      </c>
      <c r="P31" s="114">
        <f>SUMIF('Квартальная отчетность'!$E$10:$BM$10,YEAR(P$8),'Квартальная отчетность'!$E37:$BM37)</f>
        <v>0</v>
      </c>
      <c r="Q31" s="114">
        <f>SUMIF('Квартальная отчетность'!$E$10:$BM$10,YEAR(Q$8),'Квартальная отчетность'!$E37:$BM37)</f>
        <v>0</v>
      </c>
      <c r="R31" s="114">
        <f>SUMIF('Квартальная отчетность'!$E$10:$BM$10,YEAR(R$8),'Квартальная отчетность'!$E37:$BM37)</f>
        <v>0</v>
      </c>
      <c r="S31" s="114">
        <f>SUMIF('Квартальная отчетность'!$E$10:$BM$10,YEAR(S$8),'Квартальная отчетность'!$E37:$BM37)</f>
        <v>0</v>
      </c>
      <c r="T31" s="114">
        <f>SUMIF('Квартальная отчетность'!$E$10:$BM$10,YEAR(T$8),'Квартальная отчетность'!$E37:$BM37)</f>
        <v>0</v>
      </c>
    </row>
    <row r="32" spans="2:65" ht="15" customHeight="1">
      <c r="B32" s="123" t="s">
        <v>130</v>
      </c>
      <c r="C32" s="113" t="str">
        <f>Единица_измерения</f>
        <v>тыс. руб.</v>
      </c>
      <c r="D32" s="248">
        <f>SUM(E32:T32)</f>
        <v>0</v>
      </c>
      <c r="E32" s="114">
        <f>SUMIF('Квартальная отчетность'!$E$10:$BM$10,YEAR(E$8),'Квартальная отчетность'!$E38:$BM38)</f>
        <v>0</v>
      </c>
      <c r="F32" s="114">
        <f>SUMIF('Квартальная отчетность'!$E$10:$BM$10,YEAR(F$8),'Квартальная отчетность'!$E38:$BM38)</f>
        <v>0</v>
      </c>
      <c r="G32" s="114">
        <f>SUMIF('Квартальная отчетность'!$E$10:$BM$10,YEAR(G$8),'Квартальная отчетность'!$E38:$BM38)</f>
        <v>0</v>
      </c>
      <c r="H32" s="114">
        <f>SUMIF('Квартальная отчетность'!$E$10:$BM$10,YEAR(H$8),'Квартальная отчетность'!$E38:$BM38)</f>
        <v>0</v>
      </c>
      <c r="I32" s="114">
        <f>SUMIF('Квартальная отчетность'!$E$10:$BM$10,YEAR(I$8),'Квартальная отчетность'!$E38:$BM38)</f>
        <v>0</v>
      </c>
      <c r="J32" s="114">
        <f>SUMIF('Квартальная отчетность'!$E$10:$BM$10,YEAR(J$8),'Квартальная отчетность'!$E38:$BM38)</f>
        <v>0</v>
      </c>
      <c r="K32" s="114">
        <f>SUMIF('Квартальная отчетность'!$E$10:$BM$10,YEAR(K$8),'Квартальная отчетность'!$E38:$BM38)</f>
        <v>0</v>
      </c>
      <c r="L32" s="114">
        <f>SUMIF('Квартальная отчетность'!$E$10:$BM$10,YEAR(L$8),'Квартальная отчетность'!$E38:$BM38)</f>
        <v>0</v>
      </c>
      <c r="M32" s="114">
        <f>SUMIF('Квартальная отчетность'!$E$10:$BM$10,YEAR(M$8),'Квартальная отчетность'!$E38:$BM38)</f>
        <v>0</v>
      </c>
      <c r="N32" s="114">
        <f>SUMIF('Квартальная отчетность'!$E$10:$BM$10,YEAR(N$8),'Квартальная отчетность'!$E38:$BM38)</f>
        <v>0</v>
      </c>
      <c r="O32" s="114">
        <f>SUMIF('Квартальная отчетность'!$E$10:$BM$10,YEAR(O$8),'Квартальная отчетность'!$E38:$BM38)</f>
        <v>0</v>
      </c>
      <c r="P32" s="114">
        <f>SUMIF('Квартальная отчетность'!$E$10:$BM$10,YEAR(P$8),'Квартальная отчетность'!$E38:$BM38)</f>
        <v>0</v>
      </c>
      <c r="Q32" s="114">
        <f>SUMIF('Квартальная отчетность'!$E$10:$BM$10,YEAR(Q$8),'Квартальная отчетность'!$E38:$BM38)</f>
        <v>0</v>
      </c>
      <c r="R32" s="114">
        <f>SUMIF('Квартальная отчетность'!$E$10:$BM$10,YEAR(R$8),'Квартальная отчетность'!$E38:$BM38)</f>
        <v>0</v>
      </c>
      <c r="S32" s="114">
        <f>SUMIF('Квартальная отчетность'!$E$10:$BM$10,YEAR(S$8),'Квартальная отчетность'!$E38:$BM38)</f>
        <v>0</v>
      </c>
      <c r="T32" s="114">
        <f>SUMIF('Квартальная отчетность'!$E$10:$BM$10,YEAR(T$8),'Квартальная отчетность'!$E38:$BM38)</f>
        <v>0</v>
      </c>
    </row>
    <row r="33" spans="2:26" ht="15" customHeight="1">
      <c r="B33" s="123" t="s">
        <v>151</v>
      </c>
      <c r="C33" s="113" t="s">
        <v>100</v>
      </c>
      <c r="D33" s="217" t="str">
        <f>IF(D12=0,"-",D32/D12)</f>
        <v>-</v>
      </c>
      <c r="E33" s="217" t="str">
        <f>IF(E12=0,"-",E32/E12)</f>
        <v>-</v>
      </c>
      <c r="F33" s="217" t="str">
        <f t="shared" ref="F33:T33" si="16">IF(F12=0,"-",F32/F12)</f>
        <v>-</v>
      </c>
      <c r="G33" s="217" t="str">
        <f t="shared" si="16"/>
        <v>-</v>
      </c>
      <c r="H33" s="217" t="str">
        <f t="shared" si="16"/>
        <v>-</v>
      </c>
      <c r="I33" s="217" t="str">
        <f t="shared" si="16"/>
        <v>-</v>
      </c>
      <c r="J33" s="217" t="str">
        <f t="shared" si="16"/>
        <v>-</v>
      </c>
      <c r="K33" s="217" t="str">
        <f t="shared" si="16"/>
        <v>-</v>
      </c>
      <c r="L33" s="217" t="str">
        <f t="shared" si="16"/>
        <v>-</v>
      </c>
      <c r="M33" s="217" t="str">
        <f t="shared" si="16"/>
        <v>-</v>
      </c>
      <c r="N33" s="217" t="str">
        <f t="shared" si="16"/>
        <v>-</v>
      </c>
      <c r="O33" s="217" t="str">
        <f t="shared" si="16"/>
        <v>-</v>
      </c>
      <c r="P33" s="217" t="str">
        <f t="shared" si="16"/>
        <v>-</v>
      </c>
      <c r="Q33" s="217" t="str">
        <f t="shared" si="16"/>
        <v>-</v>
      </c>
      <c r="R33" s="217" t="str">
        <f t="shared" si="16"/>
        <v>-</v>
      </c>
      <c r="S33" s="217" t="str">
        <f t="shared" si="16"/>
        <v>-</v>
      </c>
      <c r="T33" s="217" t="str">
        <f t="shared" si="16"/>
        <v>-</v>
      </c>
    </row>
    <row r="34" spans="2:26" ht="15" customHeight="1">
      <c r="B34" s="37"/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</row>
    <row r="35" spans="2:26" ht="21">
      <c r="B35" s="40" t="s">
        <v>101</v>
      </c>
      <c r="C35" s="37"/>
      <c r="D35" s="40"/>
      <c r="E35" s="41"/>
      <c r="F35" s="41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5"/>
      <c r="V35" s="5"/>
      <c r="W35" s="5"/>
      <c r="X35" s="5"/>
      <c r="Y35" s="5"/>
      <c r="Z35" s="5"/>
    </row>
    <row r="36" spans="2:26" ht="21">
      <c r="B36" s="118" t="s">
        <v>102</v>
      </c>
      <c r="C36" s="37"/>
      <c r="D36" s="40"/>
      <c r="E36" s="41"/>
      <c r="F36" s="4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5"/>
      <c r="V36" s="5"/>
      <c r="W36" s="5"/>
      <c r="X36" s="5"/>
      <c r="Y36" s="5"/>
      <c r="Z36" s="5"/>
    </row>
    <row r="37" spans="2:26">
      <c r="B37" s="120" t="s">
        <v>195</v>
      </c>
      <c r="C37" s="121"/>
      <c r="D37" s="121"/>
      <c r="E37" s="41"/>
      <c r="F37" s="4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5"/>
      <c r="V37" s="5"/>
      <c r="W37" s="5"/>
      <c r="X37" s="5"/>
    </row>
    <row r="38" spans="2:26" ht="15" customHeight="1">
      <c r="B38" s="123" t="s">
        <v>197</v>
      </c>
      <c r="C38" s="113" t="s">
        <v>11</v>
      </c>
      <c r="D38" s="248">
        <f>SUM(E38:T38)</f>
        <v>0</v>
      </c>
      <c r="E38" s="114">
        <f>SUMIF('Квартальная отчетность'!$E$10:$BM$10,YEAR(E$8),'Квартальная отчетность'!$E44:$BM44)</f>
        <v>0</v>
      </c>
      <c r="F38" s="114">
        <f>SUMIF('Квартальная отчетность'!$E$10:$BM$10,YEAR(F$8),'Квартальная отчетность'!$E44:$BM44)</f>
        <v>0</v>
      </c>
      <c r="G38" s="114">
        <f>SUMIF('Квартальная отчетность'!$E$10:$BM$10,YEAR(G$8),'Квартальная отчетность'!$E44:$BM44)</f>
        <v>0</v>
      </c>
      <c r="H38" s="114">
        <f>SUMIF('Квартальная отчетность'!$E$10:$BM$10,YEAR(H$8),'Квартальная отчетность'!$E44:$BM44)</f>
        <v>0</v>
      </c>
      <c r="I38" s="114">
        <f>SUMIF('Квартальная отчетность'!$E$10:$BM$10,YEAR(I$8),'Квартальная отчетность'!$E44:$BM44)</f>
        <v>0</v>
      </c>
      <c r="J38" s="114">
        <f>SUMIF('Квартальная отчетность'!$E$10:$BM$10,YEAR(J$8),'Квартальная отчетность'!$E44:$BM44)</f>
        <v>0</v>
      </c>
      <c r="K38" s="114">
        <f>SUMIF('Квартальная отчетность'!$E$10:$BM$10,YEAR(K$8),'Квартальная отчетность'!$E44:$BM44)</f>
        <v>0</v>
      </c>
      <c r="L38" s="114">
        <f>SUMIF('Квартальная отчетность'!$E$10:$BM$10,YEAR(L$8),'Квартальная отчетность'!$E44:$BM44)</f>
        <v>0</v>
      </c>
      <c r="M38" s="114">
        <f>SUMIF('Квартальная отчетность'!$E$10:$BM$10,YEAR(M$8),'Квартальная отчетность'!$E44:$BM44)</f>
        <v>0</v>
      </c>
      <c r="N38" s="114">
        <f>SUMIF('Квартальная отчетность'!$E$10:$BM$10,YEAR(N$8),'Квартальная отчетность'!$E44:$BM44)</f>
        <v>0</v>
      </c>
      <c r="O38" s="114">
        <f>SUMIF('Квартальная отчетность'!$E$10:$BM$10,YEAR(O$8),'Квартальная отчетность'!$E44:$BM44)</f>
        <v>0</v>
      </c>
      <c r="P38" s="114">
        <f>SUMIF('Квартальная отчетность'!$E$10:$BM$10,YEAR(P$8),'Квартальная отчетность'!$E44:$BM44)</f>
        <v>0</v>
      </c>
      <c r="Q38" s="114">
        <f>SUMIF('Квартальная отчетность'!$E$10:$BM$10,YEAR(Q$8),'Квартальная отчетность'!$E44:$BM44)</f>
        <v>0</v>
      </c>
      <c r="R38" s="114">
        <f>SUMIF('Квартальная отчетность'!$E$10:$BM$10,YEAR(R$8),'Квартальная отчетность'!$E44:$BM44)</f>
        <v>0</v>
      </c>
      <c r="S38" s="114">
        <f>SUMIF('Квартальная отчетность'!$E$10:$BM$10,YEAR(S$8),'Квартальная отчетность'!$E44:$BM44)</f>
        <v>0</v>
      </c>
      <c r="T38" s="114">
        <f>SUMIF('Квартальная отчетность'!$E$10:$BM$10,YEAR(T$8),'Квартальная отчетность'!$E44:$BM44)</f>
        <v>0</v>
      </c>
    </row>
    <row r="39" spans="2:26" ht="15" customHeight="1">
      <c r="B39" s="112" t="s">
        <v>198</v>
      </c>
      <c r="C39" s="113" t="s">
        <v>11</v>
      </c>
      <c r="D39" s="248">
        <f>SUM(E39:T39)</f>
        <v>0</v>
      </c>
      <c r="E39" s="114">
        <f>SUMIF('Квартальная отчетность'!$E$10:$BM$10,YEAR(E$8),'Квартальная отчетность'!$E45:$BM45)</f>
        <v>0</v>
      </c>
      <c r="F39" s="114">
        <f>SUMIF('Квартальная отчетность'!$E$10:$BM$10,YEAR(F$8),'Квартальная отчетность'!$E45:$BM45)</f>
        <v>0</v>
      </c>
      <c r="G39" s="114">
        <f>SUMIF('Квартальная отчетность'!$E$10:$BM$10,YEAR(G$8),'Квартальная отчетность'!$E45:$BM45)</f>
        <v>0</v>
      </c>
      <c r="H39" s="114">
        <f>SUMIF('Квартальная отчетность'!$E$10:$BM$10,YEAR(H$8),'Квартальная отчетность'!$E45:$BM45)</f>
        <v>0</v>
      </c>
      <c r="I39" s="114">
        <f>SUMIF('Квартальная отчетность'!$E$10:$BM$10,YEAR(I$8),'Квартальная отчетность'!$E45:$BM45)</f>
        <v>0</v>
      </c>
      <c r="J39" s="114">
        <f>SUMIF('Квартальная отчетность'!$E$10:$BM$10,YEAR(J$8),'Квартальная отчетность'!$E45:$BM45)</f>
        <v>0</v>
      </c>
      <c r="K39" s="114">
        <f>SUMIF('Квартальная отчетность'!$E$10:$BM$10,YEAR(K$8),'Квартальная отчетность'!$E45:$BM45)</f>
        <v>0</v>
      </c>
      <c r="L39" s="114">
        <f>SUMIF('Квартальная отчетность'!$E$10:$BM$10,YEAR(L$8),'Квартальная отчетность'!$E45:$BM45)</f>
        <v>0</v>
      </c>
      <c r="M39" s="114">
        <f>SUMIF('Квартальная отчетность'!$E$10:$BM$10,YEAR(M$8),'Квартальная отчетность'!$E45:$BM45)</f>
        <v>0</v>
      </c>
      <c r="N39" s="114">
        <f>SUMIF('Квартальная отчетность'!$E$10:$BM$10,YEAR(N$8),'Квартальная отчетность'!$E45:$BM45)</f>
        <v>0</v>
      </c>
      <c r="O39" s="114">
        <f>SUMIF('Квартальная отчетность'!$E$10:$BM$10,YEAR(O$8),'Квартальная отчетность'!$E45:$BM45)</f>
        <v>0</v>
      </c>
      <c r="P39" s="114">
        <f>SUMIF('Квартальная отчетность'!$E$10:$BM$10,YEAR(P$8),'Квартальная отчетность'!$E45:$BM45)</f>
        <v>0</v>
      </c>
      <c r="Q39" s="114">
        <f>SUMIF('Квартальная отчетность'!$E$10:$BM$10,YEAR(Q$8),'Квартальная отчетность'!$E45:$BM45)</f>
        <v>0</v>
      </c>
      <c r="R39" s="114">
        <f>SUMIF('Квартальная отчетность'!$E$10:$BM$10,YEAR(R$8),'Квартальная отчетность'!$E45:$BM45)</f>
        <v>0</v>
      </c>
      <c r="S39" s="114">
        <f>SUMIF('Квартальная отчетность'!$E$10:$BM$10,YEAR(S$8),'Квартальная отчетность'!$E45:$BM45)</f>
        <v>0</v>
      </c>
      <c r="T39" s="114">
        <f>SUMIF('Квартальная отчетность'!$E$10:$BM$10,YEAR(T$8),'Квартальная отчетность'!$E45:$BM45)</f>
        <v>0</v>
      </c>
    </row>
    <row r="40" spans="2:26" ht="15" customHeight="1">
      <c r="B40" s="112" t="s">
        <v>199</v>
      </c>
      <c r="C40" s="113" t="s">
        <v>11</v>
      </c>
      <c r="D40" s="248">
        <f>SUM(E40:T40)</f>
        <v>0</v>
      </c>
      <c r="E40" s="114">
        <f>SUMIF('Квартальная отчетность'!$E$10:$BM$10,YEAR(E$8),'Квартальная отчетность'!$E46:$BM46)</f>
        <v>0</v>
      </c>
      <c r="F40" s="114">
        <f>SUMIF('Квартальная отчетность'!$E$10:$BM$10,YEAR(F$8),'Квартальная отчетность'!$E46:$BM46)</f>
        <v>0</v>
      </c>
      <c r="G40" s="114">
        <f>SUMIF('Квартальная отчетность'!$E$10:$BM$10,YEAR(G$8),'Квартальная отчетность'!$E46:$BM46)</f>
        <v>0</v>
      </c>
      <c r="H40" s="114">
        <f>SUMIF('Квартальная отчетность'!$E$10:$BM$10,YEAR(H$8),'Квартальная отчетность'!$E46:$BM46)</f>
        <v>0</v>
      </c>
      <c r="I40" s="114">
        <f>SUMIF('Квартальная отчетность'!$E$10:$BM$10,YEAR(I$8),'Квартальная отчетность'!$E46:$BM46)</f>
        <v>0</v>
      </c>
      <c r="J40" s="114">
        <f>SUMIF('Квартальная отчетность'!$E$10:$BM$10,YEAR(J$8),'Квартальная отчетность'!$E46:$BM46)</f>
        <v>0</v>
      </c>
      <c r="K40" s="114">
        <f>SUMIF('Квартальная отчетность'!$E$10:$BM$10,YEAR(K$8),'Квартальная отчетность'!$E46:$BM46)</f>
        <v>0</v>
      </c>
      <c r="L40" s="114">
        <f>SUMIF('Квартальная отчетность'!$E$10:$BM$10,YEAR(L$8),'Квартальная отчетность'!$E46:$BM46)</f>
        <v>0</v>
      </c>
      <c r="M40" s="114">
        <f>SUMIF('Квартальная отчетность'!$E$10:$BM$10,YEAR(M$8),'Квартальная отчетность'!$E46:$BM46)</f>
        <v>0</v>
      </c>
      <c r="N40" s="114">
        <f>SUMIF('Квартальная отчетность'!$E$10:$BM$10,YEAR(N$8),'Квартальная отчетность'!$E46:$BM46)</f>
        <v>0</v>
      </c>
      <c r="O40" s="114">
        <f>SUMIF('Квартальная отчетность'!$E$10:$BM$10,YEAR(O$8),'Квартальная отчетность'!$E46:$BM46)</f>
        <v>0</v>
      </c>
      <c r="P40" s="114">
        <f>SUMIF('Квартальная отчетность'!$E$10:$BM$10,YEAR(P$8),'Квартальная отчетность'!$E46:$BM46)</f>
        <v>0</v>
      </c>
      <c r="Q40" s="114">
        <f>SUMIF('Квартальная отчетность'!$E$10:$BM$10,YEAR(Q$8),'Квартальная отчетность'!$E46:$BM46)</f>
        <v>0</v>
      </c>
      <c r="R40" s="114">
        <f>SUMIF('Квартальная отчетность'!$E$10:$BM$10,YEAR(R$8),'Квартальная отчетность'!$E46:$BM46)</f>
        <v>0</v>
      </c>
      <c r="S40" s="114">
        <f>SUMIF('Квартальная отчетность'!$E$10:$BM$10,YEAR(S$8),'Квартальная отчетность'!$E46:$BM46)</f>
        <v>0</v>
      </c>
      <c r="T40" s="114">
        <f>SUMIF('Квартальная отчетность'!$E$10:$BM$10,YEAR(T$8),'Квартальная отчетность'!$E46:$BM46)</f>
        <v>0</v>
      </c>
    </row>
    <row r="41" spans="2:26" ht="15" customHeight="1">
      <c r="B41" s="112" t="s">
        <v>196</v>
      </c>
      <c r="C41" s="113" t="s">
        <v>11</v>
      </c>
      <c r="D41" s="248">
        <f>SUM(E41:T41)</f>
        <v>0</v>
      </c>
      <c r="E41" s="114">
        <f>SUMIF('Квартальная отчетность'!$E$10:$BM$10,YEAR(E$8),'Квартальная отчетность'!$E47:$BM47)</f>
        <v>0</v>
      </c>
      <c r="F41" s="114">
        <f>SUMIF('Квартальная отчетность'!$E$10:$BM$10,YEAR(F$8),'Квартальная отчетность'!$E47:$BM47)</f>
        <v>0</v>
      </c>
      <c r="G41" s="114">
        <f>SUMIF('Квартальная отчетность'!$E$10:$BM$10,YEAR(G$8),'Квартальная отчетность'!$E47:$BM47)</f>
        <v>0</v>
      </c>
      <c r="H41" s="114">
        <f>SUMIF('Квартальная отчетность'!$E$10:$BM$10,YEAR(H$8),'Квартальная отчетность'!$E47:$BM47)</f>
        <v>0</v>
      </c>
      <c r="I41" s="114">
        <f>SUMIF('Квартальная отчетность'!$E$10:$BM$10,YEAR(I$8),'Квартальная отчетность'!$E47:$BM47)</f>
        <v>0</v>
      </c>
      <c r="J41" s="114">
        <f>SUMIF('Квартальная отчетность'!$E$10:$BM$10,YEAR(J$8),'Квартальная отчетность'!$E47:$BM47)</f>
        <v>0</v>
      </c>
      <c r="K41" s="114">
        <f>SUMIF('Квартальная отчетность'!$E$10:$BM$10,YEAR(K$8),'Квартальная отчетность'!$E47:$BM47)</f>
        <v>0</v>
      </c>
      <c r="L41" s="114">
        <f>SUMIF('Квартальная отчетность'!$E$10:$BM$10,YEAR(L$8),'Квартальная отчетность'!$E47:$BM47)</f>
        <v>0</v>
      </c>
      <c r="M41" s="114">
        <f>SUMIF('Квартальная отчетность'!$E$10:$BM$10,YEAR(M$8),'Квартальная отчетность'!$E47:$BM47)</f>
        <v>0</v>
      </c>
      <c r="N41" s="114">
        <f>SUMIF('Квартальная отчетность'!$E$10:$BM$10,YEAR(N$8),'Квартальная отчетность'!$E47:$BM47)</f>
        <v>0</v>
      </c>
      <c r="O41" s="114">
        <f>SUMIF('Квартальная отчетность'!$E$10:$BM$10,YEAR(O$8),'Квартальная отчетность'!$E47:$BM47)</f>
        <v>0</v>
      </c>
      <c r="P41" s="114">
        <f>SUMIF('Квартальная отчетность'!$E$10:$BM$10,YEAR(P$8),'Квартальная отчетность'!$E47:$BM47)</f>
        <v>0</v>
      </c>
      <c r="Q41" s="114">
        <f>SUMIF('Квартальная отчетность'!$E$10:$BM$10,YEAR(Q$8),'Квартальная отчетность'!$E47:$BM47)</f>
        <v>0</v>
      </c>
      <c r="R41" s="114">
        <f>SUMIF('Квартальная отчетность'!$E$10:$BM$10,YEAR(R$8),'Квартальная отчетность'!$E47:$BM47)</f>
        <v>0</v>
      </c>
      <c r="S41" s="114">
        <f>SUMIF('Квартальная отчетность'!$E$10:$BM$10,YEAR(S$8),'Квартальная отчетность'!$E47:$BM47)</f>
        <v>0</v>
      </c>
      <c r="T41" s="114">
        <f>SUMIF('Квартальная отчетность'!$E$10:$BM$10,YEAR(T$8),'Квартальная отчетность'!$E47:$BM47)</f>
        <v>0</v>
      </c>
    </row>
    <row r="42" spans="2:26" ht="15" customHeight="1">
      <c r="B42" s="259" t="s">
        <v>12</v>
      </c>
      <c r="C42" s="260" t="s">
        <v>11</v>
      </c>
      <c r="D42" s="261">
        <f t="shared" ref="D42:T42" si="17">SUM(D38:D41)</f>
        <v>0</v>
      </c>
      <c r="E42" s="248">
        <f t="shared" si="17"/>
        <v>0</v>
      </c>
      <c r="F42" s="248">
        <f t="shared" si="17"/>
        <v>0</v>
      </c>
      <c r="G42" s="248">
        <f t="shared" si="17"/>
        <v>0</v>
      </c>
      <c r="H42" s="248">
        <f t="shared" si="17"/>
        <v>0</v>
      </c>
      <c r="I42" s="248">
        <f t="shared" si="17"/>
        <v>0</v>
      </c>
      <c r="J42" s="248">
        <f t="shared" si="17"/>
        <v>0</v>
      </c>
      <c r="K42" s="248">
        <f t="shared" si="17"/>
        <v>0</v>
      </c>
      <c r="L42" s="248">
        <f t="shared" si="17"/>
        <v>0</v>
      </c>
      <c r="M42" s="248">
        <f t="shared" si="17"/>
        <v>0</v>
      </c>
      <c r="N42" s="248">
        <f t="shared" si="17"/>
        <v>0</v>
      </c>
      <c r="O42" s="248">
        <f t="shared" si="17"/>
        <v>0</v>
      </c>
      <c r="P42" s="248">
        <f t="shared" si="17"/>
        <v>0</v>
      </c>
      <c r="Q42" s="248">
        <f t="shared" si="17"/>
        <v>0</v>
      </c>
      <c r="R42" s="248">
        <f t="shared" si="17"/>
        <v>0</v>
      </c>
      <c r="S42" s="248">
        <f t="shared" si="17"/>
        <v>0</v>
      </c>
      <c r="T42" s="248">
        <f t="shared" si="17"/>
        <v>0</v>
      </c>
    </row>
    <row r="43" spans="2:26" ht="15" customHeight="1">
      <c r="B43" s="37"/>
      <c r="C43" s="37"/>
      <c r="D43" s="37"/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37"/>
    </row>
    <row r="44" spans="2:26">
      <c r="B44" s="120" t="s">
        <v>200</v>
      </c>
      <c r="C44" s="121"/>
      <c r="D44" s="121"/>
      <c r="E44" s="41"/>
      <c r="F44" s="4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5"/>
      <c r="V44" s="5"/>
      <c r="W44" s="5"/>
      <c r="X44" s="5"/>
    </row>
    <row r="45" spans="2:26" ht="15" customHeight="1">
      <c r="B45" s="112" t="s">
        <v>215</v>
      </c>
      <c r="C45" s="113" t="s">
        <v>11</v>
      </c>
      <c r="D45" s="248">
        <f>SUM(E45:T45)</f>
        <v>0</v>
      </c>
      <c r="E45" s="114">
        <f>SUMIF('Квартальная отчетность'!$E$10:$AG$10,YEAR(E$8),'Квартальная отчетность'!$E51:$AG51)</f>
        <v>0</v>
      </c>
      <c r="F45" s="114">
        <f>SUMIF('Квартальная отчетность'!$E$10:$AG$10,YEAR(F$8),'Квартальная отчетность'!$E51:$AG51)</f>
        <v>0</v>
      </c>
      <c r="G45" s="114">
        <f>SUMIF('Квартальная отчетность'!$E$10:$BM$10,YEAR(G$8),'Квартальная отчетность'!$E51:$BM51)</f>
        <v>0</v>
      </c>
      <c r="H45" s="114">
        <f>SUMIF('Квартальная отчетность'!$E$10:$BM$10,YEAR(H$8),'Квартальная отчетность'!$E51:$BM51)</f>
        <v>0</v>
      </c>
      <c r="I45" s="114">
        <f>SUMIF('Квартальная отчетность'!$E$10:$BM$10,YEAR(I$8),'Квартальная отчетность'!$E51:$BM51)</f>
        <v>0</v>
      </c>
      <c r="J45" s="114">
        <f>SUMIF('Квартальная отчетность'!$E$10:$BM$10,YEAR(J$8),'Квартальная отчетность'!$E51:$BM51)</f>
        <v>0</v>
      </c>
      <c r="K45" s="114">
        <f>SUMIF('Квартальная отчетность'!$E$10:$BM$10,YEAR(K$8),'Квартальная отчетность'!$E51:$BM51)</f>
        <v>0</v>
      </c>
      <c r="L45" s="114">
        <f>SUMIF('Квартальная отчетность'!$E$10:$BM$10,YEAR(L$8),'Квартальная отчетность'!$E51:$BM51)</f>
        <v>0</v>
      </c>
      <c r="M45" s="114">
        <f>SUMIF('Квартальная отчетность'!$E$10:$BM$10,YEAR(M$8),'Квартальная отчетность'!$E51:$BM51)</f>
        <v>0</v>
      </c>
      <c r="N45" s="114">
        <f>SUMIF('Квартальная отчетность'!$E$10:$BM$10,YEAR(N$8),'Квартальная отчетность'!$E51:$BM51)</f>
        <v>0</v>
      </c>
      <c r="O45" s="114">
        <f>SUMIF('Квартальная отчетность'!$E$10:$BM$10,YEAR(O$8),'Квартальная отчетность'!$E51:$BM51)</f>
        <v>0</v>
      </c>
      <c r="P45" s="114">
        <f>SUMIF('Квартальная отчетность'!$E$10:$BM$10,YEAR(P$8),'Квартальная отчетность'!$E51:$BM51)</f>
        <v>0</v>
      </c>
      <c r="Q45" s="114">
        <f>SUMIF('Квартальная отчетность'!$E$10:$BM$10,YEAR(Q$8),'Квартальная отчетность'!$E51:$BM51)</f>
        <v>0</v>
      </c>
      <c r="R45" s="114">
        <f>SUMIF('Квартальная отчетность'!$E$10:$BM$10,YEAR(R$8),'Квартальная отчетность'!$E51:$BM51)</f>
        <v>0</v>
      </c>
      <c r="S45" s="114">
        <f>SUMIF('Квартальная отчетность'!$E$10:$BM$10,YEAR(S$8),'Квартальная отчетность'!$E51:$BM51)</f>
        <v>0</v>
      </c>
      <c r="T45" s="114">
        <f>SUMIF('Квартальная отчетность'!$E$10:$BM$10,YEAR(T$8),'Квартальная отчетность'!$E51:$BM51)</f>
        <v>0</v>
      </c>
    </row>
    <row r="46" spans="2:26" ht="15" customHeight="1">
      <c r="B46" s="112" t="s">
        <v>201</v>
      </c>
      <c r="C46" s="113" t="s">
        <v>11</v>
      </c>
      <c r="D46" s="248">
        <f>SUM(E46:T46)</f>
        <v>0</v>
      </c>
      <c r="E46" s="114">
        <f>SUMIF('Квартальная отчетность'!$E$10:$AG$10,YEAR(E$8),'Квартальная отчетность'!$E52:$AG52)</f>
        <v>0</v>
      </c>
      <c r="F46" s="114">
        <f>SUMIF('Квартальная отчетность'!$E$10:$AG$10,YEAR(F$8),'Квартальная отчетность'!$E52:$AG52)</f>
        <v>0</v>
      </c>
      <c r="G46" s="114">
        <f>SUMIF('Квартальная отчетность'!$E$10:$BM$10,YEAR(G$8),'Квартальная отчетность'!$E52:$BM52)</f>
        <v>0</v>
      </c>
      <c r="H46" s="114">
        <f>SUMIF('Квартальная отчетность'!$E$10:$BM$10,YEAR(H$8),'Квартальная отчетность'!$E52:$BM52)</f>
        <v>0</v>
      </c>
      <c r="I46" s="114">
        <f>SUMIF('Квартальная отчетность'!$E$10:$BM$10,YEAR(I$8),'Квартальная отчетность'!$E52:$BM52)</f>
        <v>0</v>
      </c>
      <c r="J46" s="114">
        <f>SUMIF('Квартальная отчетность'!$E$10:$BM$10,YEAR(J$8),'Квартальная отчетность'!$E52:$BM52)</f>
        <v>0</v>
      </c>
      <c r="K46" s="114">
        <f>SUMIF('Квартальная отчетность'!$E$10:$BM$10,YEAR(K$8),'Квартальная отчетность'!$E52:$BM52)</f>
        <v>0</v>
      </c>
      <c r="L46" s="114">
        <f>SUMIF('Квартальная отчетность'!$E$10:$BM$10,YEAR(L$8),'Квартальная отчетность'!$E52:$BM52)</f>
        <v>0</v>
      </c>
      <c r="M46" s="114">
        <f>SUMIF('Квартальная отчетность'!$E$10:$BM$10,YEAR(M$8),'Квартальная отчетность'!$E52:$BM52)</f>
        <v>0</v>
      </c>
      <c r="N46" s="114">
        <f>SUMIF('Квартальная отчетность'!$E$10:$BM$10,YEAR(N$8),'Квартальная отчетность'!$E52:$BM52)</f>
        <v>0</v>
      </c>
      <c r="O46" s="114">
        <f>SUMIF('Квартальная отчетность'!$E$10:$BM$10,YEAR(O$8),'Квартальная отчетность'!$E52:$BM52)</f>
        <v>0</v>
      </c>
      <c r="P46" s="114">
        <f>SUMIF('Квартальная отчетность'!$E$10:$BM$10,YEAR(P$8),'Квартальная отчетность'!$E52:$BM52)</f>
        <v>0</v>
      </c>
      <c r="Q46" s="114">
        <f>SUMIF('Квартальная отчетность'!$E$10:$BM$10,YEAR(Q$8),'Квартальная отчетность'!$E52:$BM52)</f>
        <v>0</v>
      </c>
      <c r="R46" s="114">
        <f>SUMIF('Квартальная отчетность'!$E$10:$BM$10,YEAR(R$8),'Квартальная отчетность'!$E52:$BM52)</f>
        <v>0</v>
      </c>
      <c r="S46" s="114">
        <f>SUMIF('Квартальная отчетность'!$E$10:$BM$10,YEAR(S$8),'Квартальная отчетность'!$E52:$BM52)</f>
        <v>0</v>
      </c>
      <c r="T46" s="114">
        <f>SUMIF('Квартальная отчетность'!$E$10:$BM$10,YEAR(T$8),'Квартальная отчетность'!$E52:$BM52)</f>
        <v>0</v>
      </c>
    </row>
    <row r="47" spans="2:26" ht="15" customHeight="1">
      <c r="B47" s="112" t="s">
        <v>202</v>
      </c>
      <c r="C47" s="113" t="s">
        <v>11</v>
      </c>
      <c r="D47" s="248">
        <f>SUM(E47:T47)</f>
        <v>0</v>
      </c>
      <c r="E47" s="114">
        <f>SUMIF('Квартальная отчетность'!$E$10:$AG$10,YEAR(E$8),'Квартальная отчетность'!$E53:$AG53)</f>
        <v>0</v>
      </c>
      <c r="F47" s="114">
        <f>SUMIF('Квартальная отчетность'!$E$10:$AG$10,YEAR(F$8),'Квартальная отчетность'!$E53:$AG53)</f>
        <v>0</v>
      </c>
      <c r="G47" s="114">
        <f>SUMIF('Квартальная отчетность'!$E$10:$BM$10,YEAR(G$8),'Квартальная отчетность'!$E53:$BM53)</f>
        <v>0</v>
      </c>
      <c r="H47" s="114">
        <f>SUMIF('Квартальная отчетность'!$E$10:$BM$10,YEAR(H$8),'Квартальная отчетность'!$E53:$BM53)</f>
        <v>0</v>
      </c>
      <c r="I47" s="114">
        <f>SUMIF('Квартальная отчетность'!$E$10:$BM$10,YEAR(I$8),'Квартальная отчетность'!$E53:$BM53)</f>
        <v>0</v>
      </c>
      <c r="J47" s="114">
        <f>SUMIF('Квартальная отчетность'!$E$10:$BM$10,YEAR(J$8),'Квартальная отчетность'!$E53:$BM53)</f>
        <v>0</v>
      </c>
      <c r="K47" s="114">
        <f>SUMIF('Квартальная отчетность'!$E$10:$BM$10,YEAR(K$8),'Квартальная отчетность'!$E53:$BM53)</f>
        <v>0</v>
      </c>
      <c r="L47" s="114">
        <f>SUMIF('Квартальная отчетность'!$E$10:$BM$10,YEAR(L$8),'Квартальная отчетность'!$E53:$BM53)</f>
        <v>0</v>
      </c>
      <c r="M47" s="114">
        <f>SUMIF('Квартальная отчетность'!$E$10:$BM$10,YEAR(M$8),'Квартальная отчетность'!$E53:$BM53)</f>
        <v>0</v>
      </c>
      <c r="N47" s="114">
        <f>SUMIF('Квартальная отчетность'!$E$10:$BM$10,YEAR(N$8),'Квартальная отчетность'!$E53:$BM53)</f>
        <v>0</v>
      </c>
      <c r="O47" s="114">
        <f>SUMIF('Квартальная отчетность'!$E$10:$BM$10,YEAR(O$8),'Квартальная отчетность'!$E53:$BM53)</f>
        <v>0</v>
      </c>
      <c r="P47" s="114">
        <f>SUMIF('Квартальная отчетность'!$E$10:$BM$10,YEAR(P$8),'Квартальная отчетность'!$E53:$BM53)</f>
        <v>0</v>
      </c>
      <c r="Q47" s="114">
        <f>SUMIF('Квартальная отчетность'!$E$10:$BM$10,YEAR(Q$8),'Квартальная отчетность'!$E53:$BM53)</f>
        <v>0</v>
      </c>
      <c r="R47" s="114">
        <f>SUMIF('Квартальная отчетность'!$E$10:$BM$10,YEAR(R$8),'Квартальная отчетность'!$E53:$BM53)</f>
        <v>0</v>
      </c>
      <c r="S47" s="114">
        <f>SUMIF('Квартальная отчетность'!$E$10:$BM$10,YEAR(S$8),'Квартальная отчетность'!$E53:$BM53)</f>
        <v>0</v>
      </c>
      <c r="T47" s="114">
        <f>SUMIF('Квартальная отчетность'!$E$10:$BM$10,YEAR(T$8),'Квартальная отчетность'!$E53:$BM53)</f>
        <v>0</v>
      </c>
    </row>
    <row r="48" spans="2:26" ht="15" customHeight="1">
      <c r="B48" s="112" t="s">
        <v>104</v>
      </c>
      <c r="C48" s="113" t="s">
        <v>11</v>
      </c>
      <c r="D48" s="248">
        <f>SUM(E48:T48)</f>
        <v>0</v>
      </c>
      <c r="E48" s="114">
        <f>SUMIF('Квартальная отчетность'!$E$10:$AG$10,YEAR(E$8),'Квартальная отчетность'!$E54:$AG54)</f>
        <v>0</v>
      </c>
      <c r="F48" s="114">
        <f>SUMIF('Квартальная отчетность'!$E$10:$AG$10,YEAR(F$8),'Квартальная отчетность'!$E54:$AG54)</f>
        <v>0</v>
      </c>
      <c r="G48" s="114">
        <f>SUMIF('Квартальная отчетность'!$E$10:$BM$10,YEAR(G$8),'Квартальная отчетность'!$E54:$BM54)</f>
        <v>0</v>
      </c>
      <c r="H48" s="114">
        <f>SUMIF('Квартальная отчетность'!$E$10:$BM$10,YEAR(H$8),'Квартальная отчетность'!$E54:$BM54)</f>
        <v>0</v>
      </c>
      <c r="I48" s="114">
        <f>SUMIF('Квартальная отчетность'!$E$10:$BM$10,YEAR(I$8),'Квартальная отчетность'!$E54:$BM54)</f>
        <v>0</v>
      </c>
      <c r="J48" s="114">
        <f>SUMIF('Квартальная отчетность'!$E$10:$BM$10,YEAR(J$8),'Квартальная отчетность'!$E54:$BM54)</f>
        <v>0</v>
      </c>
      <c r="K48" s="114">
        <f>SUMIF('Квартальная отчетность'!$E$10:$BM$10,YEAR(K$8),'Квартальная отчетность'!$E54:$BM54)</f>
        <v>0</v>
      </c>
      <c r="L48" s="114">
        <f>SUMIF('Квартальная отчетность'!$E$10:$BM$10,YEAR(L$8),'Квартальная отчетность'!$E54:$BM54)</f>
        <v>0</v>
      </c>
      <c r="M48" s="114">
        <f>SUMIF('Квартальная отчетность'!$E$10:$BM$10,YEAR(M$8),'Квартальная отчетность'!$E54:$BM54)</f>
        <v>0</v>
      </c>
      <c r="N48" s="114">
        <f>SUMIF('Квартальная отчетность'!$E$10:$BM$10,YEAR(N$8),'Квартальная отчетность'!$E54:$BM54)</f>
        <v>0</v>
      </c>
      <c r="O48" s="114">
        <f>SUMIF('Квартальная отчетность'!$E$10:$BM$10,YEAR(O$8),'Квартальная отчетность'!$E54:$BM54)</f>
        <v>0</v>
      </c>
      <c r="P48" s="114">
        <f>SUMIF('Квартальная отчетность'!$E$10:$BM$10,YEAR(P$8),'Квартальная отчетность'!$E54:$BM54)</f>
        <v>0</v>
      </c>
      <c r="Q48" s="114">
        <f>SUMIF('Квартальная отчетность'!$E$10:$BM$10,YEAR(Q$8),'Квартальная отчетность'!$E54:$BM54)</f>
        <v>0</v>
      </c>
      <c r="R48" s="114">
        <f>SUMIF('Квартальная отчетность'!$E$10:$BM$10,YEAR(R$8),'Квартальная отчетность'!$E54:$BM54)</f>
        <v>0</v>
      </c>
      <c r="S48" s="114">
        <f>SUMIF('Квартальная отчетность'!$E$10:$BM$10,YEAR(S$8),'Квартальная отчетность'!$E54:$BM54)</f>
        <v>0</v>
      </c>
      <c r="T48" s="114">
        <f>SUMIF('Квартальная отчетность'!$E$10:$BM$10,YEAR(T$8),'Квартальная отчетность'!$E54:$BM54)</f>
        <v>0</v>
      </c>
    </row>
    <row r="49" spans="2:26" ht="15" customHeight="1">
      <c r="B49" s="112" t="s">
        <v>203</v>
      </c>
      <c r="C49" s="113" t="s">
        <v>11</v>
      </c>
      <c r="D49" s="248">
        <f>SUM(E49:T49)</f>
        <v>0</v>
      </c>
      <c r="E49" s="114">
        <f>SUMIF('Квартальная отчетность'!$E$10:$AG$10,YEAR(E$8),'Квартальная отчетность'!$E55:$AG55)</f>
        <v>0</v>
      </c>
      <c r="F49" s="114">
        <f>SUMIF('Квартальная отчетность'!$E$10:$AG$10,YEAR(F$8),'Квартальная отчетность'!$E55:$AG55)</f>
        <v>0</v>
      </c>
      <c r="G49" s="114">
        <f>SUMIF('Квартальная отчетность'!$E$10:$BM$10,YEAR(G$8),'Квартальная отчетность'!$E55:$BM55)</f>
        <v>0</v>
      </c>
      <c r="H49" s="114">
        <f>SUMIF('Квартальная отчетность'!$E$10:$BM$10,YEAR(H$8),'Квартальная отчетность'!$E55:$BM55)</f>
        <v>0</v>
      </c>
      <c r="I49" s="114">
        <f>SUMIF('Квартальная отчетность'!$E$10:$BM$10,YEAR(I$8),'Квартальная отчетность'!$E55:$BM55)</f>
        <v>0</v>
      </c>
      <c r="J49" s="114">
        <f>SUMIF('Квартальная отчетность'!$E$10:$BM$10,YEAR(J$8),'Квартальная отчетность'!$E55:$BM55)</f>
        <v>0</v>
      </c>
      <c r="K49" s="114">
        <f>SUMIF('Квартальная отчетность'!$E$10:$BM$10,YEAR(K$8),'Квартальная отчетность'!$E55:$BM55)</f>
        <v>0</v>
      </c>
      <c r="L49" s="114">
        <f>SUMIF('Квартальная отчетность'!$E$10:$BM$10,YEAR(L$8),'Квартальная отчетность'!$E55:$BM55)</f>
        <v>0</v>
      </c>
      <c r="M49" s="114">
        <f>SUMIF('Квартальная отчетность'!$E$10:$BM$10,YEAR(M$8),'Квартальная отчетность'!$E55:$BM55)</f>
        <v>0</v>
      </c>
      <c r="N49" s="114">
        <f>SUMIF('Квартальная отчетность'!$E$10:$BM$10,YEAR(N$8),'Квартальная отчетность'!$E55:$BM55)</f>
        <v>0</v>
      </c>
      <c r="O49" s="114">
        <f>SUMIF('Квартальная отчетность'!$E$10:$BM$10,YEAR(O$8),'Квартальная отчетность'!$E55:$BM55)</f>
        <v>0</v>
      </c>
      <c r="P49" s="114">
        <f>SUMIF('Квартальная отчетность'!$E$10:$BM$10,YEAR(P$8),'Квартальная отчетность'!$E55:$BM55)</f>
        <v>0</v>
      </c>
      <c r="Q49" s="114">
        <f>SUMIF('Квартальная отчетность'!$E$10:$BM$10,YEAR(Q$8),'Квартальная отчетность'!$E55:$BM55)</f>
        <v>0</v>
      </c>
      <c r="R49" s="114">
        <f>SUMIF('Квартальная отчетность'!$E$10:$BM$10,YEAR(R$8),'Квартальная отчетность'!$E55:$BM55)</f>
        <v>0</v>
      </c>
      <c r="S49" s="114">
        <f>SUMIF('Квартальная отчетность'!$E$10:$BM$10,YEAR(S$8),'Квартальная отчетность'!$E55:$BM55)</f>
        <v>0</v>
      </c>
      <c r="T49" s="114">
        <f>SUMIF('Квартальная отчетность'!$E$10:$BM$10,YEAR(T$8),'Квартальная отчетность'!$E55:$BM55)</f>
        <v>0</v>
      </c>
    </row>
    <row r="50" spans="2:26" ht="15" customHeight="1">
      <c r="B50" s="259" t="s">
        <v>12</v>
      </c>
      <c r="C50" s="260" t="s">
        <v>11</v>
      </c>
      <c r="D50" s="261">
        <f t="shared" ref="D50:T50" si="18">SUM(D45:D49)</f>
        <v>0</v>
      </c>
      <c r="E50" s="248">
        <f t="shared" si="18"/>
        <v>0</v>
      </c>
      <c r="F50" s="248">
        <f t="shared" si="18"/>
        <v>0</v>
      </c>
      <c r="G50" s="248">
        <f t="shared" si="18"/>
        <v>0</v>
      </c>
      <c r="H50" s="248">
        <f t="shared" si="18"/>
        <v>0</v>
      </c>
      <c r="I50" s="248">
        <f t="shared" si="18"/>
        <v>0</v>
      </c>
      <c r="J50" s="248">
        <f t="shared" si="18"/>
        <v>0</v>
      </c>
      <c r="K50" s="248">
        <f t="shared" si="18"/>
        <v>0</v>
      </c>
      <c r="L50" s="248">
        <f t="shared" si="18"/>
        <v>0</v>
      </c>
      <c r="M50" s="248">
        <f t="shared" si="18"/>
        <v>0</v>
      </c>
      <c r="N50" s="248">
        <f t="shared" si="18"/>
        <v>0</v>
      </c>
      <c r="O50" s="248">
        <f t="shared" si="18"/>
        <v>0</v>
      </c>
      <c r="P50" s="248">
        <f t="shared" si="18"/>
        <v>0</v>
      </c>
      <c r="Q50" s="248">
        <f t="shared" si="18"/>
        <v>0</v>
      </c>
      <c r="R50" s="248">
        <f t="shared" si="18"/>
        <v>0</v>
      </c>
      <c r="S50" s="248">
        <f t="shared" si="18"/>
        <v>0</v>
      </c>
      <c r="T50" s="248">
        <f t="shared" si="18"/>
        <v>0</v>
      </c>
    </row>
    <row r="51" spans="2:26" ht="15" customHeight="1">
      <c r="B51" s="37"/>
      <c r="C51" s="37"/>
      <c r="D51" s="37"/>
      <c r="E51" s="37"/>
      <c r="F51" s="37"/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7"/>
      <c r="S51" s="37"/>
      <c r="T51" s="37"/>
    </row>
    <row r="52" spans="2:26" ht="15" customHeight="1">
      <c r="B52" s="262" t="s">
        <v>109</v>
      </c>
      <c r="C52" s="263" t="s">
        <v>11</v>
      </c>
      <c r="D52" s="261">
        <f t="shared" ref="D52:T52" si="19">SUM(D42,D50)</f>
        <v>0</v>
      </c>
      <c r="E52" s="261">
        <f t="shared" si="19"/>
        <v>0</v>
      </c>
      <c r="F52" s="261">
        <f t="shared" si="19"/>
        <v>0</v>
      </c>
      <c r="G52" s="261">
        <f t="shared" si="19"/>
        <v>0</v>
      </c>
      <c r="H52" s="261">
        <f t="shared" si="19"/>
        <v>0</v>
      </c>
      <c r="I52" s="261">
        <f t="shared" si="19"/>
        <v>0</v>
      </c>
      <c r="J52" s="261">
        <f t="shared" si="19"/>
        <v>0</v>
      </c>
      <c r="K52" s="261">
        <f t="shared" si="19"/>
        <v>0</v>
      </c>
      <c r="L52" s="261">
        <f t="shared" si="19"/>
        <v>0</v>
      </c>
      <c r="M52" s="261">
        <f t="shared" si="19"/>
        <v>0</v>
      </c>
      <c r="N52" s="261">
        <f t="shared" si="19"/>
        <v>0</v>
      </c>
      <c r="O52" s="261">
        <f t="shared" si="19"/>
        <v>0</v>
      </c>
      <c r="P52" s="261">
        <f t="shared" si="19"/>
        <v>0</v>
      </c>
      <c r="Q52" s="261">
        <f t="shared" si="19"/>
        <v>0</v>
      </c>
      <c r="R52" s="261">
        <f t="shared" si="19"/>
        <v>0</v>
      </c>
      <c r="S52" s="261">
        <f t="shared" si="19"/>
        <v>0</v>
      </c>
      <c r="T52" s="261">
        <f t="shared" si="19"/>
        <v>0</v>
      </c>
    </row>
    <row r="53" spans="2:26" ht="15" customHeight="1">
      <c r="B53" s="37"/>
      <c r="C53" s="37"/>
      <c r="D53" s="37"/>
      <c r="E53" s="37"/>
      <c r="F53" s="37"/>
      <c r="G53" s="37"/>
      <c r="H53" s="37"/>
      <c r="I53" s="37"/>
      <c r="J53" s="37"/>
      <c r="K53" s="37"/>
      <c r="L53" s="37"/>
      <c r="M53" s="37"/>
      <c r="N53" s="37"/>
      <c r="O53" s="37"/>
      <c r="P53" s="37"/>
      <c r="Q53" s="37"/>
      <c r="R53" s="37"/>
      <c r="S53" s="37"/>
      <c r="T53" s="37"/>
    </row>
    <row r="54" spans="2:26" ht="21">
      <c r="B54" s="118" t="s">
        <v>105</v>
      </c>
      <c r="C54" s="37"/>
      <c r="D54" s="40"/>
      <c r="E54" s="41"/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1"/>
      <c r="U54" s="5"/>
      <c r="V54" s="5"/>
      <c r="W54" s="5"/>
      <c r="X54" s="5"/>
      <c r="Y54" s="5"/>
      <c r="Z54" s="5"/>
    </row>
    <row r="55" spans="2:26">
      <c r="B55" s="120" t="s">
        <v>195</v>
      </c>
      <c r="C55" s="121"/>
      <c r="D55" s="121"/>
      <c r="E55" s="41"/>
      <c r="F55" s="41"/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1"/>
      <c r="U55" s="5"/>
      <c r="V55" s="5"/>
      <c r="W55" s="5"/>
      <c r="X55" s="5"/>
    </row>
    <row r="56" spans="2:26" ht="15" customHeight="1">
      <c r="B56" s="123" t="s">
        <v>219</v>
      </c>
      <c r="C56" s="113" t="s">
        <v>11</v>
      </c>
      <c r="D56" s="248">
        <f>SUM(E56:T56)</f>
        <v>0</v>
      </c>
      <c r="E56" s="114">
        <f>SUMIF('Квартальная отчетность'!$E$10:$BM$10,YEAR(E$8),'Квартальная отчетность'!$E65:$BM65)</f>
        <v>0</v>
      </c>
      <c r="F56" s="114">
        <f>SUMIF('Квартальная отчетность'!$E$10:$BM$10,YEAR(F$8),'Квартальная отчетность'!$E65:$BM65)</f>
        <v>0</v>
      </c>
      <c r="G56" s="114">
        <f>SUMIF('Квартальная отчетность'!$E$10:$BM$10,YEAR(G$8),'Квартальная отчетность'!$E65:$BM65)</f>
        <v>0</v>
      </c>
      <c r="H56" s="114">
        <f>SUMIF('Квартальная отчетность'!$E$10:$BM$10,YEAR(H$8),'Квартальная отчетность'!$E65:$BM65)</f>
        <v>0</v>
      </c>
      <c r="I56" s="114">
        <f>SUMIF('Квартальная отчетность'!$E$10:$BM$10,YEAR(I$8),'Квартальная отчетность'!$E65:$BM65)</f>
        <v>0</v>
      </c>
      <c r="J56" s="114">
        <f>SUMIF('Квартальная отчетность'!$E$10:$BM$10,YEAR(J$8),'Квартальная отчетность'!$E65:$BM65)</f>
        <v>0</v>
      </c>
      <c r="K56" s="114">
        <f>SUMIF('Квартальная отчетность'!$E$10:$BM$10,YEAR(K$8),'Квартальная отчетность'!$E65:$BM65)</f>
        <v>0</v>
      </c>
      <c r="L56" s="114">
        <f>SUMIF('Квартальная отчетность'!$E$10:$BM$10,YEAR(L$8),'Квартальная отчетность'!$E65:$BM65)</f>
        <v>0</v>
      </c>
      <c r="M56" s="114">
        <f>SUMIF('Квартальная отчетность'!$E$10:$BM$10,YEAR(M$8),'Квартальная отчетность'!$E65:$BM65)</f>
        <v>0</v>
      </c>
      <c r="N56" s="114">
        <f>SUMIF('Квартальная отчетность'!$E$10:$BM$10,YEAR(N$8),'Квартальная отчетность'!$E65:$BM65)</f>
        <v>0</v>
      </c>
      <c r="O56" s="114">
        <f>SUMIF('Квартальная отчетность'!$E$10:$BM$10,YEAR(O$8),'Квартальная отчетность'!$E65:$BM65)</f>
        <v>0</v>
      </c>
      <c r="P56" s="114">
        <f>SUMIF('Квартальная отчетность'!$E$10:$BM$10,YEAR(P$8),'Квартальная отчетность'!$E65:$BM65)</f>
        <v>0</v>
      </c>
      <c r="Q56" s="114">
        <f>SUMIF('Квартальная отчетность'!$E$10:$BM$10,YEAR(Q$8),'Квартальная отчетность'!$E65:$BM65)</f>
        <v>0</v>
      </c>
      <c r="R56" s="114">
        <f>SUMIF('Квартальная отчетность'!$E$10:$BM$10,YEAR(R$8),'Квартальная отчетность'!$E65:$BM65)</f>
        <v>0</v>
      </c>
      <c r="S56" s="114">
        <f>SUMIF('Квартальная отчетность'!$E$10:$BM$10,YEAR(S$8),'Квартальная отчетность'!$E65:$BM65)</f>
        <v>0</v>
      </c>
      <c r="T56" s="114">
        <f>SUMIF('Квартальная отчетность'!$E$10:$BM$10,YEAR(T$8),'Квартальная отчетность'!$E65:$BM65)</f>
        <v>0</v>
      </c>
    </row>
    <row r="57" spans="2:26" ht="15" customHeight="1">
      <c r="B57" s="112" t="s">
        <v>220</v>
      </c>
      <c r="C57" s="113" t="s">
        <v>11</v>
      </c>
      <c r="D57" s="248">
        <f>SUM(E57:T57)</f>
        <v>0</v>
      </c>
      <c r="E57" s="114">
        <f>SUMIF('Квартальная отчетность'!$E$10:$BM$10,YEAR(E$8),'Квартальная отчетность'!$E66:$BM66)</f>
        <v>0</v>
      </c>
      <c r="F57" s="114">
        <f>SUMIF('Квартальная отчетность'!$E$10:$BM$10,YEAR(F$8),'Квартальная отчетность'!$E66:$BM66)</f>
        <v>0</v>
      </c>
      <c r="G57" s="114">
        <f>SUMIF('Квартальная отчетность'!$E$10:$BM$10,YEAR(G$8),'Квартальная отчетность'!$E66:$BM66)</f>
        <v>0</v>
      </c>
      <c r="H57" s="114">
        <f>SUMIF('Квартальная отчетность'!$E$10:$BM$10,YEAR(H$8),'Квартальная отчетность'!$E66:$BM66)</f>
        <v>0</v>
      </c>
      <c r="I57" s="114">
        <f>SUMIF('Квартальная отчетность'!$E$10:$BM$10,YEAR(I$8),'Квартальная отчетность'!$E66:$BM66)</f>
        <v>0</v>
      </c>
      <c r="J57" s="114">
        <f>SUMIF('Квартальная отчетность'!$E$10:$BM$10,YEAR(J$8),'Квартальная отчетность'!$E66:$BM66)</f>
        <v>0</v>
      </c>
      <c r="K57" s="114">
        <f>SUMIF('Квартальная отчетность'!$E$10:$BM$10,YEAR(K$8),'Квартальная отчетность'!$E66:$BM66)</f>
        <v>0</v>
      </c>
      <c r="L57" s="114">
        <f>SUMIF('Квартальная отчетность'!$E$10:$BM$10,YEAR(L$8),'Квартальная отчетность'!$E66:$BM66)</f>
        <v>0</v>
      </c>
      <c r="M57" s="114">
        <f>SUMIF('Квартальная отчетность'!$E$10:$BM$10,YEAR(M$8),'Квартальная отчетность'!$E66:$BM66)</f>
        <v>0</v>
      </c>
      <c r="N57" s="114">
        <f>SUMIF('Квартальная отчетность'!$E$10:$BM$10,YEAR(N$8),'Квартальная отчетность'!$E66:$BM66)</f>
        <v>0</v>
      </c>
      <c r="O57" s="114">
        <f>SUMIF('Квартальная отчетность'!$E$10:$BM$10,YEAR(O$8),'Квартальная отчетность'!$E66:$BM66)</f>
        <v>0</v>
      </c>
      <c r="P57" s="114">
        <f>SUMIF('Квартальная отчетность'!$E$10:$BM$10,YEAR(P$8),'Квартальная отчетность'!$E66:$BM66)</f>
        <v>0</v>
      </c>
      <c r="Q57" s="114">
        <f>SUMIF('Квартальная отчетность'!$E$10:$BM$10,YEAR(Q$8),'Квартальная отчетность'!$E66:$BM66)</f>
        <v>0</v>
      </c>
      <c r="R57" s="114">
        <f>SUMIF('Квартальная отчетность'!$E$10:$BM$10,YEAR(R$8),'Квартальная отчетность'!$E66:$BM66)</f>
        <v>0</v>
      </c>
      <c r="S57" s="114">
        <f>SUMIF('Квартальная отчетность'!$E$10:$BM$10,YEAR(S$8),'Квартальная отчетность'!$E66:$BM66)</f>
        <v>0</v>
      </c>
      <c r="T57" s="114">
        <f>SUMIF('Квартальная отчетность'!$E$10:$BM$10,YEAR(T$8),'Квартальная отчетность'!$E66:$BM66)</f>
        <v>0</v>
      </c>
    </row>
    <row r="58" spans="2:26" ht="15" customHeight="1">
      <c r="B58" s="112" t="s">
        <v>221</v>
      </c>
      <c r="C58" s="113" t="s">
        <v>11</v>
      </c>
      <c r="D58" s="248">
        <f>SUM(E58:T58)</f>
        <v>0</v>
      </c>
      <c r="E58" s="114">
        <f>SUMIF('Квартальная отчетность'!$E$10:$BM$10,YEAR(E$8),'Квартальная отчетность'!$E67:$BM67)</f>
        <v>0</v>
      </c>
      <c r="F58" s="114">
        <f>SUMIF('Квартальная отчетность'!$E$10:$BM$10,YEAR(F$8),'Квартальная отчетность'!$E67:$BM67)</f>
        <v>0</v>
      </c>
      <c r="G58" s="114">
        <f>SUMIF('Квартальная отчетность'!$E$10:$BM$10,YEAR(G$8),'Квартальная отчетность'!$E67:$BM67)</f>
        <v>0</v>
      </c>
      <c r="H58" s="114">
        <f>SUMIF('Квартальная отчетность'!$E$10:$BM$10,YEAR(H$8),'Квартальная отчетность'!$E67:$BM67)</f>
        <v>0</v>
      </c>
      <c r="I58" s="114">
        <f>SUMIF('Квартальная отчетность'!$E$10:$BM$10,YEAR(I$8),'Квартальная отчетность'!$E67:$BM67)</f>
        <v>0</v>
      </c>
      <c r="J58" s="114">
        <f>SUMIF('Квартальная отчетность'!$E$10:$BM$10,YEAR(J$8),'Квартальная отчетность'!$E67:$BM67)</f>
        <v>0</v>
      </c>
      <c r="K58" s="114">
        <f>SUMIF('Квартальная отчетность'!$E$10:$BM$10,YEAR(K$8),'Квартальная отчетность'!$E67:$BM67)</f>
        <v>0</v>
      </c>
      <c r="L58" s="114">
        <f>SUMIF('Квартальная отчетность'!$E$10:$BM$10,YEAR(L$8),'Квартальная отчетность'!$E67:$BM67)</f>
        <v>0</v>
      </c>
      <c r="M58" s="114">
        <f>SUMIF('Квартальная отчетность'!$E$10:$BM$10,YEAR(M$8),'Квартальная отчетность'!$E67:$BM67)</f>
        <v>0</v>
      </c>
      <c r="N58" s="114">
        <f>SUMIF('Квартальная отчетность'!$E$10:$BM$10,YEAR(N$8),'Квартальная отчетность'!$E67:$BM67)</f>
        <v>0</v>
      </c>
      <c r="O58" s="114">
        <f>SUMIF('Квартальная отчетность'!$E$10:$BM$10,YEAR(O$8),'Квартальная отчетность'!$E67:$BM67)</f>
        <v>0</v>
      </c>
      <c r="P58" s="114">
        <f>SUMIF('Квартальная отчетность'!$E$10:$BM$10,YEAR(P$8),'Квартальная отчетность'!$E67:$BM67)</f>
        <v>0</v>
      </c>
      <c r="Q58" s="114">
        <f>SUMIF('Квартальная отчетность'!$E$10:$BM$10,YEAR(Q$8),'Квартальная отчетность'!$E67:$BM67)</f>
        <v>0</v>
      </c>
      <c r="R58" s="114">
        <f>SUMIF('Квартальная отчетность'!$E$10:$BM$10,YEAR(R$8),'Квартальная отчетность'!$E67:$BM67)</f>
        <v>0</v>
      </c>
      <c r="S58" s="114">
        <f>SUMIF('Квартальная отчетность'!$E$10:$BM$10,YEAR(S$8),'Квартальная отчетность'!$E67:$BM67)</f>
        <v>0</v>
      </c>
      <c r="T58" s="114">
        <f>SUMIF('Квартальная отчетность'!$E$10:$BM$10,YEAR(T$8),'Квартальная отчетность'!$E67:$BM67)</f>
        <v>0</v>
      </c>
    </row>
    <row r="59" spans="2:26" ht="15" customHeight="1">
      <c r="B59" s="112" t="s">
        <v>222</v>
      </c>
      <c r="C59" s="113" t="s">
        <v>11</v>
      </c>
      <c r="D59" s="248">
        <f>SUM(E59:T59)</f>
        <v>0</v>
      </c>
      <c r="E59" s="114">
        <f>SUMIF('Квартальная отчетность'!$E$10:$BM$10,YEAR(E$8),'Квартальная отчетность'!$E68:$BM68)</f>
        <v>0</v>
      </c>
      <c r="F59" s="114">
        <f>SUMIF('Квартальная отчетность'!$E$10:$BM$10,YEAR(F$8),'Квартальная отчетность'!$E68:$BM68)</f>
        <v>0</v>
      </c>
      <c r="G59" s="114">
        <f>SUMIF('Квартальная отчетность'!$E$10:$BM$10,YEAR(G$8),'Квартальная отчетность'!$E68:$BM68)</f>
        <v>0</v>
      </c>
      <c r="H59" s="114">
        <f>SUMIF('Квартальная отчетность'!$E$10:$BM$10,YEAR(H$8),'Квартальная отчетность'!$E68:$BM68)</f>
        <v>0</v>
      </c>
      <c r="I59" s="114">
        <f>SUMIF('Квартальная отчетность'!$E$10:$BM$10,YEAR(I$8),'Квартальная отчетность'!$E68:$BM68)</f>
        <v>0</v>
      </c>
      <c r="J59" s="114">
        <f>SUMIF('Квартальная отчетность'!$E$10:$BM$10,YEAR(J$8),'Квартальная отчетность'!$E68:$BM68)</f>
        <v>0</v>
      </c>
      <c r="K59" s="114">
        <f>SUMIF('Квартальная отчетность'!$E$10:$BM$10,YEAR(K$8),'Квартальная отчетность'!$E68:$BM68)</f>
        <v>0</v>
      </c>
      <c r="L59" s="114">
        <f>SUMIF('Квартальная отчетность'!$E$10:$BM$10,YEAR(L$8),'Квартальная отчетность'!$E68:$BM68)</f>
        <v>0</v>
      </c>
      <c r="M59" s="114">
        <f>SUMIF('Квартальная отчетность'!$E$10:$BM$10,YEAR(M$8),'Квартальная отчетность'!$E68:$BM68)</f>
        <v>0</v>
      </c>
      <c r="N59" s="114">
        <f>SUMIF('Квартальная отчетность'!$E$10:$BM$10,YEAR(N$8),'Квартальная отчетность'!$E68:$BM68)</f>
        <v>0</v>
      </c>
      <c r="O59" s="114">
        <f>SUMIF('Квартальная отчетность'!$E$10:$BM$10,YEAR(O$8),'Квартальная отчетность'!$E68:$BM68)</f>
        <v>0</v>
      </c>
      <c r="P59" s="114">
        <f>SUMIF('Квартальная отчетность'!$E$10:$BM$10,YEAR(P$8),'Квартальная отчетность'!$E68:$BM68)</f>
        <v>0</v>
      </c>
      <c r="Q59" s="114">
        <f>SUMIF('Квартальная отчетность'!$E$10:$BM$10,YEAR(Q$8),'Квартальная отчетность'!$E68:$BM68)</f>
        <v>0</v>
      </c>
      <c r="R59" s="114">
        <f>SUMIF('Квартальная отчетность'!$E$10:$BM$10,YEAR(R$8),'Квартальная отчетность'!$E68:$BM68)</f>
        <v>0</v>
      </c>
      <c r="S59" s="114">
        <f>SUMIF('Квартальная отчетность'!$E$10:$BM$10,YEAR(S$8),'Квартальная отчетность'!$E68:$BM68)</f>
        <v>0</v>
      </c>
      <c r="T59" s="114">
        <f>SUMIF('Квартальная отчетность'!$E$10:$BM$10,YEAR(T$8),'Квартальная отчетность'!$E68:$BM68)</f>
        <v>0</v>
      </c>
    </row>
    <row r="60" spans="2:26" ht="15" customHeight="1">
      <c r="B60" s="112" t="s">
        <v>196</v>
      </c>
      <c r="C60" s="113" t="s">
        <v>11</v>
      </c>
      <c r="D60" s="248">
        <f>SUM(E60:T60)</f>
        <v>0</v>
      </c>
      <c r="E60" s="114">
        <f>SUMIF('Квартальная отчетность'!$E$10:$BM$10,YEAR(E$8),'Квартальная отчетность'!$E69:$BM69)</f>
        <v>0</v>
      </c>
      <c r="F60" s="114">
        <f>SUMIF('Квартальная отчетность'!$E$10:$BM$10,YEAR(F$8),'Квартальная отчетность'!$E69:$BM69)</f>
        <v>0</v>
      </c>
      <c r="G60" s="114">
        <f>SUMIF('Квартальная отчетность'!$E$10:$BM$10,YEAR(G$8),'Квартальная отчетность'!$E69:$BM69)</f>
        <v>0</v>
      </c>
      <c r="H60" s="114">
        <f>SUMIF('Квартальная отчетность'!$E$10:$BM$10,YEAR(H$8),'Квартальная отчетность'!$E69:$BM69)</f>
        <v>0</v>
      </c>
      <c r="I60" s="114">
        <f>SUMIF('Квартальная отчетность'!$E$10:$BM$10,YEAR(I$8),'Квартальная отчетность'!$E69:$BM69)</f>
        <v>0</v>
      </c>
      <c r="J60" s="114">
        <f>SUMIF('Квартальная отчетность'!$E$10:$BM$10,YEAR(J$8),'Квартальная отчетность'!$E69:$BM69)</f>
        <v>0</v>
      </c>
      <c r="K60" s="114">
        <f>SUMIF('Квартальная отчетность'!$E$10:$BM$10,YEAR(K$8),'Квартальная отчетность'!$E69:$BM69)</f>
        <v>0</v>
      </c>
      <c r="L60" s="114">
        <f>SUMIF('Квартальная отчетность'!$E$10:$BM$10,YEAR(L$8),'Квартальная отчетность'!$E69:$BM69)</f>
        <v>0</v>
      </c>
      <c r="M60" s="114">
        <f>SUMIF('Квартальная отчетность'!$E$10:$BM$10,YEAR(M$8),'Квартальная отчетность'!$E69:$BM69)</f>
        <v>0</v>
      </c>
      <c r="N60" s="114">
        <f>SUMIF('Квартальная отчетность'!$E$10:$BM$10,YEAR(N$8),'Квартальная отчетность'!$E69:$BM69)</f>
        <v>0</v>
      </c>
      <c r="O60" s="114">
        <f>SUMIF('Квартальная отчетность'!$E$10:$BM$10,YEAR(O$8),'Квартальная отчетность'!$E69:$BM69)</f>
        <v>0</v>
      </c>
      <c r="P60" s="114">
        <f>SUMIF('Квартальная отчетность'!$E$10:$BM$10,YEAR(P$8),'Квартальная отчетность'!$E69:$BM69)</f>
        <v>0</v>
      </c>
      <c r="Q60" s="114">
        <f>SUMIF('Квартальная отчетность'!$E$10:$BM$10,YEAR(Q$8),'Квартальная отчетность'!$E69:$BM69)</f>
        <v>0</v>
      </c>
      <c r="R60" s="114">
        <f>SUMIF('Квартальная отчетность'!$E$10:$BM$10,YEAR(R$8),'Квартальная отчетность'!$E69:$BM69)</f>
        <v>0</v>
      </c>
      <c r="S60" s="114">
        <f>SUMIF('Квартальная отчетность'!$E$10:$BM$10,YEAR(S$8),'Квартальная отчетность'!$E69:$BM69)</f>
        <v>0</v>
      </c>
      <c r="T60" s="114">
        <f>SUMIF('Квартальная отчетность'!$E$10:$BM$10,YEAR(T$8),'Квартальная отчетность'!$E69:$BM69)</f>
        <v>0</v>
      </c>
    </row>
    <row r="61" spans="2:26" ht="15" customHeight="1">
      <c r="B61" s="259" t="s">
        <v>12</v>
      </c>
      <c r="C61" s="260" t="s">
        <v>11</v>
      </c>
      <c r="D61" s="261">
        <f t="shared" ref="D61" si="20">SUM(D56:D60)</f>
        <v>0</v>
      </c>
      <c r="E61" s="248">
        <f t="shared" ref="E61:T61" si="21">SUM(E56:E60)</f>
        <v>0</v>
      </c>
      <c r="F61" s="248">
        <f t="shared" si="21"/>
        <v>0</v>
      </c>
      <c r="G61" s="248">
        <f t="shared" si="21"/>
        <v>0</v>
      </c>
      <c r="H61" s="248">
        <f t="shared" si="21"/>
        <v>0</v>
      </c>
      <c r="I61" s="248">
        <f t="shared" si="21"/>
        <v>0</v>
      </c>
      <c r="J61" s="248">
        <f t="shared" si="21"/>
        <v>0</v>
      </c>
      <c r="K61" s="248">
        <f t="shared" si="21"/>
        <v>0</v>
      </c>
      <c r="L61" s="248">
        <f t="shared" si="21"/>
        <v>0</v>
      </c>
      <c r="M61" s="248">
        <f t="shared" si="21"/>
        <v>0</v>
      </c>
      <c r="N61" s="248">
        <f t="shared" si="21"/>
        <v>0</v>
      </c>
      <c r="O61" s="248">
        <f t="shared" si="21"/>
        <v>0</v>
      </c>
      <c r="P61" s="248">
        <f t="shared" si="21"/>
        <v>0</v>
      </c>
      <c r="Q61" s="248">
        <f t="shared" si="21"/>
        <v>0</v>
      </c>
      <c r="R61" s="248">
        <f t="shared" si="21"/>
        <v>0</v>
      </c>
      <c r="S61" s="248">
        <f t="shared" si="21"/>
        <v>0</v>
      </c>
      <c r="T61" s="248">
        <f t="shared" si="21"/>
        <v>0</v>
      </c>
    </row>
    <row r="62" spans="2:26" ht="15" customHeight="1">
      <c r="B62" s="37"/>
      <c r="C62" s="37"/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37"/>
    </row>
    <row r="63" spans="2:26">
      <c r="B63" s="120" t="s">
        <v>200</v>
      </c>
      <c r="C63" s="121"/>
      <c r="D63" s="121"/>
      <c r="E63" s="41"/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41"/>
      <c r="T63" s="41"/>
      <c r="U63" s="5"/>
      <c r="V63" s="5"/>
      <c r="W63" s="5"/>
      <c r="X63" s="5"/>
    </row>
    <row r="64" spans="2:26" ht="15" customHeight="1">
      <c r="B64" s="112" t="s">
        <v>106</v>
      </c>
      <c r="C64" s="113" t="s">
        <v>11</v>
      </c>
      <c r="D64" s="248">
        <f>SUM(E64:T64)</f>
        <v>0</v>
      </c>
      <c r="E64" s="114">
        <f>SUMIF('Квартальная отчетность'!$E$10:$BM$10,YEAR(E$8),'Квартальная отчетность'!$E73:$BM73)</f>
        <v>0</v>
      </c>
      <c r="F64" s="114">
        <f>SUMIF('Квартальная отчетность'!$E$10:$BM$10,YEAR(F$8),'Квартальная отчетность'!$E73:$BM73)</f>
        <v>0</v>
      </c>
      <c r="G64" s="114">
        <f>SUMIF('Квартальная отчетность'!$E$10:$BM$10,YEAR(G$8),'Квартальная отчетность'!$E73:$BM73)</f>
        <v>0</v>
      </c>
      <c r="H64" s="114">
        <f>SUMIF('Квартальная отчетность'!$E$10:$BM$10,YEAR(H$8),'Квартальная отчетность'!$E73:$BM73)</f>
        <v>0</v>
      </c>
      <c r="I64" s="114">
        <f>SUMIF('Квартальная отчетность'!$E$10:$BM$10,YEAR(I$8),'Квартальная отчетность'!$E73:$BM73)</f>
        <v>0</v>
      </c>
      <c r="J64" s="114">
        <f>SUMIF('Квартальная отчетность'!$E$10:$BM$10,YEAR(J$8),'Квартальная отчетность'!$E73:$BM73)</f>
        <v>0</v>
      </c>
      <c r="K64" s="114">
        <f>SUMIF('Квартальная отчетность'!$E$10:$BM$10,YEAR(K$8),'Квартальная отчетность'!$E73:$BM73)</f>
        <v>0</v>
      </c>
      <c r="L64" s="114">
        <f>SUMIF('Квартальная отчетность'!$E$10:$BM$10,YEAR(L$8),'Квартальная отчетность'!$E73:$BM73)</f>
        <v>0</v>
      </c>
      <c r="M64" s="114">
        <f>SUMIF('Квартальная отчетность'!$E$10:$BM$10,YEAR(M$8),'Квартальная отчетность'!$E73:$BM73)</f>
        <v>0</v>
      </c>
      <c r="N64" s="114">
        <f>SUMIF('Квартальная отчетность'!$E$10:$BM$10,YEAR(N$8),'Квартальная отчетность'!$E73:$BM73)</f>
        <v>0</v>
      </c>
      <c r="O64" s="114">
        <f>SUMIF('Квартальная отчетность'!$E$10:$BM$10,YEAR(O$8),'Квартальная отчетность'!$E73:$BM73)</f>
        <v>0</v>
      </c>
      <c r="P64" s="114">
        <f>SUMIF('Квартальная отчетность'!$E$10:$BM$10,YEAR(P$8),'Квартальная отчетность'!$E73:$BM73)</f>
        <v>0</v>
      </c>
      <c r="Q64" s="114">
        <f>SUMIF('Квартальная отчетность'!$E$10:$BM$10,YEAR(Q$8),'Квартальная отчетность'!$E73:$BM73)</f>
        <v>0</v>
      </c>
      <c r="R64" s="114">
        <f>SUMIF('Квартальная отчетность'!$E$10:$BM$10,YEAR(R$8),'Квартальная отчетность'!$E73:$BM73)</f>
        <v>0</v>
      </c>
      <c r="S64" s="114">
        <f>SUMIF('Квартальная отчетность'!$E$10:$BM$10,YEAR(S$8),'Квартальная отчетность'!$E73:$BM73)</f>
        <v>0</v>
      </c>
      <c r="T64" s="114">
        <f>SUMIF('Квартальная отчетность'!$E$10:$BM$10,YEAR(T$8),'Квартальная отчетность'!$E73:$BM73)</f>
        <v>0</v>
      </c>
    </row>
    <row r="65" spans="2:26" ht="15" customHeight="1">
      <c r="B65" s="112" t="s">
        <v>228</v>
      </c>
      <c r="C65" s="113" t="s">
        <v>11</v>
      </c>
      <c r="D65" s="248">
        <f>SUM(E65:L65)</f>
        <v>0</v>
      </c>
      <c r="E65" s="114">
        <f>SUMIF('Квартальная отчетность'!$E$10:$BM$10,YEAR(E$8),'Квартальная отчетность'!$E74:$BM74)</f>
        <v>0</v>
      </c>
      <c r="F65" s="114">
        <f>SUMIF('Квартальная отчетность'!$E$10:$BM$10,YEAR(F$8),'Квартальная отчетность'!$E74:$BM74)</f>
        <v>0</v>
      </c>
      <c r="G65" s="114">
        <f>SUMIF('Квартальная отчетность'!$E$10:$BM$10,YEAR(G$8),'Квартальная отчетность'!$E74:$BM74)</f>
        <v>0</v>
      </c>
      <c r="H65" s="114">
        <f>SUMIF('Квартальная отчетность'!$E$10:$BM$10,YEAR(H$8),'Квартальная отчетность'!$E74:$BM74)</f>
        <v>0</v>
      </c>
      <c r="I65" s="114">
        <f>SUMIF('Квартальная отчетность'!$E$10:$BM$10,YEAR(I$8),'Квартальная отчетность'!$E74:$BM74)</f>
        <v>0</v>
      </c>
      <c r="J65" s="114">
        <f>SUMIF('Квартальная отчетность'!$E$10:$BM$10,YEAR(J$8),'Квартальная отчетность'!$E74:$BM74)</f>
        <v>0</v>
      </c>
      <c r="K65" s="114">
        <f>SUMIF('Квартальная отчетность'!$E$10:$BM$10,YEAR(K$8),'Квартальная отчетность'!$E74:$BM74)</f>
        <v>0</v>
      </c>
      <c r="L65" s="114">
        <f>SUMIF('Квартальная отчетность'!$E$10:$BM$10,YEAR(L$8),'Квартальная отчетность'!$E74:$BM74)</f>
        <v>0</v>
      </c>
      <c r="M65" s="114">
        <f>SUMIF('Квартальная отчетность'!$E$10:$BM$10,YEAR(M$8),'Квартальная отчетность'!$E74:$BM74)</f>
        <v>0</v>
      </c>
      <c r="N65" s="114">
        <f>SUMIF('Квартальная отчетность'!$E$10:$BM$10,YEAR(N$8),'Квартальная отчетность'!$E74:$BM74)</f>
        <v>0</v>
      </c>
      <c r="O65" s="114">
        <f>SUMIF('Квартальная отчетность'!$E$10:$BM$10,YEAR(O$8),'Квартальная отчетность'!$E74:$BM74)</f>
        <v>0</v>
      </c>
      <c r="P65" s="114">
        <f>SUMIF('Квартальная отчетность'!$E$10:$BM$10,YEAR(P$8),'Квартальная отчетность'!$E74:$BM74)</f>
        <v>0</v>
      </c>
      <c r="Q65" s="114">
        <f>SUMIF('Квартальная отчетность'!$E$10:$BM$10,YEAR(Q$8),'Квартальная отчетность'!$E74:$BM74)</f>
        <v>0</v>
      </c>
      <c r="R65" s="114">
        <f>SUMIF('Квартальная отчетность'!$E$10:$BM$10,YEAR(R$8),'Квартальная отчетность'!$E74:$BM74)</f>
        <v>0</v>
      </c>
      <c r="S65" s="114">
        <f>SUMIF('Квартальная отчетность'!$E$10:$BM$10,YEAR(S$8),'Квартальная отчетность'!$E74:$BM74)</f>
        <v>0</v>
      </c>
      <c r="T65" s="114">
        <f>SUMIF('Квартальная отчетность'!$E$10:$BM$10,YEAR(T$8),'Квартальная отчетность'!$E74:$BM74)</f>
        <v>0</v>
      </c>
    </row>
    <row r="66" spans="2:26" ht="15" customHeight="1">
      <c r="B66" s="112" t="s">
        <v>216</v>
      </c>
      <c r="C66" s="113" t="s">
        <v>11</v>
      </c>
      <c r="D66" s="248">
        <f>SUM(E66:L66)</f>
        <v>0</v>
      </c>
      <c r="E66" s="114">
        <f>SUMIF('Квартальная отчетность'!$E$10:$BM$10,YEAR(E$8),'Квартальная отчетность'!$E75:$BM75)</f>
        <v>0</v>
      </c>
      <c r="F66" s="114">
        <f>SUMIF('Квартальная отчетность'!$E$10:$BM$10,YEAR(F$8),'Квартальная отчетность'!$E75:$BM75)</f>
        <v>0</v>
      </c>
      <c r="G66" s="114">
        <f>SUMIF('Квартальная отчетность'!$E$10:$BM$10,YEAR(G$8),'Квартальная отчетность'!$E75:$BM75)</f>
        <v>0</v>
      </c>
      <c r="H66" s="114">
        <f>SUMIF('Квартальная отчетность'!$E$10:$BM$10,YEAR(H$8),'Квартальная отчетность'!$E75:$BM75)</f>
        <v>0</v>
      </c>
      <c r="I66" s="114">
        <f>SUMIF('Квартальная отчетность'!$E$10:$BM$10,YEAR(I$8),'Квартальная отчетность'!$E75:$BM75)</f>
        <v>0</v>
      </c>
      <c r="J66" s="114">
        <f>SUMIF('Квартальная отчетность'!$E$10:$BM$10,YEAR(J$8),'Квартальная отчетность'!$E75:$BM75)</f>
        <v>0</v>
      </c>
      <c r="K66" s="114">
        <f>SUMIF('Квартальная отчетность'!$E$10:$BM$10,YEAR(K$8),'Квартальная отчетность'!$E75:$BM75)</f>
        <v>0</v>
      </c>
      <c r="L66" s="114">
        <f>SUMIF('Квартальная отчетность'!$E$10:$BM$10,YEAR(L$8),'Квартальная отчетность'!$E75:$BM75)</f>
        <v>0</v>
      </c>
      <c r="M66" s="114">
        <f>SUMIF('Квартальная отчетность'!$E$10:$BM$10,YEAR(M$8),'Квартальная отчетность'!$E75:$BM75)</f>
        <v>0</v>
      </c>
      <c r="N66" s="114">
        <f>SUMIF('Квартальная отчетность'!$E$10:$BM$10,YEAR(N$8),'Квартальная отчетность'!$E75:$BM75)</f>
        <v>0</v>
      </c>
      <c r="O66" s="114">
        <f>SUMIF('Квартальная отчетность'!$E$10:$BM$10,YEAR(O$8),'Квартальная отчетность'!$E75:$BM75)</f>
        <v>0</v>
      </c>
      <c r="P66" s="114">
        <f>SUMIF('Квартальная отчетность'!$E$10:$BM$10,YEAR(P$8),'Квартальная отчетность'!$E75:$BM75)</f>
        <v>0</v>
      </c>
      <c r="Q66" s="114">
        <f>SUMIF('Квартальная отчетность'!$E$10:$BM$10,YEAR(Q$8),'Квартальная отчетность'!$E75:$BM75)</f>
        <v>0</v>
      </c>
      <c r="R66" s="114">
        <f>SUMIF('Квартальная отчетность'!$E$10:$BM$10,YEAR(R$8),'Квартальная отчетность'!$E75:$BM75)</f>
        <v>0</v>
      </c>
      <c r="S66" s="114">
        <f>SUMIF('Квартальная отчетность'!$E$10:$BM$10,YEAR(S$8),'Квартальная отчетность'!$E75:$BM75)</f>
        <v>0</v>
      </c>
      <c r="T66" s="114">
        <f>SUMIF('Квартальная отчетность'!$E$10:$BM$10,YEAR(T$8),'Квартальная отчетность'!$E75:$BM75)</f>
        <v>0</v>
      </c>
    </row>
    <row r="67" spans="2:26" ht="15" customHeight="1">
      <c r="B67" s="112" t="s">
        <v>203</v>
      </c>
      <c r="C67" s="113" t="s">
        <v>11</v>
      </c>
      <c r="D67" s="248">
        <f>SUM(E67:L67)</f>
        <v>0</v>
      </c>
      <c r="E67" s="114">
        <f>SUMIF('Квартальная отчетность'!$E$10:$BM$10,YEAR(E$8),'Квартальная отчетность'!$E76:$BM76)</f>
        <v>0</v>
      </c>
      <c r="F67" s="114">
        <f>SUMIF('Квартальная отчетность'!$E$10:$BM$10,YEAR(F$8),'Квартальная отчетность'!$E76:$BM76)</f>
        <v>0</v>
      </c>
      <c r="G67" s="114">
        <f>SUMIF('Квартальная отчетность'!$E$10:$BM$10,YEAR(G$8),'Квартальная отчетность'!$E76:$BM76)</f>
        <v>0</v>
      </c>
      <c r="H67" s="114">
        <f>SUMIF('Квартальная отчетность'!$E$10:$BM$10,YEAR(H$8),'Квартальная отчетность'!$E76:$BM76)</f>
        <v>0</v>
      </c>
      <c r="I67" s="114">
        <f>SUMIF('Квартальная отчетность'!$E$10:$BM$10,YEAR(I$8),'Квартальная отчетность'!$E76:$BM76)</f>
        <v>0</v>
      </c>
      <c r="J67" s="114">
        <f>SUMIF('Квартальная отчетность'!$E$10:$BM$10,YEAR(J$8),'Квартальная отчетность'!$E76:$BM76)</f>
        <v>0</v>
      </c>
      <c r="K67" s="114">
        <f>SUMIF('Квартальная отчетность'!$E$10:$BM$10,YEAR(K$8),'Квартальная отчетность'!$E76:$BM76)</f>
        <v>0</v>
      </c>
      <c r="L67" s="114">
        <f>SUMIF('Квартальная отчетность'!$E$10:$BM$10,YEAR(L$8),'Квартальная отчетность'!$E76:$BM76)</f>
        <v>0</v>
      </c>
      <c r="M67" s="114">
        <f>SUMIF('Квартальная отчетность'!$E$10:$BM$10,YEAR(M$8),'Квартальная отчетность'!$E76:$BM76)</f>
        <v>0</v>
      </c>
      <c r="N67" s="114">
        <f>SUMIF('Квартальная отчетность'!$E$10:$BM$10,YEAR(N$8),'Квартальная отчетность'!$E76:$BM76)</f>
        <v>0</v>
      </c>
      <c r="O67" s="114">
        <f>SUMIF('Квартальная отчетность'!$E$10:$BM$10,YEAR(O$8),'Квартальная отчетность'!$E76:$BM76)</f>
        <v>0</v>
      </c>
      <c r="P67" s="114">
        <f>SUMIF('Квартальная отчетность'!$E$10:$BM$10,YEAR(P$8),'Квартальная отчетность'!$E76:$BM76)</f>
        <v>0</v>
      </c>
      <c r="Q67" s="114">
        <f>SUMIF('Квартальная отчетность'!$E$10:$BM$10,YEAR(Q$8),'Квартальная отчетность'!$E76:$BM76)</f>
        <v>0</v>
      </c>
      <c r="R67" s="114">
        <f>SUMIF('Квартальная отчетность'!$E$10:$BM$10,YEAR(R$8),'Квартальная отчетность'!$E76:$BM76)</f>
        <v>0</v>
      </c>
      <c r="S67" s="114">
        <f>SUMIF('Квартальная отчетность'!$E$10:$BM$10,YEAR(S$8),'Квартальная отчетность'!$E76:$BM76)</f>
        <v>0</v>
      </c>
      <c r="T67" s="114">
        <f>SUMIF('Квартальная отчетность'!$E$10:$BM$10,YEAR(T$8),'Квартальная отчетность'!$E76:$BM76)</f>
        <v>0</v>
      </c>
    </row>
    <row r="68" spans="2:26" ht="15" customHeight="1">
      <c r="B68" s="259" t="s">
        <v>12</v>
      </c>
      <c r="C68" s="260" t="s">
        <v>11</v>
      </c>
      <c r="D68" s="261">
        <f t="shared" ref="D68" si="22">SUM(D64:D67)</f>
        <v>0</v>
      </c>
      <c r="E68" s="248">
        <f t="shared" ref="E68:T68" si="23">SUM(E64:E67)</f>
        <v>0</v>
      </c>
      <c r="F68" s="248">
        <f t="shared" si="23"/>
        <v>0</v>
      </c>
      <c r="G68" s="248">
        <f t="shared" si="23"/>
        <v>0</v>
      </c>
      <c r="H68" s="248">
        <f t="shared" si="23"/>
        <v>0</v>
      </c>
      <c r="I68" s="248">
        <f t="shared" si="23"/>
        <v>0</v>
      </c>
      <c r="J68" s="248">
        <f t="shared" si="23"/>
        <v>0</v>
      </c>
      <c r="K68" s="248">
        <f t="shared" si="23"/>
        <v>0</v>
      </c>
      <c r="L68" s="248">
        <f t="shared" si="23"/>
        <v>0</v>
      </c>
      <c r="M68" s="248">
        <f t="shared" si="23"/>
        <v>0</v>
      </c>
      <c r="N68" s="248">
        <f t="shared" si="23"/>
        <v>0</v>
      </c>
      <c r="O68" s="248">
        <f t="shared" si="23"/>
        <v>0</v>
      </c>
      <c r="P68" s="248">
        <f t="shared" si="23"/>
        <v>0</v>
      </c>
      <c r="Q68" s="248">
        <f t="shared" si="23"/>
        <v>0</v>
      </c>
      <c r="R68" s="248">
        <f t="shared" si="23"/>
        <v>0</v>
      </c>
      <c r="S68" s="248">
        <f t="shared" si="23"/>
        <v>0</v>
      </c>
      <c r="T68" s="248">
        <f t="shared" si="23"/>
        <v>0</v>
      </c>
    </row>
    <row r="69" spans="2:26" ht="15" customHeight="1">
      <c r="B69" s="37"/>
      <c r="C69" s="37"/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37"/>
    </row>
    <row r="70" spans="2:26" ht="15" customHeight="1">
      <c r="B70" s="262" t="s">
        <v>110</v>
      </c>
      <c r="C70" s="263" t="s">
        <v>11</v>
      </c>
      <c r="D70" s="261">
        <f t="shared" ref="D70:T70" si="24">SUM(D61,D68)</f>
        <v>0</v>
      </c>
      <c r="E70" s="261">
        <f t="shared" si="24"/>
        <v>0</v>
      </c>
      <c r="F70" s="261">
        <f t="shared" si="24"/>
        <v>0</v>
      </c>
      <c r="G70" s="261">
        <f t="shared" si="24"/>
        <v>0</v>
      </c>
      <c r="H70" s="261">
        <f t="shared" si="24"/>
        <v>0</v>
      </c>
      <c r="I70" s="261">
        <f t="shared" si="24"/>
        <v>0</v>
      </c>
      <c r="J70" s="261">
        <f t="shared" si="24"/>
        <v>0</v>
      </c>
      <c r="K70" s="261">
        <f t="shared" si="24"/>
        <v>0</v>
      </c>
      <c r="L70" s="261">
        <f t="shared" si="24"/>
        <v>0</v>
      </c>
      <c r="M70" s="261">
        <f t="shared" si="24"/>
        <v>0</v>
      </c>
      <c r="N70" s="261">
        <f t="shared" si="24"/>
        <v>0</v>
      </c>
      <c r="O70" s="261">
        <f t="shared" si="24"/>
        <v>0</v>
      </c>
      <c r="P70" s="261">
        <f t="shared" si="24"/>
        <v>0</v>
      </c>
      <c r="Q70" s="261">
        <f t="shared" si="24"/>
        <v>0</v>
      </c>
      <c r="R70" s="261">
        <f t="shared" si="24"/>
        <v>0</v>
      </c>
      <c r="S70" s="261">
        <f t="shared" si="24"/>
        <v>0</v>
      </c>
      <c r="T70" s="261">
        <f t="shared" si="24"/>
        <v>0</v>
      </c>
    </row>
    <row r="71" spans="2:26" ht="15" customHeight="1">
      <c r="B71" s="37"/>
      <c r="C71" s="37"/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37"/>
    </row>
    <row r="72" spans="2:26" ht="21">
      <c r="B72" s="118" t="s">
        <v>107</v>
      </c>
      <c r="C72" s="37"/>
      <c r="D72" s="40"/>
      <c r="E72" s="41"/>
      <c r="F72" s="41"/>
      <c r="G72" s="41"/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1"/>
      <c r="U72" s="5"/>
      <c r="V72" s="5"/>
      <c r="W72" s="5"/>
      <c r="X72" s="5"/>
      <c r="Y72" s="5"/>
      <c r="Z72" s="5"/>
    </row>
    <row r="73" spans="2:26">
      <c r="B73" s="120" t="s">
        <v>195</v>
      </c>
      <c r="C73" s="121"/>
      <c r="D73" s="121"/>
      <c r="E73" s="41"/>
      <c r="F73" s="41"/>
      <c r="G73" s="41"/>
      <c r="H73" s="41"/>
      <c r="I73" s="41"/>
      <c r="J73" s="41"/>
      <c r="K73" s="41"/>
      <c r="L73" s="41"/>
      <c r="M73" s="41"/>
      <c r="N73" s="41"/>
      <c r="O73" s="41"/>
      <c r="P73" s="41"/>
      <c r="Q73" s="41"/>
      <c r="R73" s="41"/>
      <c r="S73" s="41"/>
      <c r="T73" s="41"/>
      <c r="U73" s="5"/>
      <c r="V73" s="5"/>
      <c r="W73" s="5"/>
      <c r="X73" s="5"/>
    </row>
    <row r="74" spans="2:26" ht="15" customHeight="1">
      <c r="B74" s="112" t="s">
        <v>223</v>
      </c>
      <c r="C74" s="113" t="s">
        <v>11</v>
      </c>
      <c r="D74" s="248">
        <f>SUM(E74:T74)</f>
        <v>0</v>
      </c>
      <c r="E74" s="114">
        <f>SUMIF('Квартальная отчетность'!$E$10:$BM$10,YEAR(E$8),'Квартальная отчетность'!$E85:$BM85)</f>
        <v>0</v>
      </c>
      <c r="F74" s="114">
        <f>SUMIF('Квартальная отчетность'!$E$10:$BM$10,YEAR(F$8),'Квартальная отчетность'!$E85:$BM85)</f>
        <v>0</v>
      </c>
      <c r="G74" s="114">
        <f>SUMIF('Квартальная отчетность'!$E$10:$BM$10,YEAR(G$8),'Квартальная отчетность'!$E85:$BM85)</f>
        <v>0</v>
      </c>
      <c r="H74" s="114">
        <f>SUMIF('Квартальная отчетность'!$E$10:$BM$10,YEAR(H$8),'Квартальная отчетность'!$E85:$BM85)</f>
        <v>0</v>
      </c>
      <c r="I74" s="114">
        <f>SUMIF('Квартальная отчетность'!$E$10:$BM$10,YEAR(I$8),'Квартальная отчетность'!$E85:$BM85)</f>
        <v>0</v>
      </c>
      <c r="J74" s="114">
        <f>SUMIF('Квартальная отчетность'!$E$10:$BM$10,YEAR(J$8),'Квартальная отчетность'!$E85:$BM85)</f>
        <v>0</v>
      </c>
      <c r="K74" s="114">
        <f>SUMIF('Квартальная отчетность'!$E$10:$BM$10,YEAR(K$8),'Квартальная отчетность'!$E85:$BM85)</f>
        <v>0</v>
      </c>
      <c r="L74" s="114">
        <f>SUMIF('Квартальная отчетность'!$E$10:$BM$10,YEAR(L$8),'Квартальная отчетность'!$E85:$BM85)</f>
        <v>0</v>
      </c>
      <c r="M74" s="114">
        <f>SUMIF('Квартальная отчетность'!$E$10:$BM$10,YEAR(M$8),'Квартальная отчетность'!$E85:$BM85)</f>
        <v>0</v>
      </c>
      <c r="N74" s="114">
        <f>SUMIF('Квартальная отчетность'!$E$10:$BM$10,YEAR(N$8),'Квартальная отчетность'!$E85:$BM85)</f>
        <v>0</v>
      </c>
      <c r="O74" s="114">
        <f>SUMIF('Квартальная отчетность'!$E$10:$BM$10,YEAR(O$8),'Квартальная отчетность'!$E85:$BM85)</f>
        <v>0</v>
      </c>
      <c r="P74" s="114">
        <f>SUMIF('Квартальная отчетность'!$E$10:$BM$10,YEAR(P$8),'Квартальная отчетность'!$E85:$BM85)</f>
        <v>0</v>
      </c>
      <c r="Q74" s="114">
        <f>SUMIF('Квартальная отчетность'!$E$10:$BM$10,YEAR(Q$8),'Квартальная отчетность'!$E85:$BM85)</f>
        <v>0</v>
      </c>
      <c r="R74" s="114">
        <f>SUMIF('Квартальная отчетность'!$E$10:$BM$10,YEAR(R$8),'Квартальная отчетность'!$E85:$BM85)</f>
        <v>0</v>
      </c>
      <c r="S74" s="114">
        <f>SUMIF('Квартальная отчетность'!$E$10:$BM$10,YEAR(S$8),'Квартальная отчетность'!$E85:$BM85)</f>
        <v>0</v>
      </c>
      <c r="T74" s="114">
        <f>SUMIF('Квартальная отчетность'!$E$10:$BM$10,YEAR(T$8),'Квартальная отчетность'!$E85:$BM85)</f>
        <v>0</v>
      </c>
    </row>
    <row r="75" spans="2:26" ht="15" customHeight="1">
      <c r="B75" s="112" t="s">
        <v>224</v>
      </c>
      <c r="C75" s="113" t="s">
        <v>11</v>
      </c>
      <c r="D75" s="248">
        <f>SUM(E75:T75)</f>
        <v>0</v>
      </c>
      <c r="E75" s="114">
        <f>SUMIF('Квартальная отчетность'!$E$10:$BM$10,YEAR(E$8),'Квартальная отчетность'!$E88:$BM88)</f>
        <v>0</v>
      </c>
      <c r="F75" s="114">
        <f>SUMIF('Квартальная отчетность'!$E$10:$BM$10,YEAR(F$8),'Квартальная отчетность'!$E88:$BM88)</f>
        <v>0</v>
      </c>
      <c r="G75" s="114">
        <f>SUMIF('Квартальная отчетность'!$E$10:$BM$10,YEAR(G$8),'Квартальная отчетность'!$E88:$BM88)</f>
        <v>0</v>
      </c>
      <c r="H75" s="114">
        <f>SUMIF('Квартальная отчетность'!$E$10:$BM$10,YEAR(H$8),'Квартальная отчетность'!$E88:$BM88)</f>
        <v>0</v>
      </c>
      <c r="I75" s="114">
        <f>SUMIF('Квартальная отчетность'!$E$10:$BM$10,YEAR(I$8),'Квартальная отчетность'!$E88:$BM88)</f>
        <v>0</v>
      </c>
      <c r="J75" s="114">
        <f>SUMIF('Квартальная отчетность'!$E$10:$BM$10,YEAR(J$8),'Квартальная отчетность'!$E88:$BM88)</f>
        <v>0</v>
      </c>
      <c r="K75" s="114">
        <f>SUMIF('Квартальная отчетность'!$E$10:$BM$10,YEAR(K$8),'Квартальная отчетность'!$E88:$BM88)</f>
        <v>0</v>
      </c>
      <c r="L75" s="114">
        <f>SUMIF('Квартальная отчетность'!$E$10:$BM$10,YEAR(L$8),'Квартальная отчетность'!$E88:$BM88)</f>
        <v>0</v>
      </c>
      <c r="M75" s="114">
        <f>SUMIF('Квартальная отчетность'!$E$10:$BM$10,YEAR(M$8),'Квартальная отчетность'!$E88:$BM88)</f>
        <v>0</v>
      </c>
      <c r="N75" s="114">
        <f>SUMIF('Квартальная отчетность'!$E$10:$BM$10,YEAR(N$8),'Квартальная отчетность'!$E88:$BM88)</f>
        <v>0</v>
      </c>
      <c r="O75" s="114">
        <f>SUMIF('Квартальная отчетность'!$E$10:$BM$10,YEAR(O$8),'Квартальная отчетность'!$E88:$BM88)</f>
        <v>0</v>
      </c>
      <c r="P75" s="114">
        <f>SUMIF('Квартальная отчетность'!$E$10:$BM$10,YEAR(P$8),'Квартальная отчетность'!$E88:$BM88)</f>
        <v>0</v>
      </c>
      <c r="Q75" s="114">
        <f>SUMIF('Квартальная отчетность'!$E$10:$BM$10,YEAR(Q$8),'Квартальная отчетность'!$E88:$BM88)</f>
        <v>0</v>
      </c>
      <c r="R75" s="114">
        <f>SUMIF('Квартальная отчетность'!$E$10:$BM$10,YEAR(R$8),'Квартальная отчетность'!$E88:$BM88)</f>
        <v>0</v>
      </c>
      <c r="S75" s="114">
        <f>SUMIF('Квартальная отчетность'!$E$10:$BM$10,YEAR(S$8),'Квартальная отчетность'!$E88:$BM88)</f>
        <v>0</v>
      </c>
      <c r="T75" s="114">
        <f>SUMIF('Квартальная отчетность'!$E$10:$BM$10,YEAR(T$8),'Квартальная отчетность'!$E88:$BM88)</f>
        <v>0</v>
      </c>
    </row>
    <row r="76" spans="2:26" ht="15" customHeight="1">
      <c r="B76" s="112" t="s">
        <v>225</v>
      </c>
      <c r="C76" s="113" t="s">
        <v>11</v>
      </c>
      <c r="D76" s="248">
        <f>SUM(E76:T76)</f>
        <v>0</v>
      </c>
      <c r="E76" s="114">
        <f>SUMIF('Квартальная отчетность'!$E$10:$BM$10,YEAR(E$8),'Квартальная отчетность'!$E89:$BM89)</f>
        <v>0</v>
      </c>
      <c r="F76" s="114">
        <f>SUMIF('Квартальная отчетность'!$E$10:$BM$10,YEAR(F$8),'Квартальная отчетность'!$E89:$BM89)</f>
        <v>0</v>
      </c>
      <c r="G76" s="114">
        <f>SUMIF('Квартальная отчетность'!$E$10:$BM$10,YEAR(G$8),'Квартальная отчетность'!$E89:$BM89)</f>
        <v>0</v>
      </c>
      <c r="H76" s="114">
        <f>SUMIF('Квартальная отчетность'!$E$10:$BM$10,YEAR(H$8),'Квартальная отчетность'!$E89:$BM89)</f>
        <v>0</v>
      </c>
      <c r="I76" s="114">
        <f>SUMIF('Квартальная отчетность'!$E$10:$BM$10,YEAR(I$8),'Квартальная отчетность'!$E89:$BM89)</f>
        <v>0</v>
      </c>
      <c r="J76" s="114">
        <f>SUMIF('Квартальная отчетность'!$E$10:$BM$10,YEAR(J$8),'Квартальная отчетность'!$E89:$BM89)</f>
        <v>0</v>
      </c>
      <c r="K76" s="114">
        <f>SUMIF('Квартальная отчетность'!$E$10:$BM$10,YEAR(K$8),'Квартальная отчетность'!$E89:$BM89)</f>
        <v>0</v>
      </c>
      <c r="L76" s="114">
        <f>SUMIF('Квартальная отчетность'!$E$10:$BM$10,YEAR(L$8),'Квартальная отчетность'!$E89:$BM89)</f>
        <v>0</v>
      </c>
      <c r="M76" s="114">
        <f>SUMIF('Квартальная отчетность'!$E$10:$BM$10,YEAR(M$8),'Квартальная отчетность'!$E89:$BM89)</f>
        <v>0</v>
      </c>
      <c r="N76" s="114">
        <f>SUMIF('Квартальная отчетность'!$E$10:$BM$10,YEAR(N$8),'Квартальная отчетность'!$E89:$BM89)</f>
        <v>0</v>
      </c>
      <c r="O76" s="114">
        <f>SUMIF('Квартальная отчетность'!$E$10:$BM$10,YEAR(O$8),'Квартальная отчетность'!$E89:$BM89)</f>
        <v>0</v>
      </c>
      <c r="P76" s="114">
        <f>SUMIF('Квартальная отчетность'!$E$10:$BM$10,YEAR(P$8),'Квартальная отчетность'!$E89:$BM89)</f>
        <v>0</v>
      </c>
      <c r="Q76" s="114">
        <f>SUMIF('Квартальная отчетность'!$E$10:$BM$10,YEAR(Q$8),'Квартальная отчетность'!$E89:$BM89)</f>
        <v>0</v>
      </c>
      <c r="R76" s="114">
        <f>SUMIF('Квартальная отчетность'!$E$10:$BM$10,YEAR(R$8),'Квартальная отчетность'!$E89:$BM89)</f>
        <v>0</v>
      </c>
      <c r="S76" s="114">
        <f>SUMIF('Квартальная отчетность'!$E$10:$BM$10,YEAR(S$8),'Квартальная отчетность'!$E89:$BM89)</f>
        <v>0</v>
      </c>
      <c r="T76" s="114">
        <f>SUMIF('Квартальная отчетность'!$E$10:$BM$10,YEAR(T$8),'Квартальная отчетность'!$E89:$BM89)</f>
        <v>0</v>
      </c>
    </row>
    <row r="77" spans="2:26" ht="15" customHeight="1">
      <c r="B77" s="112" t="s">
        <v>226</v>
      </c>
      <c r="C77" s="113" t="s">
        <v>11</v>
      </c>
      <c r="D77" s="248">
        <f>SUM(E77:T77)</f>
        <v>0</v>
      </c>
      <c r="E77" s="114">
        <f>SUMIF('Квартальная отчетность'!$E$10:$BM$10,YEAR(E$8),'Квартальная отчетность'!$E90:$BM90)</f>
        <v>0</v>
      </c>
      <c r="F77" s="114">
        <f>SUMIF('Квартальная отчетность'!$E$10:$BM$10,YEAR(F$8),'Квартальная отчетность'!$E90:$BM90)</f>
        <v>0</v>
      </c>
      <c r="G77" s="114">
        <f>SUMIF('Квартальная отчетность'!$E$10:$BM$10,YEAR(G$8),'Квартальная отчетность'!$E90:$BM90)</f>
        <v>0</v>
      </c>
      <c r="H77" s="114">
        <f>SUMIF('Квартальная отчетность'!$E$10:$BM$10,YEAR(H$8),'Квартальная отчетность'!$E90:$BM90)</f>
        <v>0</v>
      </c>
      <c r="I77" s="114">
        <f>SUMIF('Квартальная отчетность'!$E$10:$BM$10,YEAR(I$8),'Квартальная отчетность'!$E90:$BM90)</f>
        <v>0</v>
      </c>
      <c r="J77" s="114">
        <f>SUMIF('Квартальная отчетность'!$E$10:$BM$10,YEAR(J$8),'Квартальная отчетность'!$E90:$BM90)</f>
        <v>0</v>
      </c>
      <c r="K77" s="114">
        <f>SUMIF('Квартальная отчетность'!$E$10:$BM$10,YEAR(K$8),'Квартальная отчетность'!$E90:$BM90)</f>
        <v>0</v>
      </c>
      <c r="L77" s="114">
        <f>SUMIF('Квартальная отчетность'!$E$10:$BM$10,YEAR(L$8),'Квартальная отчетность'!$E90:$BM90)</f>
        <v>0</v>
      </c>
      <c r="M77" s="114">
        <f>SUMIF('Квартальная отчетность'!$E$10:$BM$10,YEAR(M$8),'Квартальная отчетность'!$E90:$BM90)</f>
        <v>0</v>
      </c>
      <c r="N77" s="114">
        <f>SUMIF('Квартальная отчетность'!$E$10:$BM$10,YEAR(N$8),'Квартальная отчетность'!$E90:$BM90)</f>
        <v>0</v>
      </c>
      <c r="O77" s="114">
        <f>SUMIF('Квартальная отчетность'!$E$10:$BM$10,YEAR(O$8),'Квартальная отчетность'!$E90:$BM90)</f>
        <v>0</v>
      </c>
      <c r="P77" s="114">
        <f>SUMIF('Квартальная отчетность'!$E$10:$BM$10,YEAR(P$8),'Квартальная отчетность'!$E90:$BM90)</f>
        <v>0</v>
      </c>
      <c r="Q77" s="114">
        <f>SUMIF('Квартальная отчетность'!$E$10:$BM$10,YEAR(Q$8),'Квартальная отчетность'!$E90:$BM90)</f>
        <v>0</v>
      </c>
      <c r="R77" s="114">
        <f>SUMIF('Квартальная отчетность'!$E$10:$BM$10,YEAR(R$8),'Квартальная отчетность'!$E90:$BM90)</f>
        <v>0</v>
      </c>
      <c r="S77" s="114">
        <f>SUMIF('Квартальная отчетность'!$E$10:$BM$10,YEAR(S$8),'Квартальная отчетность'!$E90:$BM90)</f>
        <v>0</v>
      </c>
      <c r="T77" s="114">
        <f>SUMIF('Квартальная отчетность'!$E$10:$BM$10,YEAR(T$8),'Квартальная отчетность'!$E90:$BM90)</f>
        <v>0</v>
      </c>
    </row>
    <row r="78" spans="2:26" ht="15" customHeight="1">
      <c r="B78" s="112" t="s">
        <v>196</v>
      </c>
      <c r="C78" s="113" t="s">
        <v>11</v>
      </c>
      <c r="D78" s="248">
        <f>SUM(E78:T78)</f>
        <v>0</v>
      </c>
      <c r="E78" s="114">
        <f>SUMIF('Квартальная отчетность'!$E$10:$BM$10,YEAR(E$8),'Квартальная отчетность'!$E91:$BM91)</f>
        <v>0</v>
      </c>
      <c r="F78" s="114">
        <f>SUMIF('Квартальная отчетность'!$E$10:$BM$10,YEAR(F$8),'Квартальная отчетность'!$E91:$BM91)</f>
        <v>0</v>
      </c>
      <c r="G78" s="114">
        <f>SUMIF('Квартальная отчетность'!$E$10:$BM$10,YEAR(G$8),'Квартальная отчетность'!$E91:$BM91)</f>
        <v>0</v>
      </c>
      <c r="H78" s="114">
        <f>SUMIF('Квартальная отчетность'!$E$10:$BM$10,YEAR(H$8),'Квартальная отчетность'!$E91:$BM91)</f>
        <v>0</v>
      </c>
      <c r="I78" s="114">
        <f>SUMIF('Квартальная отчетность'!$E$10:$BM$10,YEAR(I$8),'Квартальная отчетность'!$E91:$BM91)</f>
        <v>0</v>
      </c>
      <c r="J78" s="114">
        <f>SUMIF('Квартальная отчетность'!$E$10:$BM$10,YEAR(J$8),'Квартальная отчетность'!$E91:$BM91)</f>
        <v>0</v>
      </c>
      <c r="K78" s="114">
        <f>SUMIF('Квартальная отчетность'!$E$10:$BM$10,YEAR(K$8),'Квартальная отчетность'!$E91:$BM91)</f>
        <v>0</v>
      </c>
      <c r="L78" s="114">
        <f>SUMIF('Квартальная отчетность'!$E$10:$BM$10,YEAR(L$8),'Квартальная отчетность'!$E91:$BM91)</f>
        <v>0</v>
      </c>
      <c r="M78" s="114">
        <f>SUMIF('Квартальная отчетность'!$E$10:$BM$10,YEAR(M$8),'Квартальная отчетность'!$E91:$BM91)</f>
        <v>0</v>
      </c>
      <c r="N78" s="114">
        <f>SUMIF('Квартальная отчетность'!$E$10:$BM$10,YEAR(N$8),'Квартальная отчетность'!$E91:$BM91)</f>
        <v>0</v>
      </c>
      <c r="O78" s="114">
        <f>SUMIF('Квартальная отчетность'!$E$10:$BM$10,YEAR(O$8),'Квартальная отчетность'!$E91:$BM91)</f>
        <v>0</v>
      </c>
      <c r="P78" s="114">
        <f>SUMIF('Квартальная отчетность'!$E$10:$BM$10,YEAR(P$8),'Квартальная отчетность'!$E91:$BM91)</f>
        <v>0</v>
      </c>
      <c r="Q78" s="114">
        <f>SUMIF('Квартальная отчетность'!$E$10:$BM$10,YEAR(Q$8),'Квартальная отчетность'!$E91:$BM91)</f>
        <v>0</v>
      </c>
      <c r="R78" s="114">
        <f>SUMIF('Квартальная отчетность'!$E$10:$BM$10,YEAR(R$8),'Квартальная отчетность'!$E91:$BM91)</f>
        <v>0</v>
      </c>
      <c r="S78" s="114">
        <f>SUMIF('Квартальная отчетность'!$E$10:$BM$10,YEAR(S$8),'Квартальная отчетность'!$E91:$BM91)</f>
        <v>0</v>
      </c>
      <c r="T78" s="114">
        <f>SUMIF('Квартальная отчетность'!$E$10:$BM$10,YEAR(T$8),'Квартальная отчетность'!$E91:$BM91)</f>
        <v>0</v>
      </c>
    </row>
    <row r="79" spans="2:26" ht="15" customHeight="1">
      <c r="B79" s="259" t="s">
        <v>12</v>
      </c>
      <c r="C79" s="260" t="s">
        <v>11</v>
      </c>
      <c r="D79" s="261">
        <f t="shared" ref="D79:T79" si="25">SUM(D74:D78)</f>
        <v>0</v>
      </c>
      <c r="E79" s="248">
        <f t="shared" si="25"/>
        <v>0</v>
      </c>
      <c r="F79" s="248">
        <f t="shared" si="25"/>
        <v>0</v>
      </c>
      <c r="G79" s="248">
        <f t="shared" si="25"/>
        <v>0</v>
      </c>
      <c r="H79" s="248">
        <f t="shared" si="25"/>
        <v>0</v>
      </c>
      <c r="I79" s="248">
        <f t="shared" si="25"/>
        <v>0</v>
      </c>
      <c r="J79" s="248">
        <f t="shared" si="25"/>
        <v>0</v>
      </c>
      <c r="K79" s="248">
        <f t="shared" si="25"/>
        <v>0</v>
      </c>
      <c r="L79" s="248">
        <f t="shared" si="25"/>
        <v>0</v>
      </c>
      <c r="M79" s="248">
        <f t="shared" si="25"/>
        <v>0</v>
      </c>
      <c r="N79" s="248">
        <f t="shared" si="25"/>
        <v>0</v>
      </c>
      <c r="O79" s="248">
        <f t="shared" si="25"/>
        <v>0</v>
      </c>
      <c r="P79" s="248">
        <f t="shared" si="25"/>
        <v>0</v>
      </c>
      <c r="Q79" s="248">
        <f t="shared" si="25"/>
        <v>0</v>
      </c>
      <c r="R79" s="248">
        <f t="shared" si="25"/>
        <v>0</v>
      </c>
      <c r="S79" s="248">
        <f t="shared" si="25"/>
        <v>0</v>
      </c>
      <c r="T79" s="248">
        <f t="shared" si="25"/>
        <v>0</v>
      </c>
    </row>
    <row r="80" spans="2:26" ht="15" customHeight="1"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</row>
    <row r="81" spans="2:26">
      <c r="B81" s="120" t="s">
        <v>200</v>
      </c>
      <c r="C81" s="121"/>
      <c r="D81" s="12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5"/>
      <c r="V81" s="5"/>
      <c r="W81" s="5"/>
      <c r="X81" s="5"/>
    </row>
    <row r="82" spans="2:26" ht="15" customHeight="1">
      <c r="B82" s="112" t="s">
        <v>227</v>
      </c>
      <c r="C82" s="113" t="s">
        <v>11</v>
      </c>
      <c r="D82" s="248">
        <f>SUM(E82:T82)</f>
        <v>0</v>
      </c>
      <c r="E82" s="114">
        <f>SUMIF('Квартальная отчетность'!$E$10:$BM$10,YEAR(E$8),'Квартальная отчетность'!$E98:$BM98)</f>
        <v>0</v>
      </c>
      <c r="F82" s="114">
        <f>SUMIF('Квартальная отчетность'!$E$10:$BM$10,YEAR(F$8),'Квартальная отчетность'!$E98:$BM98)</f>
        <v>0</v>
      </c>
      <c r="G82" s="114">
        <f>SUMIF('Квартальная отчетность'!$E$10:$BM$10,YEAR(G$8),'Квартальная отчетность'!$E98:$BM98)</f>
        <v>0</v>
      </c>
      <c r="H82" s="114">
        <f>SUMIF('Квартальная отчетность'!$E$10:$BM$10,YEAR(H$8),'Квартальная отчетность'!$E98:$BM98)</f>
        <v>0</v>
      </c>
      <c r="I82" s="114">
        <f>SUMIF('Квартальная отчетность'!$E$10:$BM$10,YEAR(I$8),'Квартальная отчетность'!$E98:$BM98)</f>
        <v>0</v>
      </c>
      <c r="J82" s="114">
        <f>SUMIF('Квартальная отчетность'!$E$10:$BM$10,YEAR(J$8),'Квартальная отчетность'!$E98:$BM98)</f>
        <v>0</v>
      </c>
      <c r="K82" s="114">
        <f>SUMIF('Квартальная отчетность'!$E$10:$BM$10,YEAR(K$8),'Квартальная отчетность'!$E98:$BM98)</f>
        <v>0</v>
      </c>
      <c r="L82" s="114">
        <f>SUMIF('Квартальная отчетность'!$E$10:$BM$10,YEAR(L$8),'Квартальная отчетность'!$E98:$BM98)</f>
        <v>0</v>
      </c>
      <c r="M82" s="114">
        <f>SUMIF('Квартальная отчетность'!$E$10:$BM$10,YEAR(M$8),'Квартальная отчетность'!$E98:$BM98)</f>
        <v>0</v>
      </c>
      <c r="N82" s="114">
        <f>SUMIF('Квартальная отчетность'!$E$10:$BM$10,YEAR(N$8),'Квартальная отчетность'!$E98:$BM98)</f>
        <v>0</v>
      </c>
      <c r="O82" s="114">
        <f>SUMIF('Квартальная отчетность'!$E$10:$BM$10,YEAR(O$8),'Квартальная отчетность'!$E98:$BM98)</f>
        <v>0</v>
      </c>
      <c r="P82" s="114">
        <f>SUMIF('Квартальная отчетность'!$E$10:$BM$10,YEAR(P$8),'Квартальная отчетность'!$E98:$BM98)</f>
        <v>0</v>
      </c>
      <c r="Q82" s="114">
        <f>SUMIF('Квартальная отчетность'!$E$10:$BM$10,YEAR(Q$8),'Квартальная отчетность'!$E98:$BM98)</f>
        <v>0</v>
      </c>
      <c r="R82" s="114">
        <f>SUMIF('Квартальная отчетность'!$E$10:$BM$10,YEAR(R$8),'Квартальная отчетность'!$E98:$BM98)</f>
        <v>0</v>
      </c>
      <c r="S82" s="114">
        <f>SUMIF('Квартальная отчетность'!$E$10:$BM$10,YEAR(S$8),'Квартальная отчетность'!$E98:$BM98)</f>
        <v>0</v>
      </c>
      <c r="T82" s="114">
        <f>SUMIF('Квартальная отчетность'!$E$10:$BM$10,YEAR(T$8),'Квартальная отчетность'!$E98:$BM98)</f>
        <v>0</v>
      </c>
    </row>
    <row r="83" spans="2:26" ht="15" customHeight="1">
      <c r="B83" s="112" t="s">
        <v>229</v>
      </c>
      <c r="C83" s="113" t="s">
        <v>11</v>
      </c>
      <c r="D83" s="248">
        <f>SUM(E83:T83)</f>
        <v>0</v>
      </c>
      <c r="E83" s="114">
        <f>SUMIF('Квартальная отчетность'!$E$10:$BM$10,YEAR(E$8),'Квартальная отчетность'!$E99:$BM99)</f>
        <v>0</v>
      </c>
      <c r="F83" s="114">
        <f>SUMIF('Квартальная отчетность'!$E$10:$BM$10,YEAR(F$8),'Квартальная отчетность'!$E99:$BM99)</f>
        <v>0</v>
      </c>
      <c r="G83" s="114">
        <f>SUMIF('Квартальная отчетность'!$E$10:$BM$10,YEAR(G$8),'Квартальная отчетность'!$E99:$BM99)</f>
        <v>0</v>
      </c>
      <c r="H83" s="114">
        <f>SUMIF('Квартальная отчетность'!$E$10:$BM$10,YEAR(H$8),'Квартальная отчетность'!$E99:$BM99)</f>
        <v>0</v>
      </c>
      <c r="I83" s="114">
        <f>SUMIF('Квартальная отчетность'!$E$10:$BM$10,YEAR(I$8),'Квартальная отчетность'!$E99:$BM99)</f>
        <v>0</v>
      </c>
      <c r="J83" s="114">
        <f>SUMIF('Квартальная отчетность'!$E$10:$BM$10,YEAR(J$8),'Квартальная отчетность'!$E99:$BM99)</f>
        <v>0</v>
      </c>
      <c r="K83" s="114">
        <f>SUMIF('Квартальная отчетность'!$E$10:$BM$10,YEAR(K$8),'Квартальная отчетность'!$E99:$BM99)</f>
        <v>0</v>
      </c>
      <c r="L83" s="114">
        <f>SUMIF('Квартальная отчетность'!$E$10:$BM$10,YEAR(L$8),'Квартальная отчетность'!$E99:$BM99)</f>
        <v>0</v>
      </c>
      <c r="M83" s="114">
        <f>SUMIF('Квартальная отчетность'!$E$10:$BM$10,YEAR(M$8),'Квартальная отчетность'!$E99:$BM99)</f>
        <v>0</v>
      </c>
      <c r="N83" s="114">
        <f>SUMIF('Квартальная отчетность'!$E$10:$BM$10,YEAR(N$8),'Квартальная отчетность'!$E99:$BM99)</f>
        <v>0</v>
      </c>
      <c r="O83" s="114">
        <f>SUMIF('Квартальная отчетность'!$E$10:$BM$10,YEAR(O$8),'Квартальная отчетность'!$E99:$BM99)</f>
        <v>0</v>
      </c>
      <c r="P83" s="114">
        <f>SUMIF('Квартальная отчетность'!$E$10:$BM$10,YEAR(P$8),'Квартальная отчетность'!$E99:$BM99)</f>
        <v>0</v>
      </c>
      <c r="Q83" s="114">
        <f>SUMIF('Квартальная отчетность'!$E$10:$BM$10,YEAR(Q$8),'Квартальная отчетность'!$E99:$BM99)</f>
        <v>0</v>
      </c>
      <c r="R83" s="114">
        <f>SUMIF('Квартальная отчетность'!$E$10:$BM$10,YEAR(R$8),'Квартальная отчетность'!$E99:$BM99)</f>
        <v>0</v>
      </c>
      <c r="S83" s="114">
        <f>SUMIF('Квартальная отчетность'!$E$10:$BM$10,YEAR(S$8),'Квартальная отчетность'!$E99:$BM99)</f>
        <v>0</v>
      </c>
      <c r="T83" s="114">
        <f>SUMIF('Квартальная отчетность'!$E$10:$BM$10,YEAR(T$8),'Квартальная отчетность'!$E99:$BM99)</f>
        <v>0</v>
      </c>
    </row>
    <row r="84" spans="2:26" ht="15" customHeight="1">
      <c r="B84" s="112" t="s">
        <v>217</v>
      </c>
      <c r="C84" s="113" t="s">
        <v>11</v>
      </c>
      <c r="D84" s="248">
        <f>SUM(E84:T84)</f>
        <v>0</v>
      </c>
      <c r="E84" s="114">
        <f>SUMIF('Квартальная отчетность'!$E$10:$BM$10,YEAR(E$8),'Квартальная отчетность'!$E100:$BM100)</f>
        <v>0</v>
      </c>
      <c r="F84" s="114">
        <f>SUMIF('Квартальная отчетность'!$E$10:$BM$10,YEAR(F$8),'Квартальная отчетность'!$E100:$BM100)</f>
        <v>0</v>
      </c>
      <c r="G84" s="114">
        <f>SUMIF('Квартальная отчетность'!$E$10:$BM$10,YEAR(G$8),'Квартальная отчетность'!$E100:$BM100)</f>
        <v>0</v>
      </c>
      <c r="H84" s="114">
        <f>SUMIF('Квартальная отчетность'!$E$10:$BM$10,YEAR(H$8),'Квартальная отчетность'!$E100:$BM100)</f>
        <v>0</v>
      </c>
      <c r="I84" s="114">
        <f>SUMIF('Квартальная отчетность'!$E$10:$BM$10,YEAR(I$8),'Квартальная отчетность'!$E100:$BM100)</f>
        <v>0</v>
      </c>
      <c r="J84" s="114">
        <f>SUMIF('Квартальная отчетность'!$E$10:$BM$10,YEAR(J$8),'Квартальная отчетность'!$E100:$BM100)</f>
        <v>0</v>
      </c>
      <c r="K84" s="114">
        <f>SUMIF('Квартальная отчетность'!$E$10:$BM$10,YEAR(K$8),'Квартальная отчетность'!$E100:$BM100)</f>
        <v>0</v>
      </c>
      <c r="L84" s="114">
        <f>SUMIF('Квартальная отчетность'!$E$10:$BM$10,YEAR(L$8),'Квартальная отчетность'!$E100:$BM100)</f>
        <v>0</v>
      </c>
      <c r="M84" s="114">
        <f>SUMIF('Квартальная отчетность'!$E$10:$BM$10,YEAR(M$8),'Квартальная отчетность'!$E100:$BM100)</f>
        <v>0</v>
      </c>
      <c r="N84" s="114">
        <f>SUMIF('Квартальная отчетность'!$E$10:$BM$10,YEAR(N$8),'Квартальная отчетность'!$E100:$BM100)</f>
        <v>0</v>
      </c>
      <c r="O84" s="114">
        <f>SUMIF('Квартальная отчетность'!$E$10:$BM$10,YEAR(O$8),'Квартальная отчетность'!$E100:$BM100)</f>
        <v>0</v>
      </c>
      <c r="P84" s="114">
        <f>SUMIF('Квартальная отчетность'!$E$10:$BM$10,YEAR(P$8),'Квартальная отчетность'!$E100:$BM100)</f>
        <v>0</v>
      </c>
      <c r="Q84" s="114">
        <f>SUMIF('Квартальная отчетность'!$E$10:$BM$10,YEAR(Q$8),'Квартальная отчетность'!$E100:$BM100)</f>
        <v>0</v>
      </c>
      <c r="R84" s="114">
        <f>SUMIF('Квартальная отчетность'!$E$10:$BM$10,YEAR(R$8),'Квартальная отчетность'!$E100:$BM100)</f>
        <v>0</v>
      </c>
      <c r="S84" s="114">
        <f>SUMIF('Квартальная отчетность'!$E$10:$BM$10,YEAR(S$8),'Квартальная отчетность'!$E100:$BM100)</f>
        <v>0</v>
      </c>
      <c r="T84" s="114">
        <f>SUMIF('Квартальная отчетность'!$E$10:$BM$10,YEAR(T$8),'Квартальная отчетность'!$E100:$BM100)</f>
        <v>0</v>
      </c>
    </row>
    <row r="85" spans="2:26" ht="15" customHeight="1">
      <c r="B85" s="259" t="s">
        <v>12</v>
      </c>
      <c r="C85" s="260" t="s">
        <v>11</v>
      </c>
      <c r="D85" s="261">
        <f t="shared" ref="D85:T85" si="26">SUM(D82:D84)</f>
        <v>0</v>
      </c>
      <c r="E85" s="248">
        <f t="shared" si="26"/>
        <v>0</v>
      </c>
      <c r="F85" s="248">
        <f t="shared" si="26"/>
        <v>0</v>
      </c>
      <c r="G85" s="248">
        <f t="shared" si="26"/>
        <v>0</v>
      </c>
      <c r="H85" s="248">
        <f t="shared" si="26"/>
        <v>0</v>
      </c>
      <c r="I85" s="248">
        <f t="shared" si="26"/>
        <v>0</v>
      </c>
      <c r="J85" s="248">
        <f t="shared" si="26"/>
        <v>0</v>
      </c>
      <c r="K85" s="248">
        <f t="shared" si="26"/>
        <v>0</v>
      </c>
      <c r="L85" s="248">
        <f t="shared" si="26"/>
        <v>0</v>
      </c>
      <c r="M85" s="248">
        <f t="shared" si="26"/>
        <v>0</v>
      </c>
      <c r="N85" s="248">
        <f t="shared" si="26"/>
        <v>0</v>
      </c>
      <c r="O85" s="248">
        <f t="shared" si="26"/>
        <v>0</v>
      </c>
      <c r="P85" s="248">
        <f t="shared" si="26"/>
        <v>0</v>
      </c>
      <c r="Q85" s="248">
        <f t="shared" si="26"/>
        <v>0</v>
      </c>
      <c r="R85" s="248">
        <f t="shared" si="26"/>
        <v>0</v>
      </c>
      <c r="S85" s="248">
        <f t="shared" si="26"/>
        <v>0</v>
      </c>
      <c r="T85" s="248">
        <f t="shared" si="26"/>
        <v>0</v>
      </c>
    </row>
    <row r="86" spans="2:26" ht="15" customHeight="1">
      <c r="B86" s="37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</row>
    <row r="87" spans="2:26" ht="15" customHeight="1">
      <c r="B87" s="262" t="s">
        <v>111</v>
      </c>
      <c r="C87" s="263" t="s">
        <v>11</v>
      </c>
      <c r="D87" s="261">
        <f t="shared" ref="D87:E87" si="27">SUM(D79,D85)</f>
        <v>0</v>
      </c>
      <c r="E87" s="261">
        <f t="shared" si="27"/>
        <v>0</v>
      </c>
      <c r="F87" s="261">
        <f t="shared" ref="F87:T87" si="28">SUM(F79,F85)</f>
        <v>0</v>
      </c>
      <c r="G87" s="261">
        <f t="shared" si="28"/>
        <v>0</v>
      </c>
      <c r="H87" s="261">
        <f t="shared" si="28"/>
        <v>0</v>
      </c>
      <c r="I87" s="261">
        <f t="shared" si="28"/>
        <v>0</v>
      </c>
      <c r="J87" s="261">
        <f t="shared" si="28"/>
        <v>0</v>
      </c>
      <c r="K87" s="261">
        <f t="shared" si="28"/>
        <v>0</v>
      </c>
      <c r="L87" s="261">
        <f t="shared" si="28"/>
        <v>0</v>
      </c>
      <c r="M87" s="261">
        <f t="shared" si="28"/>
        <v>0</v>
      </c>
      <c r="N87" s="261">
        <f t="shared" si="28"/>
        <v>0</v>
      </c>
      <c r="O87" s="261">
        <f t="shared" si="28"/>
        <v>0</v>
      </c>
      <c r="P87" s="261">
        <f t="shared" si="28"/>
        <v>0</v>
      </c>
      <c r="Q87" s="261">
        <f t="shared" si="28"/>
        <v>0</v>
      </c>
      <c r="R87" s="261">
        <f t="shared" si="28"/>
        <v>0</v>
      </c>
      <c r="S87" s="261">
        <f t="shared" si="28"/>
        <v>0</v>
      </c>
      <c r="T87" s="261">
        <f t="shared" si="28"/>
        <v>0</v>
      </c>
    </row>
    <row r="88" spans="2:26" ht="15" customHeight="1">
      <c r="B88" s="37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</row>
    <row r="89" spans="2:26" ht="15" customHeight="1">
      <c r="B89" s="118" t="s">
        <v>112</v>
      </c>
      <c r="C89" s="37"/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</row>
    <row r="90" spans="2:26" ht="15" customHeight="1">
      <c r="B90" s="112" t="s">
        <v>114</v>
      </c>
      <c r="C90" s="113" t="s">
        <v>11</v>
      </c>
      <c r="D90" s="248">
        <f>SUM(E90:T90)</f>
        <v>0</v>
      </c>
      <c r="E90" s="114">
        <f>IF(E6=1,'Квартальная отчетность'!E113,D92)*IF($K$3&lt;DATE(YEAR(E8),1,1),0,1)</f>
        <v>0</v>
      </c>
      <c r="F90" s="114">
        <f>IF(F6=1,'Квартальная отчетность'!F113,E92)*IF($K$3&lt;DATE(YEAR(F8),1,1),0,1)</f>
        <v>0</v>
      </c>
      <c r="G90" s="114">
        <f>IF(G6=1,'Квартальная отчетность'!G113,F92)*IF($K$3&lt;DATE(YEAR(G8),1,1),0,1)</f>
        <v>0</v>
      </c>
      <c r="H90" s="114">
        <f>IF(H6=1,'Квартальная отчетность'!H113,G92)*IF($K$3&lt;DATE(YEAR(H8),1,1),0,1)</f>
        <v>0</v>
      </c>
      <c r="I90" s="114">
        <f>IF(I6=1,'Квартальная отчетность'!I113,H92)*IF($K$3&lt;DATE(YEAR(I8),1,1),0,1)</f>
        <v>0</v>
      </c>
      <c r="J90" s="114">
        <f>IF(J6=1,'Квартальная отчетность'!J113,I92)*IF($K$3&lt;DATE(YEAR(J8),1,1),0,1)</f>
        <v>0</v>
      </c>
      <c r="K90" s="114">
        <f>IF(K6=1,'Квартальная отчетность'!K113,J92)*IF($K$3&lt;DATE(YEAR(K8),1,1),0,1)</f>
        <v>0</v>
      </c>
      <c r="L90" s="114">
        <f>IF(L6=1,'Квартальная отчетность'!L113,K92)*IF($K$3&lt;DATE(YEAR(L8),1,1),0,1)</f>
        <v>0</v>
      </c>
      <c r="M90" s="114">
        <f>IF(M6=1,'Квартальная отчетность'!M113,L92)*IF($K$3&lt;DATE(YEAR(M8),1,1),0,1)</f>
        <v>0</v>
      </c>
      <c r="N90" s="114">
        <f>IF(N6=1,'Квартальная отчетность'!N113,M92)*IF($K$3&lt;DATE(YEAR(N8),1,1),0,1)</f>
        <v>0</v>
      </c>
      <c r="O90" s="114">
        <f>IF(O6=1,'Квартальная отчетность'!O113,N92)*IF($K$3&lt;DATE(YEAR(O8),1,1),0,1)</f>
        <v>0</v>
      </c>
      <c r="P90" s="114">
        <f>IF(P6=1,'Квартальная отчетность'!P113,O92)*IF($K$3&lt;DATE(YEAR(P8),1,1),0,1)</f>
        <v>0</v>
      </c>
      <c r="Q90" s="114">
        <f>IF(Q6=1,'Квартальная отчетность'!Q113,P92)*IF($K$3&lt;DATE(YEAR(Q8),1,1),0,1)</f>
        <v>0</v>
      </c>
      <c r="R90" s="114">
        <f>IF(R6=1,'Квартальная отчетность'!R113,Q92)*IF($K$3&lt;DATE(YEAR(R8),1,1),0,1)</f>
        <v>0</v>
      </c>
      <c r="S90" s="114">
        <f>IF(S6=1,'Квартальная отчетность'!S113,R92)*IF($K$3&lt;DATE(YEAR(S8),1,1),0,1)</f>
        <v>0</v>
      </c>
      <c r="T90" s="114">
        <f>IF(T6=1,'Квартальная отчетность'!T113,S92)*IF($K$3&lt;DATE(YEAR(T8),1,1),0,1)</f>
        <v>0</v>
      </c>
    </row>
    <row r="91" spans="2:26" ht="15" customHeight="1">
      <c r="B91" s="112" t="s">
        <v>113</v>
      </c>
      <c r="C91" s="113" t="s">
        <v>11</v>
      </c>
      <c r="D91" s="248">
        <f>SUM(E91:T91)</f>
        <v>0</v>
      </c>
      <c r="E91" s="114">
        <f t="shared" ref="E91:T91" si="29">SUM(E52,E70,E87)</f>
        <v>0</v>
      </c>
      <c r="F91" s="114">
        <f t="shared" si="29"/>
        <v>0</v>
      </c>
      <c r="G91" s="114">
        <f t="shared" si="29"/>
        <v>0</v>
      </c>
      <c r="H91" s="114">
        <f t="shared" si="29"/>
        <v>0</v>
      </c>
      <c r="I91" s="114">
        <f t="shared" si="29"/>
        <v>0</v>
      </c>
      <c r="J91" s="114">
        <f t="shared" si="29"/>
        <v>0</v>
      </c>
      <c r="K91" s="114">
        <f t="shared" si="29"/>
        <v>0</v>
      </c>
      <c r="L91" s="114">
        <f t="shared" si="29"/>
        <v>0</v>
      </c>
      <c r="M91" s="114">
        <f t="shared" si="29"/>
        <v>0</v>
      </c>
      <c r="N91" s="114">
        <f t="shared" si="29"/>
        <v>0</v>
      </c>
      <c r="O91" s="114">
        <f t="shared" si="29"/>
        <v>0</v>
      </c>
      <c r="P91" s="114">
        <f t="shared" si="29"/>
        <v>0</v>
      </c>
      <c r="Q91" s="114">
        <f t="shared" si="29"/>
        <v>0</v>
      </c>
      <c r="R91" s="114">
        <f t="shared" si="29"/>
        <v>0</v>
      </c>
      <c r="S91" s="114">
        <f t="shared" si="29"/>
        <v>0</v>
      </c>
      <c r="T91" s="114">
        <f t="shared" si="29"/>
        <v>0</v>
      </c>
    </row>
    <row r="92" spans="2:26" ht="15" customHeight="1">
      <c r="B92" s="259" t="s">
        <v>115</v>
      </c>
      <c r="C92" s="260" t="s">
        <v>11</v>
      </c>
      <c r="D92" s="261">
        <f>SUM(D90:D91)</f>
        <v>0</v>
      </c>
      <c r="E92" s="248">
        <f t="shared" ref="E92" si="30">SUM(E90:E91)</f>
        <v>0</v>
      </c>
      <c r="F92" s="248">
        <f t="shared" ref="F92:L92" si="31">SUM(F90:F91)</f>
        <v>0</v>
      </c>
      <c r="G92" s="248">
        <f t="shared" si="31"/>
        <v>0</v>
      </c>
      <c r="H92" s="248">
        <f t="shared" si="31"/>
        <v>0</v>
      </c>
      <c r="I92" s="248">
        <f t="shared" si="31"/>
        <v>0</v>
      </c>
      <c r="J92" s="248">
        <f t="shared" si="31"/>
        <v>0</v>
      </c>
      <c r="K92" s="248">
        <f t="shared" si="31"/>
        <v>0</v>
      </c>
      <c r="L92" s="248">
        <f t="shared" si="31"/>
        <v>0</v>
      </c>
      <c r="M92" s="248">
        <f t="shared" ref="M92:T92" si="32">SUM(M90:M91)</f>
        <v>0</v>
      </c>
      <c r="N92" s="248">
        <f t="shared" si="32"/>
        <v>0</v>
      </c>
      <c r="O92" s="248">
        <f t="shared" si="32"/>
        <v>0</v>
      </c>
      <c r="P92" s="248">
        <f t="shared" si="32"/>
        <v>0</v>
      </c>
      <c r="Q92" s="248">
        <f t="shared" si="32"/>
        <v>0</v>
      </c>
      <c r="R92" s="248">
        <f t="shared" si="32"/>
        <v>0</v>
      </c>
      <c r="S92" s="248">
        <f t="shared" si="32"/>
        <v>0</v>
      </c>
      <c r="T92" s="248">
        <f t="shared" si="32"/>
        <v>0</v>
      </c>
    </row>
    <row r="93" spans="2:26" ht="15" customHeight="1">
      <c r="B93" s="37"/>
      <c r="C93" s="37"/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37"/>
    </row>
    <row r="94" spans="2:26" ht="15" customHeight="1">
      <c r="B94" s="112" t="s">
        <v>116</v>
      </c>
      <c r="C94" s="119" t="str">
        <f>IFERROR(IF(ROUND(MIN(E92:T92),2)&lt;0,"Q","R"),"Q")</f>
        <v>R</v>
      </c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37"/>
    </row>
    <row r="95" spans="2:26" ht="15" customHeight="1">
      <c r="B95" s="37"/>
      <c r="C95" s="37"/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37"/>
    </row>
    <row r="96" spans="2:26" ht="21">
      <c r="B96" s="40" t="s">
        <v>67</v>
      </c>
      <c r="C96" s="37"/>
      <c r="D96" s="40"/>
      <c r="E96" s="41"/>
      <c r="F96" s="41"/>
      <c r="G96" s="41"/>
      <c r="H96" s="41"/>
      <c r="I96" s="41"/>
      <c r="J96" s="41"/>
      <c r="K96" s="41"/>
      <c r="L96" s="41"/>
      <c r="M96" s="41"/>
      <c r="N96" s="41"/>
      <c r="O96" s="41"/>
      <c r="P96" s="41"/>
      <c r="Q96" s="41"/>
      <c r="R96" s="41"/>
      <c r="S96" s="41"/>
      <c r="T96" s="41"/>
      <c r="U96" s="5"/>
      <c r="V96" s="5"/>
      <c r="W96" s="5"/>
      <c r="X96" s="5"/>
      <c r="Y96" s="5"/>
      <c r="Z96" s="5"/>
    </row>
    <row r="97" spans="2:26" ht="21">
      <c r="B97" s="118" t="s">
        <v>68</v>
      </c>
      <c r="C97" s="37"/>
      <c r="D97" s="40"/>
      <c r="E97" s="41"/>
      <c r="F97" s="41"/>
      <c r="G97" s="41"/>
      <c r="H97" s="41"/>
      <c r="I97" s="41"/>
      <c r="J97" s="41"/>
      <c r="K97" s="41"/>
      <c r="L97" s="41"/>
      <c r="M97" s="41"/>
      <c r="N97" s="41"/>
      <c r="O97" s="41"/>
      <c r="P97" s="41"/>
      <c r="Q97" s="41"/>
      <c r="R97" s="41"/>
      <c r="S97" s="41"/>
      <c r="T97" s="41"/>
      <c r="U97" s="5"/>
      <c r="V97" s="5"/>
      <c r="W97" s="5"/>
      <c r="X97" s="5"/>
      <c r="Y97" s="5"/>
      <c r="Z97" s="5"/>
    </row>
    <row r="98" spans="2:26" ht="15" customHeight="1">
      <c r="B98" s="112" t="s">
        <v>176</v>
      </c>
      <c r="C98" s="113" t="str">
        <f t="shared" ref="C98:C107" si="33">Единица_измерения</f>
        <v>тыс. руб.</v>
      </c>
      <c r="D98" s="114"/>
      <c r="E98" s="114">
        <f>LOOKUP(E$8,'Квартальная отчетность'!$E$8:$AG$8,'Квартальная отчетность'!$E124:$AG124)</f>
        <v>0</v>
      </c>
      <c r="F98" s="114">
        <f>LOOKUP(F$8,'Квартальная отчетность'!$E$8:$AG$8,'Квартальная отчетность'!$E124:$AG124)</f>
        <v>0</v>
      </c>
      <c r="G98" s="114">
        <f>LOOKUP(G$8,'Квартальная отчетность'!$E$8:$AG$8,'Квартальная отчетность'!$E124:$AG124)</f>
        <v>0</v>
      </c>
      <c r="H98" s="114">
        <f>LOOKUP(H$8,'Квартальная отчетность'!$E$8:$AG$8,'Квартальная отчетность'!$E124:$AG124)</f>
        <v>0</v>
      </c>
      <c r="I98" s="114">
        <f>LOOKUP(I$8,'Квартальная отчетность'!$E$8:$AG$8,'Квартальная отчетность'!$E124:$AG124)</f>
        <v>0</v>
      </c>
      <c r="J98" s="114">
        <f>LOOKUP(J$8,'Квартальная отчетность'!$E$8:$AG$8,'Квартальная отчетность'!$E124:$AG124)</f>
        <v>0</v>
      </c>
      <c r="K98" s="114">
        <f>LOOKUP(K$8,'Квартальная отчетность'!$E$8:$AG$8,'Квартальная отчетность'!$E124:$AG124)</f>
        <v>0</v>
      </c>
      <c r="L98" s="114">
        <f>LOOKUP(L$8,'Квартальная отчетность'!$E$8:$AG$8,'Квартальная отчетность'!$E124:$AG124)</f>
        <v>0</v>
      </c>
      <c r="M98" s="114">
        <f>LOOKUP(M$8,'Квартальная отчетность'!$E$8:$AG$8,'Квартальная отчетность'!$E124:$AG124)</f>
        <v>0</v>
      </c>
      <c r="N98" s="114">
        <f>LOOKUP(N$8,'Квартальная отчетность'!$E$8:$AG$8,'Квартальная отчетность'!$E124:$AG124)</f>
        <v>0</v>
      </c>
      <c r="O98" s="114">
        <f>LOOKUP(O$8,'Квартальная отчетность'!$E$8:$AG$8,'Квартальная отчетность'!$E124:$AG124)</f>
        <v>0</v>
      </c>
      <c r="P98" s="114">
        <f>LOOKUP(P$8,'Квартальная отчетность'!$E$8:$AG$8,'Квартальная отчетность'!$E124:$AG124)</f>
        <v>0</v>
      </c>
      <c r="Q98" s="114">
        <f>LOOKUP(Q$8,'Квартальная отчетность'!$E$8:$AG$8,'Квартальная отчетность'!$E124:$AG124)</f>
        <v>0</v>
      </c>
      <c r="R98" s="114">
        <f>LOOKUP(R$8,'Квартальная отчетность'!$E$8:$AG$8,'Квартальная отчетность'!$E124:$AG124)</f>
        <v>0</v>
      </c>
      <c r="S98" s="114">
        <f>LOOKUP(S$8,'Квартальная отчетность'!$E$8:$AG$8,'Квартальная отчетность'!$E124:$AG124)</f>
        <v>0</v>
      </c>
      <c r="T98" s="114">
        <f>LOOKUP(T$8,'Квартальная отчетность'!$E$8:$AG$8,'Квартальная отчетность'!$E124:$AG124)</f>
        <v>0</v>
      </c>
    </row>
    <row r="99" spans="2:26" ht="15" customHeight="1">
      <c r="B99" s="117" t="s">
        <v>177</v>
      </c>
      <c r="C99" s="113" t="str">
        <f t="shared" si="33"/>
        <v>тыс. руб.</v>
      </c>
      <c r="D99" s="114"/>
      <c r="E99" s="114">
        <f>LOOKUP(E$8,'Квартальная отчетность'!$E$8:$AG$8,'Квартальная отчетность'!$E125:$AG125)</f>
        <v>0</v>
      </c>
      <c r="F99" s="114">
        <f>LOOKUP(F$8,'Квартальная отчетность'!$E$8:$AG$8,'Квартальная отчетность'!$E125:$AG125)</f>
        <v>0</v>
      </c>
      <c r="G99" s="114">
        <f>LOOKUP(G$8,'Квартальная отчетность'!$E$8:$AG$8,'Квартальная отчетность'!$E125:$AG125)</f>
        <v>0</v>
      </c>
      <c r="H99" s="114">
        <f>LOOKUP(H$8,'Квартальная отчетность'!$E$8:$AG$8,'Квартальная отчетность'!$E125:$AG125)</f>
        <v>0</v>
      </c>
      <c r="I99" s="114">
        <f>LOOKUP(I$8,'Квартальная отчетность'!$E$8:$AG$8,'Квартальная отчетность'!$E125:$AG125)</f>
        <v>0</v>
      </c>
      <c r="J99" s="114">
        <f>LOOKUP(J$8,'Квартальная отчетность'!$E$8:$AG$8,'Квартальная отчетность'!$E125:$AG125)</f>
        <v>0</v>
      </c>
      <c r="K99" s="114">
        <f>LOOKUP(K$8,'Квартальная отчетность'!$E$8:$AG$8,'Квартальная отчетность'!$E125:$AG125)</f>
        <v>0</v>
      </c>
      <c r="L99" s="114">
        <f>LOOKUP(L$8,'Квартальная отчетность'!$E$8:$AG$8,'Квартальная отчетность'!$E125:$AG125)</f>
        <v>0</v>
      </c>
      <c r="M99" s="114">
        <f>LOOKUP(M$8,'Квартальная отчетность'!$E$8:$AG$8,'Квартальная отчетность'!$E125:$AG125)</f>
        <v>0</v>
      </c>
      <c r="N99" s="114">
        <f>LOOKUP(N$8,'Квартальная отчетность'!$E$8:$AG$8,'Квартальная отчетность'!$E125:$AG125)</f>
        <v>0</v>
      </c>
      <c r="O99" s="114">
        <f>LOOKUP(O$8,'Квартальная отчетность'!$E$8:$AG$8,'Квартальная отчетность'!$E125:$AG125)</f>
        <v>0</v>
      </c>
      <c r="P99" s="114">
        <f>LOOKUP(P$8,'Квартальная отчетность'!$E$8:$AG$8,'Квартальная отчетность'!$E125:$AG125)</f>
        <v>0</v>
      </c>
      <c r="Q99" s="114">
        <f>LOOKUP(Q$8,'Квартальная отчетность'!$E$8:$AG$8,'Квартальная отчетность'!$E125:$AG125)</f>
        <v>0</v>
      </c>
      <c r="R99" s="114">
        <f>LOOKUP(R$8,'Квартальная отчетность'!$E$8:$AG$8,'Квартальная отчетность'!$E125:$AG125)</f>
        <v>0</v>
      </c>
      <c r="S99" s="114">
        <f>LOOKUP(S$8,'Квартальная отчетность'!$E$8:$AG$8,'Квартальная отчетность'!$E125:$AG125)</f>
        <v>0</v>
      </c>
      <c r="T99" s="114">
        <f>LOOKUP(T$8,'Квартальная отчетность'!$E$8:$AG$8,'Квартальная отчетность'!$E125:$AG125)</f>
        <v>0</v>
      </c>
    </row>
    <row r="100" spans="2:26" ht="15" customHeight="1">
      <c r="B100" s="117" t="s">
        <v>178</v>
      </c>
      <c r="C100" s="113" t="str">
        <f t="shared" si="33"/>
        <v>тыс. руб.</v>
      </c>
      <c r="D100" s="114"/>
      <c r="E100" s="114">
        <f>LOOKUP(E$8,'Квартальная отчетность'!$E$8:$AG$8,'Квартальная отчетность'!$E126:$AG126)</f>
        <v>0</v>
      </c>
      <c r="F100" s="114">
        <f>LOOKUP(F$8,'Квартальная отчетность'!$E$8:$AG$8,'Квартальная отчетность'!$E126:$AG126)</f>
        <v>0</v>
      </c>
      <c r="G100" s="114">
        <f>LOOKUP(G$8,'Квартальная отчетность'!$E$8:$AG$8,'Квартальная отчетность'!$E126:$AG126)</f>
        <v>0</v>
      </c>
      <c r="H100" s="114">
        <f>LOOKUP(H$8,'Квартальная отчетность'!$E$8:$AG$8,'Квартальная отчетность'!$E126:$AG126)</f>
        <v>0</v>
      </c>
      <c r="I100" s="114">
        <f>LOOKUP(I$8,'Квартальная отчетность'!$E$8:$AG$8,'Квартальная отчетность'!$E126:$AG126)</f>
        <v>0</v>
      </c>
      <c r="J100" s="114">
        <f>LOOKUP(J$8,'Квартальная отчетность'!$E$8:$AG$8,'Квартальная отчетность'!$E126:$AG126)</f>
        <v>0</v>
      </c>
      <c r="K100" s="114">
        <f>LOOKUP(K$8,'Квартальная отчетность'!$E$8:$AG$8,'Квартальная отчетность'!$E126:$AG126)</f>
        <v>0</v>
      </c>
      <c r="L100" s="114">
        <f>LOOKUP(L$8,'Квартальная отчетность'!$E$8:$AG$8,'Квартальная отчетность'!$E126:$AG126)</f>
        <v>0</v>
      </c>
      <c r="M100" s="114">
        <f>LOOKUP(M$8,'Квартальная отчетность'!$E$8:$AG$8,'Квартальная отчетность'!$E126:$AG126)</f>
        <v>0</v>
      </c>
      <c r="N100" s="114">
        <f>LOOKUP(N$8,'Квартальная отчетность'!$E$8:$AG$8,'Квартальная отчетность'!$E126:$AG126)</f>
        <v>0</v>
      </c>
      <c r="O100" s="114">
        <f>LOOKUP(O$8,'Квартальная отчетность'!$E$8:$AG$8,'Квартальная отчетность'!$E126:$AG126)</f>
        <v>0</v>
      </c>
      <c r="P100" s="114">
        <f>LOOKUP(P$8,'Квартальная отчетность'!$E$8:$AG$8,'Квартальная отчетность'!$E126:$AG126)</f>
        <v>0</v>
      </c>
      <c r="Q100" s="114">
        <f>LOOKUP(Q$8,'Квартальная отчетность'!$E$8:$AG$8,'Квартальная отчетность'!$E126:$AG126)</f>
        <v>0</v>
      </c>
      <c r="R100" s="114">
        <f>LOOKUP(R$8,'Квартальная отчетность'!$E$8:$AG$8,'Квартальная отчетность'!$E126:$AG126)</f>
        <v>0</v>
      </c>
      <c r="S100" s="114">
        <f>LOOKUP(S$8,'Квартальная отчетность'!$E$8:$AG$8,'Квартальная отчетность'!$E126:$AG126)</f>
        <v>0</v>
      </c>
      <c r="T100" s="114">
        <f>LOOKUP(T$8,'Квартальная отчетность'!$E$8:$AG$8,'Квартальная отчетность'!$E126:$AG126)</f>
        <v>0</v>
      </c>
    </row>
    <row r="101" spans="2:26" ht="15" customHeight="1">
      <c r="B101" s="117" t="s">
        <v>179</v>
      </c>
      <c r="C101" s="113" t="str">
        <f t="shared" si="33"/>
        <v>тыс. руб.</v>
      </c>
      <c r="D101" s="114"/>
      <c r="E101" s="114">
        <f>LOOKUP(E$8,'Квартальная отчетность'!$E$8:$AG$8,'Квартальная отчетность'!$E127:$AG127)</f>
        <v>0</v>
      </c>
      <c r="F101" s="114">
        <f>LOOKUP(F$8,'Квартальная отчетность'!$E$8:$AG$8,'Квартальная отчетность'!$E127:$AG127)</f>
        <v>0</v>
      </c>
      <c r="G101" s="114">
        <f>LOOKUP(G$8,'Квартальная отчетность'!$E$8:$AG$8,'Квартальная отчетность'!$E127:$AG127)</f>
        <v>0</v>
      </c>
      <c r="H101" s="114">
        <f>LOOKUP(H$8,'Квартальная отчетность'!$E$8:$AG$8,'Квартальная отчетность'!$E127:$AG127)</f>
        <v>0</v>
      </c>
      <c r="I101" s="114">
        <f>LOOKUP(I$8,'Квартальная отчетность'!$E$8:$AG$8,'Квартальная отчетность'!$E127:$AG127)</f>
        <v>0</v>
      </c>
      <c r="J101" s="114">
        <f>LOOKUP(J$8,'Квартальная отчетность'!$E$8:$AG$8,'Квартальная отчетность'!$E127:$AG127)</f>
        <v>0</v>
      </c>
      <c r="K101" s="114">
        <f>LOOKUP(K$8,'Квартальная отчетность'!$E$8:$AG$8,'Квартальная отчетность'!$E127:$AG127)</f>
        <v>0</v>
      </c>
      <c r="L101" s="114">
        <f>LOOKUP(L$8,'Квартальная отчетность'!$E$8:$AG$8,'Квартальная отчетность'!$E127:$AG127)</f>
        <v>0</v>
      </c>
      <c r="M101" s="114">
        <f>LOOKUP(M$8,'Квартальная отчетность'!$E$8:$AG$8,'Квартальная отчетность'!$E127:$AG127)</f>
        <v>0</v>
      </c>
      <c r="N101" s="114">
        <f>LOOKUP(N$8,'Квартальная отчетность'!$E$8:$AG$8,'Квартальная отчетность'!$E127:$AG127)</f>
        <v>0</v>
      </c>
      <c r="O101" s="114">
        <f>LOOKUP(O$8,'Квартальная отчетность'!$E$8:$AG$8,'Квартальная отчетность'!$E127:$AG127)</f>
        <v>0</v>
      </c>
      <c r="P101" s="114">
        <f>LOOKUP(P$8,'Квартальная отчетность'!$E$8:$AG$8,'Квартальная отчетность'!$E127:$AG127)</f>
        <v>0</v>
      </c>
      <c r="Q101" s="114">
        <f>LOOKUP(Q$8,'Квартальная отчетность'!$E$8:$AG$8,'Квартальная отчетность'!$E127:$AG127)</f>
        <v>0</v>
      </c>
      <c r="R101" s="114">
        <f>LOOKUP(R$8,'Квартальная отчетность'!$E$8:$AG$8,'Квартальная отчетность'!$E127:$AG127)</f>
        <v>0</v>
      </c>
      <c r="S101" s="114">
        <f>LOOKUP(S$8,'Квартальная отчетность'!$E$8:$AG$8,'Квартальная отчетность'!$E127:$AG127)</f>
        <v>0</v>
      </c>
      <c r="T101" s="114">
        <f>LOOKUP(T$8,'Квартальная отчетность'!$E$8:$AG$8,'Квартальная отчетность'!$E127:$AG127)</f>
        <v>0</v>
      </c>
    </row>
    <row r="102" spans="2:26" ht="15" customHeight="1">
      <c r="B102" s="117" t="s">
        <v>69</v>
      </c>
      <c r="C102" s="113" t="str">
        <f t="shared" si="33"/>
        <v>тыс. руб.</v>
      </c>
      <c r="D102" s="114"/>
      <c r="E102" s="114">
        <f>LOOKUP(E$8,'Квартальная отчетность'!$E$8:$AG$8,'Квартальная отчетность'!$E128:$AG128)</f>
        <v>0</v>
      </c>
      <c r="F102" s="114">
        <f>LOOKUP(F$8,'Квартальная отчетность'!$E$8:$AG$8,'Квартальная отчетность'!$E128:$AG128)</f>
        <v>0</v>
      </c>
      <c r="G102" s="114">
        <f>LOOKUP(G$8,'Квартальная отчетность'!$E$8:$AG$8,'Квартальная отчетность'!$E128:$AG128)</f>
        <v>0</v>
      </c>
      <c r="H102" s="114">
        <f>LOOKUP(H$8,'Квартальная отчетность'!$E$8:$AG$8,'Квартальная отчетность'!$E128:$AG128)</f>
        <v>0</v>
      </c>
      <c r="I102" s="114">
        <f>LOOKUP(I$8,'Квартальная отчетность'!$E$8:$AG$8,'Квартальная отчетность'!$E128:$AG128)</f>
        <v>0</v>
      </c>
      <c r="J102" s="114">
        <f>LOOKUP(J$8,'Квартальная отчетность'!$E$8:$AG$8,'Квартальная отчетность'!$E128:$AG128)</f>
        <v>0</v>
      </c>
      <c r="K102" s="114">
        <f>LOOKUP(K$8,'Квартальная отчетность'!$E$8:$AG$8,'Квартальная отчетность'!$E128:$AG128)</f>
        <v>0</v>
      </c>
      <c r="L102" s="114">
        <f>LOOKUP(L$8,'Квартальная отчетность'!$E$8:$AG$8,'Квартальная отчетность'!$E128:$AG128)</f>
        <v>0</v>
      </c>
      <c r="M102" s="114">
        <f>LOOKUP(M$8,'Квартальная отчетность'!$E$8:$AG$8,'Квартальная отчетность'!$E128:$AG128)</f>
        <v>0</v>
      </c>
      <c r="N102" s="114">
        <f>LOOKUP(N$8,'Квартальная отчетность'!$E$8:$AG$8,'Квартальная отчетность'!$E128:$AG128)</f>
        <v>0</v>
      </c>
      <c r="O102" s="114">
        <f>LOOKUP(O$8,'Квартальная отчетность'!$E$8:$AG$8,'Квартальная отчетность'!$E128:$AG128)</f>
        <v>0</v>
      </c>
      <c r="P102" s="114">
        <f>LOOKUP(P$8,'Квартальная отчетность'!$E$8:$AG$8,'Квартальная отчетность'!$E128:$AG128)</f>
        <v>0</v>
      </c>
      <c r="Q102" s="114">
        <f>LOOKUP(Q$8,'Квартальная отчетность'!$E$8:$AG$8,'Квартальная отчетность'!$E128:$AG128)</f>
        <v>0</v>
      </c>
      <c r="R102" s="114">
        <f>LOOKUP(R$8,'Квартальная отчетность'!$E$8:$AG$8,'Квартальная отчетность'!$E128:$AG128)</f>
        <v>0</v>
      </c>
      <c r="S102" s="114">
        <f>LOOKUP(S$8,'Квартальная отчетность'!$E$8:$AG$8,'Квартальная отчетность'!$E128:$AG128)</f>
        <v>0</v>
      </c>
      <c r="T102" s="114">
        <f>LOOKUP(T$8,'Квартальная отчетность'!$E$8:$AG$8,'Квартальная отчетность'!$E128:$AG128)</f>
        <v>0</v>
      </c>
    </row>
    <row r="103" spans="2:26" ht="15" customHeight="1">
      <c r="B103" s="117" t="s">
        <v>180</v>
      </c>
      <c r="C103" s="113" t="str">
        <f t="shared" si="33"/>
        <v>тыс. руб.</v>
      </c>
      <c r="D103" s="114"/>
      <c r="E103" s="114">
        <f>LOOKUP(E$8,'Квартальная отчетность'!$E$8:$AG$8,'Квартальная отчетность'!$E129:$AG129)</f>
        <v>0</v>
      </c>
      <c r="F103" s="114">
        <f>LOOKUP(F$8,'Квартальная отчетность'!$E$8:$AG$8,'Квартальная отчетность'!$E129:$AG129)</f>
        <v>0</v>
      </c>
      <c r="G103" s="114">
        <f>LOOKUP(G$8,'Квартальная отчетность'!$E$8:$AG$8,'Квартальная отчетность'!$E129:$AG129)</f>
        <v>0</v>
      </c>
      <c r="H103" s="114">
        <f>LOOKUP(H$8,'Квартальная отчетность'!$E$8:$AG$8,'Квартальная отчетность'!$E129:$AG129)</f>
        <v>0</v>
      </c>
      <c r="I103" s="114">
        <f>LOOKUP(I$8,'Квартальная отчетность'!$E$8:$AG$8,'Квартальная отчетность'!$E129:$AG129)</f>
        <v>0</v>
      </c>
      <c r="J103" s="114">
        <f>LOOKUP(J$8,'Квартальная отчетность'!$E$8:$AG$8,'Квартальная отчетность'!$E129:$AG129)</f>
        <v>0</v>
      </c>
      <c r="K103" s="114">
        <f>LOOKUP(K$8,'Квартальная отчетность'!$E$8:$AG$8,'Квартальная отчетность'!$E129:$AG129)</f>
        <v>0</v>
      </c>
      <c r="L103" s="114">
        <f>LOOKUP(L$8,'Квартальная отчетность'!$E$8:$AG$8,'Квартальная отчетность'!$E129:$AG129)</f>
        <v>0</v>
      </c>
      <c r="M103" s="114">
        <f>LOOKUP(M$8,'Квартальная отчетность'!$E$8:$AG$8,'Квартальная отчетность'!$E129:$AG129)</f>
        <v>0</v>
      </c>
      <c r="N103" s="114">
        <f>LOOKUP(N$8,'Квартальная отчетность'!$E$8:$AG$8,'Квартальная отчетность'!$E129:$AG129)</f>
        <v>0</v>
      </c>
      <c r="O103" s="114">
        <f>LOOKUP(O$8,'Квартальная отчетность'!$E$8:$AG$8,'Квартальная отчетность'!$E129:$AG129)</f>
        <v>0</v>
      </c>
      <c r="P103" s="114">
        <f>LOOKUP(P$8,'Квартальная отчетность'!$E$8:$AG$8,'Квартальная отчетность'!$E129:$AG129)</f>
        <v>0</v>
      </c>
      <c r="Q103" s="114">
        <f>LOOKUP(Q$8,'Квартальная отчетность'!$E$8:$AG$8,'Квартальная отчетность'!$E129:$AG129)</f>
        <v>0</v>
      </c>
      <c r="R103" s="114">
        <f>LOOKUP(R$8,'Квартальная отчетность'!$E$8:$AG$8,'Квартальная отчетность'!$E129:$AG129)</f>
        <v>0</v>
      </c>
      <c r="S103" s="114">
        <f>LOOKUP(S$8,'Квартальная отчетность'!$E$8:$AG$8,'Квартальная отчетность'!$E129:$AG129)</f>
        <v>0</v>
      </c>
      <c r="T103" s="114">
        <f>LOOKUP(T$8,'Квартальная отчетность'!$E$8:$AG$8,'Квартальная отчетность'!$E129:$AG129)</f>
        <v>0</v>
      </c>
    </row>
    <row r="104" spans="2:26" ht="15" customHeight="1">
      <c r="B104" s="117" t="s">
        <v>181</v>
      </c>
      <c r="C104" s="113" t="str">
        <f t="shared" si="33"/>
        <v>тыс. руб.</v>
      </c>
      <c r="D104" s="114"/>
      <c r="E104" s="114">
        <f>LOOKUP(E$8,'Квартальная отчетность'!$E$8:$AG$8,'Квартальная отчетность'!$E130:$AG130)</f>
        <v>0</v>
      </c>
      <c r="F104" s="114">
        <f>LOOKUP(F$8,'Квартальная отчетность'!$E$8:$AG$8,'Квартальная отчетность'!$E130:$AG130)</f>
        <v>0</v>
      </c>
      <c r="G104" s="114">
        <f>LOOKUP(G$8,'Квартальная отчетность'!$E$8:$AG$8,'Квартальная отчетность'!$E130:$AG130)</f>
        <v>0</v>
      </c>
      <c r="H104" s="114">
        <f>LOOKUP(H$8,'Квартальная отчетность'!$E$8:$AG$8,'Квартальная отчетность'!$E130:$AG130)</f>
        <v>0</v>
      </c>
      <c r="I104" s="114">
        <f>LOOKUP(I$8,'Квартальная отчетность'!$E$8:$AG$8,'Квартальная отчетность'!$E130:$AG130)</f>
        <v>0</v>
      </c>
      <c r="J104" s="114">
        <f>LOOKUP(J$8,'Квартальная отчетность'!$E$8:$AG$8,'Квартальная отчетность'!$E130:$AG130)</f>
        <v>0</v>
      </c>
      <c r="K104" s="114">
        <f>LOOKUP(K$8,'Квартальная отчетность'!$E$8:$AG$8,'Квартальная отчетность'!$E130:$AG130)</f>
        <v>0</v>
      </c>
      <c r="L104" s="114">
        <f>LOOKUP(L$8,'Квартальная отчетность'!$E$8:$AG$8,'Квартальная отчетность'!$E130:$AG130)</f>
        <v>0</v>
      </c>
      <c r="M104" s="114">
        <f>LOOKUP(M$8,'Квартальная отчетность'!$E$8:$AG$8,'Квартальная отчетность'!$E130:$AG130)</f>
        <v>0</v>
      </c>
      <c r="N104" s="114">
        <f>LOOKUP(N$8,'Квартальная отчетность'!$E$8:$AG$8,'Квартальная отчетность'!$E130:$AG130)</f>
        <v>0</v>
      </c>
      <c r="O104" s="114">
        <f>LOOKUP(O$8,'Квартальная отчетность'!$E$8:$AG$8,'Квартальная отчетность'!$E130:$AG130)</f>
        <v>0</v>
      </c>
      <c r="P104" s="114">
        <f>LOOKUP(P$8,'Квартальная отчетность'!$E$8:$AG$8,'Квартальная отчетность'!$E130:$AG130)</f>
        <v>0</v>
      </c>
      <c r="Q104" s="114">
        <f>LOOKUP(Q$8,'Квартальная отчетность'!$E$8:$AG$8,'Квартальная отчетность'!$E130:$AG130)</f>
        <v>0</v>
      </c>
      <c r="R104" s="114">
        <f>LOOKUP(R$8,'Квартальная отчетность'!$E$8:$AG$8,'Квартальная отчетность'!$E130:$AG130)</f>
        <v>0</v>
      </c>
      <c r="S104" s="114">
        <f>LOOKUP(S$8,'Квартальная отчетность'!$E$8:$AG$8,'Квартальная отчетность'!$E130:$AG130)</f>
        <v>0</v>
      </c>
      <c r="T104" s="114">
        <f>LOOKUP(T$8,'Квартальная отчетность'!$E$8:$AG$8,'Квартальная отчетность'!$E130:$AG130)</f>
        <v>0</v>
      </c>
    </row>
    <row r="105" spans="2:26" ht="15" customHeight="1">
      <c r="B105" s="117" t="s">
        <v>182</v>
      </c>
      <c r="C105" s="113" t="str">
        <f t="shared" si="33"/>
        <v>тыс. руб.</v>
      </c>
      <c r="D105" s="114"/>
      <c r="E105" s="114">
        <f>LOOKUP(E$8,'Квартальная отчетность'!$E$8:$AG$8,'Квартальная отчетность'!$E131:$AG131)</f>
        <v>0</v>
      </c>
      <c r="F105" s="114">
        <f>LOOKUP(F$8,'Квартальная отчетность'!$E$8:$AG$8,'Квартальная отчетность'!$E131:$AG131)</f>
        <v>0</v>
      </c>
      <c r="G105" s="114">
        <f>LOOKUP(G$8,'Квартальная отчетность'!$E$8:$AG$8,'Квартальная отчетность'!$E131:$AG131)</f>
        <v>0</v>
      </c>
      <c r="H105" s="114">
        <f>LOOKUP(H$8,'Квартальная отчетность'!$E$8:$AG$8,'Квартальная отчетность'!$E131:$AG131)</f>
        <v>0</v>
      </c>
      <c r="I105" s="114">
        <f>LOOKUP(I$8,'Квартальная отчетность'!$E$8:$AG$8,'Квартальная отчетность'!$E131:$AG131)</f>
        <v>0</v>
      </c>
      <c r="J105" s="114">
        <f>LOOKUP(J$8,'Квартальная отчетность'!$E$8:$AG$8,'Квартальная отчетность'!$E131:$AG131)</f>
        <v>0</v>
      </c>
      <c r="K105" s="114">
        <f>LOOKUP(K$8,'Квартальная отчетность'!$E$8:$AG$8,'Квартальная отчетность'!$E131:$AG131)</f>
        <v>0</v>
      </c>
      <c r="L105" s="114">
        <f>LOOKUP(L$8,'Квартальная отчетность'!$E$8:$AG$8,'Квартальная отчетность'!$E131:$AG131)</f>
        <v>0</v>
      </c>
      <c r="M105" s="114">
        <f>LOOKUP(M$8,'Квартальная отчетность'!$E$8:$AG$8,'Квартальная отчетность'!$E131:$AG131)</f>
        <v>0</v>
      </c>
      <c r="N105" s="114">
        <f>LOOKUP(N$8,'Квартальная отчетность'!$E$8:$AG$8,'Квартальная отчетность'!$E131:$AG131)</f>
        <v>0</v>
      </c>
      <c r="O105" s="114">
        <f>LOOKUP(O$8,'Квартальная отчетность'!$E$8:$AG$8,'Квартальная отчетность'!$E131:$AG131)</f>
        <v>0</v>
      </c>
      <c r="P105" s="114">
        <f>LOOKUP(P$8,'Квартальная отчетность'!$E$8:$AG$8,'Квартальная отчетность'!$E131:$AG131)</f>
        <v>0</v>
      </c>
      <c r="Q105" s="114">
        <f>LOOKUP(Q$8,'Квартальная отчетность'!$E$8:$AG$8,'Квартальная отчетность'!$E131:$AG131)</f>
        <v>0</v>
      </c>
      <c r="R105" s="114">
        <f>LOOKUP(R$8,'Квартальная отчетность'!$E$8:$AG$8,'Квартальная отчетность'!$E131:$AG131)</f>
        <v>0</v>
      </c>
      <c r="S105" s="114">
        <f>LOOKUP(S$8,'Квартальная отчетность'!$E$8:$AG$8,'Квартальная отчетность'!$E131:$AG131)</f>
        <v>0</v>
      </c>
      <c r="T105" s="114">
        <f>LOOKUP(T$8,'Квартальная отчетность'!$E$8:$AG$8,'Квартальная отчетность'!$E131:$AG131)</f>
        <v>0</v>
      </c>
    </row>
    <row r="106" spans="2:26" ht="15" customHeight="1">
      <c r="B106" s="117" t="s">
        <v>183</v>
      </c>
      <c r="C106" s="113" t="str">
        <f t="shared" si="33"/>
        <v>тыс. руб.</v>
      </c>
      <c r="D106" s="114"/>
      <c r="E106" s="114">
        <f>LOOKUP(E$8,'Квартальная отчетность'!$E$8:$AG$8,'Квартальная отчетность'!$E132:$AG132)</f>
        <v>0</v>
      </c>
      <c r="F106" s="114">
        <f>LOOKUP(F$8,'Квартальная отчетность'!$E$8:$AG$8,'Квартальная отчетность'!$E132:$AG132)</f>
        <v>0</v>
      </c>
      <c r="G106" s="114">
        <f>LOOKUP(G$8,'Квартальная отчетность'!$E$8:$AG$8,'Квартальная отчетность'!$E132:$AG132)</f>
        <v>0</v>
      </c>
      <c r="H106" s="114">
        <f>LOOKUP(H$8,'Квартальная отчетность'!$E$8:$AG$8,'Квартальная отчетность'!$E132:$AG132)</f>
        <v>0</v>
      </c>
      <c r="I106" s="114">
        <f>LOOKUP(I$8,'Квартальная отчетность'!$E$8:$AG$8,'Квартальная отчетность'!$E132:$AG132)</f>
        <v>0</v>
      </c>
      <c r="J106" s="114">
        <f>LOOKUP(J$8,'Квартальная отчетность'!$E$8:$AG$8,'Квартальная отчетность'!$E132:$AG132)</f>
        <v>0</v>
      </c>
      <c r="K106" s="114">
        <f>LOOKUP(K$8,'Квартальная отчетность'!$E$8:$AG$8,'Квартальная отчетность'!$E132:$AG132)</f>
        <v>0</v>
      </c>
      <c r="L106" s="114">
        <f>LOOKUP(L$8,'Квартальная отчетность'!$E$8:$AG$8,'Квартальная отчетность'!$E132:$AG132)</f>
        <v>0</v>
      </c>
      <c r="M106" s="114">
        <f>LOOKUP(M$8,'Квартальная отчетность'!$E$8:$AG$8,'Квартальная отчетность'!$E132:$AG132)</f>
        <v>0</v>
      </c>
      <c r="N106" s="114">
        <f>LOOKUP(N$8,'Квартальная отчетность'!$E$8:$AG$8,'Квартальная отчетность'!$E132:$AG132)</f>
        <v>0</v>
      </c>
      <c r="O106" s="114">
        <f>LOOKUP(O$8,'Квартальная отчетность'!$E$8:$AG$8,'Квартальная отчетность'!$E132:$AG132)</f>
        <v>0</v>
      </c>
      <c r="P106" s="114">
        <f>LOOKUP(P$8,'Квартальная отчетность'!$E$8:$AG$8,'Квартальная отчетность'!$E132:$AG132)</f>
        <v>0</v>
      </c>
      <c r="Q106" s="114">
        <f>LOOKUP(Q$8,'Квартальная отчетность'!$E$8:$AG$8,'Квартальная отчетность'!$E132:$AG132)</f>
        <v>0</v>
      </c>
      <c r="R106" s="114">
        <f>LOOKUP(R$8,'Квартальная отчетность'!$E$8:$AG$8,'Квартальная отчетность'!$E132:$AG132)</f>
        <v>0</v>
      </c>
      <c r="S106" s="114">
        <f>LOOKUP(S$8,'Квартальная отчетность'!$E$8:$AG$8,'Квартальная отчетность'!$E132:$AG132)</f>
        <v>0</v>
      </c>
      <c r="T106" s="114">
        <f>LOOKUP(T$8,'Квартальная отчетность'!$E$8:$AG$8,'Квартальная отчетность'!$E132:$AG132)</f>
        <v>0</v>
      </c>
    </row>
    <row r="107" spans="2:26" ht="15" customHeight="1">
      <c r="B107" s="259" t="s">
        <v>75</v>
      </c>
      <c r="C107" s="260" t="str">
        <f t="shared" si="33"/>
        <v>тыс. руб.</v>
      </c>
      <c r="D107" s="248"/>
      <c r="E107" s="248">
        <f t="shared" ref="E107" si="34">SUM(E98:E106)</f>
        <v>0</v>
      </c>
      <c r="F107" s="248">
        <f t="shared" ref="F107:T107" si="35">SUM(F98:F106)</f>
        <v>0</v>
      </c>
      <c r="G107" s="248">
        <f t="shared" si="35"/>
        <v>0</v>
      </c>
      <c r="H107" s="248">
        <f t="shared" si="35"/>
        <v>0</v>
      </c>
      <c r="I107" s="248">
        <f t="shared" si="35"/>
        <v>0</v>
      </c>
      <c r="J107" s="248">
        <f t="shared" si="35"/>
        <v>0</v>
      </c>
      <c r="K107" s="248">
        <f t="shared" si="35"/>
        <v>0</v>
      </c>
      <c r="L107" s="248">
        <f t="shared" si="35"/>
        <v>0</v>
      </c>
      <c r="M107" s="248">
        <f t="shared" si="35"/>
        <v>0</v>
      </c>
      <c r="N107" s="248">
        <f t="shared" si="35"/>
        <v>0</v>
      </c>
      <c r="O107" s="248">
        <f t="shared" si="35"/>
        <v>0</v>
      </c>
      <c r="P107" s="248">
        <f t="shared" si="35"/>
        <v>0</v>
      </c>
      <c r="Q107" s="248">
        <f t="shared" si="35"/>
        <v>0</v>
      </c>
      <c r="R107" s="248">
        <f t="shared" si="35"/>
        <v>0</v>
      </c>
      <c r="S107" s="248">
        <f t="shared" si="35"/>
        <v>0</v>
      </c>
      <c r="T107" s="248">
        <f t="shared" si="35"/>
        <v>0</v>
      </c>
    </row>
    <row r="108" spans="2:26" ht="15" customHeight="1">
      <c r="B108" s="37"/>
      <c r="C108" s="37"/>
      <c r="D108" s="37"/>
      <c r="E108" s="37"/>
      <c r="F108" s="37"/>
      <c r="G108" s="37"/>
      <c r="H108" s="37"/>
      <c r="I108" s="37"/>
      <c r="J108" s="37"/>
      <c r="K108" s="37"/>
      <c r="L108" s="37"/>
      <c r="M108" s="37"/>
      <c r="N108" s="37"/>
      <c r="O108" s="37"/>
      <c r="P108" s="37"/>
      <c r="Q108" s="37"/>
      <c r="R108" s="37"/>
      <c r="S108" s="37"/>
      <c r="T108" s="37"/>
    </row>
    <row r="109" spans="2:26" ht="21">
      <c r="B109" s="118" t="s">
        <v>70</v>
      </c>
      <c r="C109" s="37"/>
      <c r="D109" s="40"/>
      <c r="E109" s="41"/>
      <c r="F109" s="41"/>
      <c r="G109" s="41"/>
      <c r="H109" s="41"/>
      <c r="I109" s="41"/>
      <c r="J109" s="41"/>
      <c r="K109" s="41"/>
      <c r="L109" s="41"/>
      <c r="M109" s="41"/>
      <c r="N109" s="41"/>
      <c r="O109" s="41"/>
      <c r="P109" s="41"/>
      <c r="Q109" s="41"/>
      <c r="R109" s="41"/>
      <c r="S109" s="41"/>
      <c r="T109" s="41"/>
      <c r="U109" s="5"/>
      <c r="V109" s="5"/>
      <c r="W109" s="5"/>
      <c r="X109" s="5"/>
      <c r="Y109" s="5"/>
      <c r="Z109" s="5"/>
    </row>
    <row r="110" spans="2:26" ht="15" customHeight="1">
      <c r="B110" s="112" t="s">
        <v>71</v>
      </c>
      <c r="C110" s="113" t="str">
        <f t="shared" ref="C110:C116" si="36">Единица_измерения</f>
        <v>тыс. руб.</v>
      </c>
      <c r="D110" s="114"/>
      <c r="E110" s="114">
        <f>LOOKUP(E$8,'Квартальная отчетность'!$E$8:$AG$8,'Квартальная отчетность'!$E136:$AG136)</f>
        <v>0</v>
      </c>
      <c r="F110" s="114">
        <f>LOOKUP(F$8,'Квартальная отчетность'!$E$8:$AG$8,'Квартальная отчетность'!$E136:$AG136)</f>
        <v>0</v>
      </c>
      <c r="G110" s="114">
        <f>LOOKUP(G$8,'Квартальная отчетность'!$E$8:$AG$8,'Квартальная отчетность'!$E136:$AG136)</f>
        <v>0</v>
      </c>
      <c r="H110" s="114">
        <f>LOOKUP(H$8,'Квартальная отчетность'!$E$8:$AG$8,'Квартальная отчетность'!$E136:$AG136)</f>
        <v>0</v>
      </c>
      <c r="I110" s="114">
        <f>LOOKUP(I$8,'Квартальная отчетность'!$E$8:$AG$8,'Квартальная отчетность'!$E136:$AG136)</f>
        <v>0</v>
      </c>
      <c r="J110" s="114">
        <f>LOOKUP(J$8,'Квартальная отчетность'!$E$8:$AG$8,'Квартальная отчетность'!$E136:$AG136)</f>
        <v>0</v>
      </c>
      <c r="K110" s="114">
        <f>LOOKUP(K$8,'Квартальная отчетность'!$E$8:$AG$8,'Квартальная отчетность'!$E136:$AG136)</f>
        <v>0</v>
      </c>
      <c r="L110" s="114">
        <f>LOOKUP(L$8,'Квартальная отчетность'!$E$8:$AG$8,'Квартальная отчетность'!$E136:$AG136)</f>
        <v>0</v>
      </c>
      <c r="M110" s="114">
        <f>LOOKUP(M$8,'Квартальная отчетность'!$E$8:$AG$8,'Квартальная отчетность'!$E136:$AG136)</f>
        <v>0</v>
      </c>
      <c r="N110" s="114">
        <f>LOOKUP(N$8,'Квартальная отчетность'!$E$8:$AG$8,'Квартальная отчетность'!$E136:$AG136)</f>
        <v>0</v>
      </c>
      <c r="O110" s="114">
        <f>LOOKUP(O$8,'Квартальная отчетность'!$E$8:$AG$8,'Квартальная отчетность'!$E136:$AG136)</f>
        <v>0</v>
      </c>
      <c r="P110" s="114">
        <f>LOOKUP(P$8,'Квартальная отчетность'!$E$8:$AG$8,'Квартальная отчетность'!$E136:$AG136)</f>
        <v>0</v>
      </c>
      <c r="Q110" s="114">
        <f>LOOKUP(Q$8,'Квартальная отчетность'!$E$8:$AG$8,'Квартальная отчетность'!$E136:$AG136)</f>
        <v>0</v>
      </c>
      <c r="R110" s="114">
        <f>LOOKUP(R$8,'Квартальная отчетность'!$E$8:$AG$8,'Квартальная отчетность'!$E136:$AG136)</f>
        <v>0</v>
      </c>
      <c r="S110" s="114">
        <f>LOOKUP(S$8,'Квартальная отчетность'!$E$8:$AG$8,'Квартальная отчетность'!$E136:$AG136)</f>
        <v>0</v>
      </c>
      <c r="T110" s="114">
        <f>LOOKUP(T$8,'Квартальная отчетность'!$E$8:$AG$8,'Квартальная отчетность'!$E136:$AG136)</f>
        <v>0</v>
      </c>
    </row>
    <row r="111" spans="2:26" ht="15" customHeight="1">
      <c r="B111" s="117" t="s">
        <v>72</v>
      </c>
      <c r="C111" s="113" t="str">
        <f t="shared" si="36"/>
        <v>тыс. руб.</v>
      </c>
      <c r="D111" s="114"/>
      <c r="E111" s="114">
        <f>LOOKUP(E$8,'Квартальная отчетность'!$E$8:$AG$8,'Квартальная отчетность'!$E137:$AG137)</f>
        <v>0</v>
      </c>
      <c r="F111" s="114">
        <f>LOOKUP(F$8,'Квартальная отчетность'!$E$8:$AG$8,'Квартальная отчетность'!$E137:$AG137)</f>
        <v>0</v>
      </c>
      <c r="G111" s="114">
        <f>LOOKUP(G$8,'Квартальная отчетность'!$E$8:$AG$8,'Квартальная отчетность'!$E137:$AG137)</f>
        <v>0</v>
      </c>
      <c r="H111" s="114">
        <f>LOOKUP(H$8,'Квартальная отчетность'!$E$8:$AG$8,'Квартальная отчетность'!$E137:$AG137)</f>
        <v>0</v>
      </c>
      <c r="I111" s="114">
        <f>LOOKUP(I$8,'Квартальная отчетность'!$E$8:$AG$8,'Квартальная отчетность'!$E137:$AG137)</f>
        <v>0</v>
      </c>
      <c r="J111" s="114">
        <f>LOOKUP(J$8,'Квартальная отчетность'!$E$8:$AG$8,'Квартальная отчетность'!$E137:$AG137)</f>
        <v>0</v>
      </c>
      <c r="K111" s="114">
        <f>LOOKUP(K$8,'Квартальная отчетность'!$E$8:$AG$8,'Квартальная отчетность'!$E137:$AG137)</f>
        <v>0</v>
      </c>
      <c r="L111" s="114">
        <f>LOOKUP(L$8,'Квартальная отчетность'!$E$8:$AG$8,'Квартальная отчетность'!$E137:$AG137)</f>
        <v>0</v>
      </c>
      <c r="M111" s="114">
        <f>LOOKUP(M$8,'Квартальная отчетность'!$E$8:$AG$8,'Квартальная отчетность'!$E137:$AG137)</f>
        <v>0</v>
      </c>
      <c r="N111" s="114">
        <f>LOOKUP(N$8,'Квартальная отчетность'!$E$8:$AG$8,'Квартальная отчетность'!$E137:$AG137)</f>
        <v>0</v>
      </c>
      <c r="O111" s="114">
        <f>LOOKUP(O$8,'Квартальная отчетность'!$E$8:$AG$8,'Квартальная отчетность'!$E137:$AG137)</f>
        <v>0</v>
      </c>
      <c r="P111" s="114">
        <f>LOOKUP(P$8,'Квартальная отчетность'!$E$8:$AG$8,'Квартальная отчетность'!$E137:$AG137)</f>
        <v>0</v>
      </c>
      <c r="Q111" s="114">
        <f>LOOKUP(Q$8,'Квартальная отчетность'!$E$8:$AG$8,'Квартальная отчетность'!$E137:$AG137)</f>
        <v>0</v>
      </c>
      <c r="R111" s="114">
        <f>LOOKUP(R$8,'Квартальная отчетность'!$E$8:$AG$8,'Квартальная отчетность'!$E137:$AG137)</f>
        <v>0</v>
      </c>
      <c r="S111" s="114">
        <f>LOOKUP(S$8,'Квартальная отчетность'!$E$8:$AG$8,'Квартальная отчетность'!$E137:$AG137)</f>
        <v>0</v>
      </c>
      <c r="T111" s="114">
        <f>LOOKUP(T$8,'Квартальная отчетность'!$E$8:$AG$8,'Квартальная отчетность'!$E137:$AG137)</f>
        <v>0</v>
      </c>
    </row>
    <row r="112" spans="2:26" ht="15" customHeight="1">
      <c r="B112" s="117" t="s">
        <v>73</v>
      </c>
      <c r="C112" s="113" t="str">
        <f t="shared" si="36"/>
        <v>тыс. руб.</v>
      </c>
      <c r="D112" s="114"/>
      <c r="E112" s="114">
        <f>LOOKUP(E$8,'Квартальная отчетность'!$E$8:$AG$8,'Квартальная отчетность'!$E138:$AG138)</f>
        <v>0</v>
      </c>
      <c r="F112" s="114">
        <f>LOOKUP(F$8,'Квартальная отчетность'!$E$8:$AG$8,'Квартальная отчетность'!$E138:$AG138)</f>
        <v>0</v>
      </c>
      <c r="G112" s="114">
        <f>LOOKUP(G$8,'Квартальная отчетность'!$E$8:$AG$8,'Квартальная отчетность'!$E138:$AG138)</f>
        <v>0</v>
      </c>
      <c r="H112" s="114">
        <f>LOOKUP(H$8,'Квартальная отчетность'!$E$8:$AG$8,'Квартальная отчетность'!$E138:$AG138)</f>
        <v>0</v>
      </c>
      <c r="I112" s="114">
        <f>LOOKUP(I$8,'Квартальная отчетность'!$E$8:$AG$8,'Квартальная отчетность'!$E138:$AG138)</f>
        <v>0</v>
      </c>
      <c r="J112" s="114">
        <f>LOOKUP(J$8,'Квартальная отчетность'!$E$8:$AG$8,'Квартальная отчетность'!$E138:$AG138)</f>
        <v>0</v>
      </c>
      <c r="K112" s="114">
        <f>LOOKUP(K$8,'Квартальная отчетность'!$E$8:$AG$8,'Квартальная отчетность'!$E138:$AG138)</f>
        <v>0</v>
      </c>
      <c r="L112" s="114">
        <f>LOOKUP(L$8,'Квартальная отчетность'!$E$8:$AG$8,'Квартальная отчетность'!$E138:$AG138)</f>
        <v>0</v>
      </c>
      <c r="M112" s="114">
        <f>LOOKUP(M$8,'Квартальная отчетность'!$E$8:$AG$8,'Квартальная отчетность'!$E138:$AG138)</f>
        <v>0</v>
      </c>
      <c r="N112" s="114">
        <f>LOOKUP(N$8,'Квартальная отчетность'!$E$8:$AG$8,'Квартальная отчетность'!$E138:$AG138)</f>
        <v>0</v>
      </c>
      <c r="O112" s="114">
        <f>LOOKUP(O$8,'Квартальная отчетность'!$E$8:$AG$8,'Квартальная отчетность'!$E138:$AG138)</f>
        <v>0</v>
      </c>
      <c r="P112" s="114">
        <f>LOOKUP(P$8,'Квартальная отчетность'!$E$8:$AG$8,'Квартальная отчетность'!$E138:$AG138)</f>
        <v>0</v>
      </c>
      <c r="Q112" s="114">
        <f>LOOKUP(Q$8,'Квартальная отчетность'!$E$8:$AG$8,'Квартальная отчетность'!$E138:$AG138)</f>
        <v>0</v>
      </c>
      <c r="R112" s="114">
        <f>LOOKUP(R$8,'Квартальная отчетность'!$E$8:$AG$8,'Квартальная отчетность'!$E138:$AG138)</f>
        <v>0</v>
      </c>
      <c r="S112" s="114">
        <f>LOOKUP(S$8,'Квартальная отчетность'!$E$8:$AG$8,'Квартальная отчетность'!$E138:$AG138)</f>
        <v>0</v>
      </c>
      <c r="T112" s="114">
        <f>LOOKUP(T$8,'Квартальная отчетность'!$E$8:$AG$8,'Квартальная отчетность'!$E138:$AG138)</f>
        <v>0</v>
      </c>
    </row>
    <row r="113" spans="2:26" ht="15" customHeight="1">
      <c r="B113" s="117" t="s">
        <v>181</v>
      </c>
      <c r="C113" s="113" t="str">
        <f t="shared" si="36"/>
        <v>тыс. руб.</v>
      </c>
      <c r="D113" s="114"/>
      <c r="E113" s="114">
        <f>LOOKUP(E$8,'Квартальная отчетность'!$E$8:$AG$8,'Квартальная отчетность'!$E139:$AG139)</f>
        <v>0</v>
      </c>
      <c r="F113" s="114">
        <f>LOOKUP(F$8,'Квартальная отчетность'!$E$8:$AG$8,'Квартальная отчетность'!$E139:$AG139)</f>
        <v>0</v>
      </c>
      <c r="G113" s="114">
        <f>LOOKUP(G$8,'Квартальная отчетность'!$E$8:$AG$8,'Квартальная отчетность'!$E139:$AG139)</f>
        <v>0</v>
      </c>
      <c r="H113" s="114">
        <f>LOOKUP(H$8,'Квартальная отчетность'!$E$8:$AG$8,'Квартальная отчетность'!$E139:$AG139)</f>
        <v>0</v>
      </c>
      <c r="I113" s="114">
        <f>LOOKUP(I$8,'Квартальная отчетность'!$E$8:$AG$8,'Квартальная отчетность'!$E139:$AG139)</f>
        <v>0</v>
      </c>
      <c r="J113" s="114">
        <f>LOOKUP(J$8,'Квартальная отчетность'!$E$8:$AG$8,'Квартальная отчетность'!$E139:$AG139)</f>
        <v>0</v>
      </c>
      <c r="K113" s="114">
        <f>LOOKUP(K$8,'Квартальная отчетность'!$E$8:$AG$8,'Квартальная отчетность'!$E139:$AG139)</f>
        <v>0</v>
      </c>
      <c r="L113" s="114">
        <f>LOOKUP(L$8,'Квартальная отчетность'!$E$8:$AG$8,'Квартальная отчетность'!$E139:$AG139)</f>
        <v>0</v>
      </c>
      <c r="M113" s="114">
        <f>LOOKUP(M$8,'Квартальная отчетность'!$E$8:$AG$8,'Квартальная отчетность'!$E139:$AG139)</f>
        <v>0</v>
      </c>
      <c r="N113" s="114">
        <f>LOOKUP(N$8,'Квартальная отчетность'!$E$8:$AG$8,'Квартальная отчетность'!$E139:$AG139)</f>
        <v>0</v>
      </c>
      <c r="O113" s="114">
        <f>LOOKUP(O$8,'Квартальная отчетность'!$E$8:$AG$8,'Квартальная отчетность'!$E139:$AG139)</f>
        <v>0</v>
      </c>
      <c r="P113" s="114">
        <f>LOOKUP(P$8,'Квартальная отчетность'!$E$8:$AG$8,'Квартальная отчетность'!$E139:$AG139)</f>
        <v>0</v>
      </c>
      <c r="Q113" s="114">
        <f>LOOKUP(Q$8,'Квартальная отчетность'!$E$8:$AG$8,'Квартальная отчетность'!$E139:$AG139)</f>
        <v>0</v>
      </c>
      <c r="R113" s="114">
        <f>LOOKUP(R$8,'Квартальная отчетность'!$E$8:$AG$8,'Квартальная отчетность'!$E139:$AG139)</f>
        <v>0</v>
      </c>
      <c r="S113" s="114">
        <f>LOOKUP(S$8,'Квартальная отчетность'!$E$8:$AG$8,'Квартальная отчетность'!$E139:$AG139)</f>
        <v>0</v>
      </c>
      <c r="T113" s="114">
        <f>LOOKUP(T$8,'Квартальная отчетность'!$E$8:$AG$8,'Квартальная отчетность'!$E139:$AG139)</f>
        <v>0</v>
      </c>
    </row>
    <row r="114" spans="2:26" ht="15" customHeight="1">
      <c r="B114" s="117" t="s">
        <v>184</v>
      </c>
      <c r="C114" s="113" t="str">
        <f t="shared" si="36"/>
        <v>тыс. руб.</v>
      </c>
      <c r="D114" s="114"/>
      <c r="E114" s="114">
        <f>LOOKUP(E$8,'Квартальная отчетность'!$E$8:$AG$8,'Квартальная отчетность'!$E140:$AG140)</f>
        <v>0</v>
      </c>
      <c r="F114" s="114">
        <f>LOOKUP(F$8,'Квартальная отчетность'!$E$8:$AG$8,'Квартальная отчетность'!$E140:$AG140)</f>
        <v>0</v>
      </c>
      <c r="G114" s="114">
        <f>LOOKUP(G$8,'Квартальная отчетность'!$E$8:$AG$8,'Квартальная отчетность'!$E140:$AG140)</f>
        <v>0</v>
      </c>
      <c r="H114" s="114">
        <f>LOOKUP(H$8,'Квартальная отчетность'!$E$8:$AG$8,'Квартальная отчетность'!$E140:$AG140)</f>
        <v>0</v>
      </c>
      <c r="I114" s="114">
        <f>LOOKUP(I$8,'Квартальная отчетность'!$E$8:$AG$8,'Квартальная отчетность'!$E140:$AG140)</f>
        <v>0</v>
      </c>
      <c r="J114" s="114">
        <f>LOOKUP(J$8,'Квартальная отчетность'!$E$8:$AG$8,'Квартальная отчетность'!$E140:$AG140)</f>
        <v>0</v>
      </c>
      <c r="K114" s="114">
        <f>LOOKUP(K$8,'Квартальная отчетность'!$E$8:$AG$8,'Квартальная отчетность'!$E140:$AG140)</f>
        <v>0</v>
      </c>
      <c r="L114" s="114">
        <f>LOOKUP(L$8,'Квартальная отчетность'!$E$8:$AG$8,'Квартальная отчетность'!$E140:$AG140)</f>
        <v>0</v>
      </c>
      <c r="M114" s="114">
        <f>LOOKUP(M$8,'Квартальная отчетность'!$E$8:$AG$8,'Квартальная отчетность'!$E140:$AG140)</f>
        <v>0</v>
      </c>
      <c r="N114" s="114">
        <f>LOOKUP(N$8,'Квартальная отчетность'!$E$8:$AG$8,'Квартальная отчетность'!$E140:$AG140)</f>
        <v>0</v>
      </c>
      <c r="O114" s="114">
        <f>LOOKUP(O$8,'Квартальная отчетность'!$E$8:$AG$8,'Квартальная отчетность'!$E140:$AG140)</f>
        <v>0</v>
      </c>
      <c r="P114" s="114">
        <f>LOOKUP(P$8,'Квартальная отчетность'!$E$8:$AG$8,'Квартальная отчетность'!$E140:$AG140)</f>
        <v>0</v>
      </c>
      <c r="Q114" s="114">
        <f>LOOKUP(Q$8,'Квартальная отчетность'!$E$8:$AG$8,'Квартальная отчетность'!$E140:$AG140)</f>
        <v>0</v>
      </c>
      <c r="R114" s="114">
        <f>LOOKUP(R$8,'Квартальная отчетность'!$E$8:$AG$8,'Квартальная отчетность'!$E140:$AG140)</f>
        <v>0</v>
      </c>
      <c r="S114" s="114">
        <f>LOOKUP(S$8,'Квартальная отчетность'!$E$8:$AG$8,'Квартальная отчетность'!$E140:$AG140)</f>
        <v>0</v>
      </c>
      <c r="T114" s="114">
        <f>LOOKUP(T$8,'Квартальная отчетность'!$E$8:$AG$8,'Квартальная отчетность'!$E140:$AG140)</f>
        <v>0</v>
      </c>
    </row>
    <row r="115" spans="2:26" ht="15" customHeight="1">
      <c r="B115" s="117" t="s">
        <v>185</v>
      </c>
      <c r="C115" s="113" t="str">
        <f t="shared" si="36"/>
        <v>тыс. руб.</v>
      </c>
      <c r="D115" s="114"/>
      <c r="E115" s="114">
        <f>LOOKUP(E$8,'Квартальная отчетность'!$E$8:$AG$8,'Квартальная отчетность'!$E141:$AG141)</f>
        <v>0</v>
      </c>
      <c r="F115" s="114">
        <f>LOOKUP(F$8,'Квартальная отчетность'!$E$8:$AG$8,'Квартальная отчетность'!$E141:$AG141)</f>
        <v>0</v>
      </c>
      <c r="G115" s="114">
        <f>LOOKUP(G$8,'Квартальная отчетность'!$E$8:$AG$8,'Квартальная отчетность'!$E141:$AG141)</f>
        <v>0</v>
      </c>
      <c r="H115" s="114">
        <f>LOOKUP(H$8,'Квартальная отчетность'!$E$8:$AG$8,'Квартальная отчетность'!$E141:$AG141)</f>
        <v>0</v>
      </c>
      <c r="I115" s="114">
        <f>LOOKUP(I$8,'Квартальная отчетность'!$E$8:$AG$8,'Квартальная отчетность'!$E141:$AG141)</f>
        <v>0</v>
      </c>
      <c r="J115" s="114">
        <f>LOOKUP(J$8,'Квартальная отчетность'!$E$8:$AG$8,'Квартальная отчетность'!$E141:$AG141)</f>
        <v>0</v>
      </c>
      <c r="K115" s="114">
        <f>LOOKUP(K$8,'Квартальная отчетность'!$E$8:$AG$8,'Квартальная отчетность'!$E141:$AG141)</f>
        <v>0</v>
      </c>
      <c r="L115" s="114">
        <f>LOOKUP(L$8,'Квартальная отчетность'!$E$8:$AG$8,'Квартальная отчетность'!$E141:$AG141)</f>
        <v>0</v>
      </c>
      <c r="M115" s="114">
        <f>LOOKUP(M$8,'Квартальная отчетность'!$E$8:$AG$8,'Квартальная отчетность'!$E141:$AG141)</f>
        <v>0</v>
      </c>
      <c r="N115" s="114">
        <f>LOOKUP(N$8,'Квартальная отчетность'!$E$8:$AG$8,'Квартальная отчетность'!$E141:$AG141)</f>
        <v>0</v>
      </c>
      <c r="O115" s="114">
        <f>LOOKUP(O$8,'Квартальная отчетность'!$E$8:$AG$8,'Квартальная отчетность'!$E141:$AG141)</f>
        <v>0</v>
      </c>
      <c r="P115" s="114">
        <f>LOOKUP(P$8,'Квартальная отчетность'!$E$8:$AG$8,'Квартальная отчетность'!$E141:$AG141)</f>
        <v>0</v>
      </c>
      <c r="Q115" s="114">
        <f>LOOKUP(Q$8,'Квартальная отчетность'!$E$8:$AG$8,'Квартальная отчетность'!$E141:$AG141)</f>
        <v>0</v>
      </c>
      <c r="R115" s="114">
        <f>LOOKUP(R$8,'Квартальная отчетность'!$E$8:$AG$8,'Квартальная отчетность'!$E141:$AG141)</f>
        <v>0</v>
      </c>
      <c r="S115" s="114">
        <f>LOOKUP(S$8,'Квартальная отчетность'!$E$8:$AG$8,'Квартальная отчетность'!$E141:$AG141)</f>
        <v>0</v>
      </c>
      <c r="T115" s="114">
        <f>LOOKUP(T$8,'Квартальная отчетность'!$E$8:$AG$8,'Квартальная отчетность'!$E141:$AG141)</f>
        <v>0</v>
      </c>
    </row>
    <row r="116" spans="2:26" ht="15" customHeight="1">
      <c r="B116" s="259" t="s">
        <v>76</v>
      </c>
      <c r="C116" s="260" t="str">
        <f t="shared" si="36"/>
        <v>тыс. руб.</v>
      </c>
      <c r="D116" s="248"/>
      <c r="E116" s="248">
        <f t="shared" ref="E116:T116" si="37">SUM(E110:E115)</f>
        <v>0</v>
      </c>
      <c r="F116" s="248">
        <f t="shared" si="37"/>
        <v>0</v>
      </c>
      <c r="G116" s="248">
        <f t="shared" si="37"/>
        <v>0</v>
      </c>
      <c r="H116" s="248">
        <f t="shared" si="37"/>
        <v>0</v>
      </c>
      <c r="I116" s="248">
        <f t="shared" si="37"/>
        <v>0</v>
      </c>
      <c r="J116" s="248">
        <f t="shared" si="37"/>
        <v>0</v>
      </c>
      <c r="K116" s="248">
        <f t="shared" si="37"/>
        <v>0</v>
      </c>
      <c r="L116" s="248">
        <f t="shared" si="37"/>
        <v>0</v>
      </c>
      <c r="M116" s="248">
        <f t="shared" si="37"/>
        <v>0</v>
      </c>
      <c r="N116" s="248">
        <f t="shared" si="37"/>
        <v>0</v>
      </c>
      <c r="O116" s="248">
        <f t="shared" si="37"/>
        <v>0</v>
      </c>
      <c r="P116" s="248">
        <f t="shared" si="37"/>
        <v>0</v>
      </c>
      <c r="Q116" s="248">
        <f t="shared" si="37"/>
        <v>0</v>
      </c>
      <c r="R116" s="248">
        <f t="shared" si="37"/>
        <v>0</v>
      </c>
      <c r="S116" s="248">
        <f t="shared" si="37"/>
        <v>0</v>
      </c>
      <c r="T116" s="248">
        <f t="shared" si="37"/>
        <v>0</v>
      </c>
    </row>
    <row r="117" spans="2:26" ht="15" customHeight="1">
      <c r="B117" s="37"/>
      <c r="C117" s="37"/>
      <c r="D117" s="37"/>
      <c r="E117" s="37"/>
      <c r="F117" s="37"/>
      <c r="G117" s="37"/>
      <c r="H117" s="37"/>
      <c r="I117" s="37"/>
      <c r="J117" s="37"/>
      <c r="K117" s="37"/>
      <c r="L117" s="37"/>
      <c r="M117" s="37"/>
      <c r="N117" s="37"/>
      <c r="O117" s="37"/>
      <c r="P117" s="37"/>
      <c r="Q117" s="37"/>
      <c r="R117" s="37"/>
      <c r="S117" s="37"/>
      <c r="T117" s="37"/>
    </row>
    <row r="118" spans="2:26" ht="15" customHeight="1">
      <c r="B118" s="262" t="s">
        <v>80</v>
      </c>
      <c r="C118" s="263" t="str">
        <f>Единица_измерения</f>
        <v>тыс. руб.</v>
      </c>
      <c r="D118" s="261"/>
      <c r="E118" s="261">
        <f t="shared" ref="E118:T118" si="38">SUM(E107,E116)</f>
        <v>0</v>
      </c>
      <c r="F118" s="261">
        <f t="shared" si="38"/>
        <v>0</v>
      </c>
      <c r="G118" s="261">
        <f t="shared" si="38"/>
        <v>0</v>
      </c>
      <c r="H118" s="261">
        <f t="shared" si="38"/>
        <v>0</v>
      </c>
      <c r="I118" s="261">
        <f t="shared" si="38"/>
        <v>0</v>
      </c>
      <c r="J118" s="261">
        <f t="shared" si="38"/>
        <v>0</v>
      </c>
      <c r="K118" s="261">
        <f t="shared" si="38"/>
        <v>0</v>
      </c>
      <c r="L118" s="261">
        <f t="shared" si="38"/>
        <v>0</v>
      </c>
      <c r="M118" s="261">
        <f t="shared" si="38"/>
        <v>0</v>
      </c>
      <c r="N118" s="261">
        <f t="shared" si="38"/>
        <v>0</v>
      </c>
      <c r="O118" s="261">
        <f t="shared" si="38"/>
        <v>0</v>
      </c>
      <c r="P118" s="261">
        <f t="shared" si="38"/>
        <v>0</v>
      </c>
      <c r="Q118" s="261">
        <f t="shared" si="38"/>
        <v>0</v>
      </c>
      <c r="R118" s="261">
        <f t="shared" si="38"/>
        <v>0</v>
      </c>
      <c r="S118" s="261">
        <f t="shared" si="38"/>
        <v>0</v>
      </c>
      <c r="T118" s="261">
        <f t="shared" si="38"/>
        <v>0</v>
      </c>
    </row>
    <row r="119" spans="2:26" ht="15" customHeight="1">
      <c r="B119" s="37"/>
      <c r="C119" s="37"/>
      <c r="D119" s="37"/>
      <c r="E119" s="37"/>
      <c r="F119" s="37"/>
      <c r="G119" s="37"/>
      <c r="H119" s="37"/>
      <c r="I119" s="37"/>
      <c r="J119" s="37"/>
      <c r="K119" s="37"/>
      <c r="L119" s="37"/>
      <c r="M119" s="37"/>
      <c r="N119" s="37"/>
      <c r="O119" s="37"/>
      <c r="P119" s="37"/>
      <c r="Q119" s="37"/>
      <c r="R119" s="37"/>
      <c r="S119" s="37"/>
      <c r="T119" s="37"/>
    </row>
    <row r="120" spans="2:26" ht="21">
      <c r="B120" s="118" t="s">
        <v>77</v>
      </c>
      <c r="C120" s="37"/>
      <c r="D120" s="40"/>
      <c r="E120" s="41"/>
      <c r="F120" s="41"/>
      <c r="G120" s="41"/>
      <c r="H120" s="41"/>
      <c r="I120" s="41"/>
      <c r="J120" s="41"/>
      <c r="K120" s="41"/>
      <c r="L120" s="41"/>
      <c r="M120" s="41"/>
      <c r="N120" s="41"/>
      <c r="O120" s="41"/>
      <c r="P120" s="41"/>
      <c r="Q120" s="41"/>
      <c r="R120" s="41"/>
      <c r="S120" s="41"/>
      <c r="T120" s="41"/>
      <c r="U120" s="5"/>
      <c r="V120" s="5"/>
      <c r="W120" s="5"/>
      <c r="X120" s="5"/>
      <c r="Y120" s="5"/>
      <c r="Z120" s="5"/>
    </row>
    <row r="121" spans="2:26" ht="15" customHeight="1">
      <c r="B121" s="112" t="s">
        <v>78</v>
      </c>
      <c r="C121" s="113" t="str">
        <f t="shared" ref="C121:C127" si="39">Единица_измерения</f>
        <v>тыс. руб.</v>
      </c>
      <c r="D121" s="114"/>
      <c r="E121" s="114">
        <f>LOOKUP(E$8,'Квартальная отчетность'!$E$8:$AG$8,'Квартальная отчетность'!$E147:$AG147)</f>
        <v>0</v>
      </c>
      <c r="F121" s="114">
        <f>LOOKUP(F$8,'Квартальная отчетность'!$E$8:$AG$8,'Квартальная отчетность'!$E147:$AG147)</f>
        <v>0</v>
      </c>
      <c r="G121" s="114">
        <f>LOOKUP(G$8,'Квартальная отчетность'!$E$8:$AG$8,'Квартальная отчетность'!$E147:$AG147)</f>
        <v>0</v>
      </c>
      <c r="H121" s="114">
        <f>LOOKUP(H$8,'Квартальная отчетность'!$E$8:$AG$8,'Квартальная отчетность'!$E147:$AG147)</f>
        <v>0</v>
      </c>
      <c r="I121" s="114">
        <f>LOOKUP(I$8,'Квартальная отчетность'!$E$8:$AG$8,'Квартальная отчетность'!$E147:$AG147)</f>
        <v>0</v>
      </c>
      <c r="J121" s="114">
        <f>LOOKUP(J$8,'Квартальная отчетность'!$E$8:$AG$8,'Квартальная отчетность'!$E147:$AG147)</f>
        <v>0</v>
      </c>
      <c r="K121" s="114">
        <f>LOOKUP(K$8,'Квартальная отчетность'!$E$8:$AG$8,'Квартальная отчетность'!$E147:$AG147)</f>
        <v>0</v>
      </c>
      <c r="L121" s="114">
        <f>LOOKUP(L$8,'Квартальная отчетность'!$E$8:$AG$8,'Квартальная отчетность'!$E147:$AG147)</f>
        <v>0</v>
      </c>
      <c r="M121" s="114">
        <f>LOOKUP(M$8,'Квартальная отчетность'!$E$8:$AG$8,'Квартальная отчетность'!$E147:$AG147)</f>
        <v>0</v>
      </c>
      <c r="N121" s="114">
        <f>LOOKUP(N$8,'Квартальная отчетность'!$E$8:$AG$8,'Квартальная отчетность'!$E147:$AG147)</f>
        <v>0</v>
      </c>
      <c r="O121" s="114">
        <f>LOOKUP(O$8,'Квартальная отчетность'!$E$8:$AG$8,'Квартальная отчетность'!$E147:$AG147)</f>
        <v>0</v>
      </c>
      <c r="P121" s="114">
        <f>LOOKUP(P$8,'Квартальная отчетность'!$E$8:$AG$8,'Квартальная отчетность'!$E147:$AG147)</f>
        <v>0</v>
      </c>
      <c r="Q121" s="114">
        <f>LOOKUP(Q$8,'Квартальная отчетность'!$E$8:$AG$8,'Квартальная отчетность'!$E147:$AG147)</f>
        <v>0</v>
      </c>
      <c r="R121" s="114">
        <f>LOOKUP(R$8,'Квартальная отчетность'!$E$8:$AG$8,'Квартальная отчетность'!$E147:$AG147)</f>
        <v>0</v>
      </c>
      <c r="S121" s="114">
        <f>LOOKUP(S$8,'Квартальная отчетность'!$E$8:$AG$8,'Квартальная отчетность'!$E147:$AG147)</f>
        <v>0</v>
      </c>
      <c r="T121" s="114">
        <f>LOOKUP(T$8,'Квартальная отчетность'!$E$8:$AG$8,'Квартальная отчетность'!$E147:$AG147)</f>
        <v>0</v>
      </c>
    </row>
    <row r="122" spans="2:26" ht="15" customHeight="1">
      <c r="B122" s="117" t="s">
        <v>186</v>
      </c>
      <c r="C122" s="113" t="str">
        <f t="shared" si="39"/>
        <v>тыс. руб.</v>
      </c>
      <c r="D122" s="114"/>
      <c r="E122" s="114">
        <f>LOOKUP(E$8,'Квартальная отчетность'!$E$8:$AG$8,'Квартальная отчетность'!$E148:$AG148)</f>
        <v>0</v>
      </c>
      <c r="F122" s="114">
        <f>LOOKUP(F$8,'Квартальная отчетность'!$E$8:$AG$8,'Квартальная отчетность'!$E148:$AG148)</f>
        <v>0</v>
      </c>
      <c r="G122" s="114">
        <f>LOOKUP(G$8,'Квартальная отчетность'!$E$8:$AG$8,'Квартальная отчетность'!$E148:$AG148)</f>
        <v>0</v>
      </c>
      <c r="H122" s="114">
        <f>LOOKUP(H$8,'Квартальная отчетность'!$E$8:$AG$8,'Квартальная отчетность'!$E148:$AG148)</f>
        <v>0</v>
      </c>
      <c r="I122" s="114">
        <f>LOOKUP(I$8,'Квартальная отчетность'!$E$8:$AG$8,'Квартальная отчетность'!$E148:$AG148)</f>
        <v>0</v>
      </c>
      <c r="J122" s="114">
        <f>LOOKUP(J$8,'Квартальная отчетность'!$E$8:$AG$8,'Квартальная отчетность'!$E148:$AG148)</f>
        <v>0</v>
      </c>
      <c r="K122" s="114">
        <f>LOOKUP(K$8,'Квартальная отчетность'!$E$8:$AG$8,'Квартальная отчетность'!$E148:$AG148)</f>
        <v>0</v>
      </c>
      <c r="L122" s="114">
        <f>LOOKUP(L$8,'Квартальная отчетность'!$E$8:$AG$8,'Квартальная отчетность'!$E148:$AG148)</f>
        <v>0</v>
      </c>
      <c r="M122" s="114">
        <f>LOOKUP(M$8,'Квартальная отчетность'!$E$8:$AG$8,'Квартальная отчетность'!$E148:$AG148)</f>
        <v>0</v>
      </c>
      <c r="N122" s="114">
        <f>LOOKUP(N$8,'Квартальная отчетность'!$E$8:$AG$8,'Квартальная отчетность'!$E148:$AG148)</f>
        <v>0</v>
      </c>
      <c r="O122" s="114">
        <f>LOOKUP(O$8,'Квартальная отчетность'!$E$8:$AG$8,'Квартальная отчетность'!$E148:$AG148)</f>
        <v>0</v>
      </c>
      <c r="P122" s="114">
        <f>LOOKUP(P$8,'Квартальная отчетность'!$E$8:$AG$8,'Квартальная отчетность'!$E148:$AG148)</f>
        <v>0</v>
      </c>
      <c r="Q122" s="114">
        <f>LOOKUP(Q$8,'Квартальная отчетность'!$E$8:$AG$8,'Квартальная отчетность'!$E148:$AG148)</f>
        <v>0</v>
      </c>
      <c r="R122" s="114">
        <f>LOOKUP(R$8,'Квартальная отчетность'!$E$8:$AG$8,'Квартальная отчетность'!$E148:$AG148)</f>
        <v>0</v>
      </c>
      <c r="S122" s="114">
        <f>LOOKUP(S$8,'Квартальная отчетность'!$E$8:$AG$8,'Квартальная отчетность'!$E148:$AG148)</f>
        <v>0</v>
      </c>
      <c r="T122" s="114">
        <f>LOOKUP(T$8,'Квартальная отчетность'!$E$8:$AG$8,'Квартальная отчетность'!$E148:$AG148)</f>
        <v>0</v>
      </c>
    </row>
    <row r="123" spans="2:26" ht="15" customHeight="1">
      <c r="B123" s="117" t="s">
        <v>187</v>
      </c>
      <c r="C123" s="113" t="str">
        <f t="shared" si="39"/>
        <v>тыс. руб.</v>
      </c>
      <c r="D123" s="114"/>
      <c r="E123" s="114">
        <f>LOOKUP(E$8,'Квартальная отчетность'!$E$8:$AG$8,'Квартальная отчетность'!$E149:$AG149)</f>
        <v>0</v>
      </c>
      <c r="F123" s="114">
        <f>LOOKUP(F$8,'Квартальная отчетность'!$E$8:$AG$8,'Квартальная отчетность'!$E149:$AG149)</f>
        <v>0</v>
      </c>
      <c r="G123" s="114">
        <f>LOOKUP(G$8,'Квартальная отчетность'!$E$8:$AG$8,'Квартальная отчетность'!$E149:$AG149)</f>
        <v>0</v>
      </c>
      <c r="H123" s="114">
        <f>LOOKUP(H$8,'Квартальная отчетность'!$E$8:$AG$8,'Квартальная отчетность'!$E149:$AG149)</f>
        <v>0</v>
      </c>
      <c r="I123" s="114">
        <f>LOOKUP(I$8,'Квартальная отчетность'!$E$8:$AG$8,'Квартальная отчетность'!$E149:$AG149)</f>
        <v>0</v>
      </c>
      <c r="J123" s="114">
        <f>LOOKUP(J$8,'Квартальная отчетность'!$E$8:$AG$8,'Квартальная отчетность'!$E149:$AG149)</f>
        <v>0</v>
      </c>
      <c r="K123" s="114">
        <f>LOOKUP(K$8,'Квартальная отчетность'!$E$8:$AG$8,'Квартальная отчетность'!$E149:$AG149)</f>
        <v>0</v>
      </c>
      <c r="L123" s="114">
        <f>LOOKUP(L$8,'Квартальная отчетность'!$E$8:$AG$8,'Квартальная отчетность'!$E149:$AG149)</f>
        <v>0</v>
      </c>
      <c r="M123" s="114">
        <f>LOOKUP(M$8,'Квартальная отчетность'!$E$8:$AG$8,'Квартальная отчетность'!$E149:$AG149)</f>
        <v>0</v>
      </c>
      <c r="N123" s="114">
        <f>LOOKUP(N$8,'Квартальная отчетность'!$E$8:$AG$8,'Квартальная отчетность'!$E149:$AG149)</f>
        <v>0</v>
      </c>
      <c r="O123" s="114">
        <f>LOOKUP(O$8,'Квартальная отчетность'!$E$8:$AG$8,'Квартальная отчетность'!$E149:$AG149)</f>
        <v>0</v>
      </c>
      <c r="P123" s="114">
        <f>LOOKUP(P$8,'Квартальная отчетность'!$E$8:$AG$8,'Квартальная отчетность'!$E149:$AG149)</f>
        <v>0</v>
      </c>
      <c r="Q123" s="114">
        <f>LOOKUP(Q$8,'Квартальная отчетность'!$E$8:$AG$8,'Квартальная отчетность'!$E149:$AG149)</f>
        <v>0</v>
      </c>
      <c r="R123" s="114">
        <f>LOOKUP(R$8,'Квартальная отчетность'!$E$8:$AG$8,'Квартальная отчетность'!$E149:$AG149)</f>
        <v>0</v>
      </c>
      <c r="S123" s="114">
        <f>LOOKUP(S$8,'Квартальная отчетность'!$E$8:$AG$8,'Квартальная отчетность'!$E149:$AG149)</f>
        <v>0</v>
      </c>
      <c r="T123" s="114">
        <f>LOOKUP(T$8,'Квартальная отчетность'!$E$8:$AG$8,'Квартальная отчетность'!$E149:$AG149)</f>
        <v>0</v>
      </c>
    </row>
    <row r="124" spans="2:26" ht="15" customHeight="1">
      <c r="B124" s="117" t="s">
        <v>188</v>
      </c>
      <c r="C124" s="113" t="str">
        <f t="shared" si="39"/>
        <v>тыс. руб.</v>
      </c>
      <c r="D124" s="114"/>
      <c r="E124" s="114">
        <f>LOOKUP(E$8,'Квартальная отчетность'!$E$8:$AG$8,'Квартальная отчетность'!$E150:$AG150)</f>
        <v>0</v>
      </c>
      <c r="F124" s="114">
        <f>LOOKUP(F$8,'Квартальная отчетность'!$E$8:$AG$8,'Квартальная отчетность'!$E150:$AG150)</f>
        <v>0</v>
      </c>
      <c r="G124" s="114">
        <f>LOOKUP(G$8,'Квартальная отчетность'!$E$8:$AG$8,'Квартальная отчетность'!$E150:$AG150)</f>
        <v>0</v>
      </c>
      <c r="H124" s="114">
        <f>LOOKUP(H$8,'Квартальная отчетность'!$E$8:$AG$8,'Квартальная отчетность'!$E150:$AG150)</f>
        <v>0</v>
      </c>
      <c r="I124" s="114">
        <f>LOOKUP(I$8,'Квартальная отчетность'!$E$8:$AG$8,'Квартальная отчетность'!$E150:$AG150)</f>
        <v>0</v>
      </c>
      <c r="J124" s="114">
        <f>LOOKUP(J$8,'Квартальная отчетность'!$E$8:$AG$8,'Квартальная отчетность'!$E150:$AG150)</f>
        <v>0</v>
      </c>
      <c r="K124" s="114">
        <f>LOOKUP(K$8,'Квартальная отчетность'!$E$8:$AG$8,'Квартальная отчетность'!$E150:$AG150)</f>
        <v>0</v>
      </c>
      <c r="L124" s="114">
        <f>LOOKUP(L$8,'Квартальная отчетность'!$E$8:$AG$8,'Квартальная отчетность'!$E150:$AG150)</f>
        <v>0</v>
      </c>
      <c r="M124" s="114">
        <f>LOOKUP(M$8,'Квартальная отчетность'!$E$8:$AG$8,'Квартальная отчетность'!$E150:$AG150)</f>
        <v>0</v>
      </c>
      <c r="N124" s="114">
        <f>LOOKUP(N$8,'Квартальная отчетность'!$E$8:$AG$8,'Квартальная отчетность'!$E150:$AG150)</f>
        <v>0</v>
      </c>
      <c r="O124" s="114">
        <f>LOOKUP(O$8,'Квартальная отчетность'!$E$8:$AG$8,'Квартальная отчетность'!$E150:$AG150)</f>
        <v>0</v>
      </c>
      <c r="P124" s="114">
        <f>LOOKUP(P$8,'Квартальная отчетность'!$E$8:$AG$8,'Квартальная отчетность'!$E150:$AG150)</f>
        <v>0</v>
      </c>
      <c r="Q124" s="114">
        <f>LOOKUP(Q$8,'Квартальная отчетность'!$E$8:$AG$8,'Квартальная отчетность'!$E150:$AG150)</f>
        <v>0</v>
      </c>
      <c r="R124" s="114">
        <f>LOOKUP(R$8,'Квартальная отчетность'!$E$8:$AG$8,'Квартальная отчетность'!$E150:$AG150)</f>
        <v>0</v>
      </c>
      <c r="S124" s="114">
        <f>LOOKUP(S$8,'Квартальная отчетность'!$E$8:$AG$8,'Квартальная отчетность'!$E150:$AG150)</f>
        <v>0</v>
      </c>
      <c r="T124" s="114">
        <f>LOOKUP(T$8,'Квартальная отчетность'!$E$8:$AG$8,'Квартальная отчетность'!$E150:$AG150)</f>
        <v>0</v>
      </c>
    </row>
    <row r="125" spans="2:26" ht="15" customHeight="1">
      <c r="B125" s="117" t="s">
        <v>189</v>
      </c>
      <c r="C125" s="113" t="str">
        <f t="shared" si="39"/>
        <v>тыс. руб.</v>
      </c>
      <c r="D125" s="114"/>
      <c r="E125" s="114">
        <f>LOOKUP(E$8,'Квартальная отчетность'!$E$8:$AG$8,'Квартальная отчетность'!$E151:$AG151)</f>
        <v>0</v>
      </c>
      <c r="F125" s="114">
        <f>LOOKUP(F$8,'Квартальная отчетность'!$E$8:$AG$8,'Квартальная отчетность'!$E151:$AG151)</f>
        <v>0</v>
      </c>
      <c r="G125" s="114">
        <f>LOOKUP(G$8,'Квартальная отчетность'!$E$8:$AG$8,'Квартальная отчетность'!$E151:$AG151)</f>
        <v>0</v>
      </c>
      <c r="H125" s="114">
        <f>LOOKUP(H$8,'Квартальная отчетность'!$E$8:$AG$8,'Квартальная отчетность'!$E151:$AG151)</f>
        <v>0</v>
      </c>
      <c r="I125" s="114">
        <f>LOOKUP(I$8,'Квартальная отчетность'!$E$8:$AG$8,'Квартальная отчетность'!$E151:$AG151)</f>
        <v>0</v>
      </c>
      <c r="J125" s="114">
        <f>LOOKUP(J$8,'Квартальная отчетность'!$E$8:$AG$8,'Квартальная отчетность'!$E151:$AG151)</f>
        <v>0</v>
      </c>
      <c r="K125" s="114">
        <f>LOOKUP(K$8,'Квартальная отчетность'!$E$8:$AG$8,'Квартальная отчетность'!$E151:$AG151)</f>
        <v>0</v>
      </c>
      <c r="L125" s="114">
        <f>LOOKUP(L$8,'Квартальная отчетность'!$E$8:$AG$8,'Квартальная отчетность'!$E151:$AG151)</f>
        <v>0</v>
      </c>
      <c r="M125" s="114">
        <f>LOOKUP(M$8,'Квартальная отчетность'!$E$8:$AG$8,'Квартальная отчетность'!$E151:$AG151)</f>
        <v>0</v>
      </c>
      <c r="N125" s="114">
        <f>LOOKUP(N$8,'Квартальная отчетность'!$E$8:$AG$8,'Квартальная отчетность'!$E151:$AG151)</f>
        <v>0</v>
      </c>
      <c r="O125" s="114">
        <f>LOOKUP(O$8,'Квартальная отчетность'!$E$8:$AG$8,'Квартальная отчетность'!$E151:$AG151)</f>
        <v>0</v>
      </c>
      <c r="P125" s="114">
        <f>LOOKUP(P$8,'Квартальная отчетность'!$E$8:$AG$8,'Квартальная отчетность'!$E151:$AG151)</f>
        <v>0</v>
      </c>
      <c r="Q125" s="114">
        <f>LOOKUP(Q$8,'Квартальная отчетность'!$E$8:$AG$8,'Квартальная отчетность'!$E151:$AG151)</f>
        <v>0</v>
      </c>
      <c r="R125" s="114">
        <f>LOOKUP(R$8,'Квартальная отчетность'!$E$8:$AG$8,'Квартальная отчетность'!$E151:$AG151)</f>
        <v>0</v>
      </c>
      <c r="S125" s="114">
        <f>LOOKUP(S$8,'Квартальная отчетность'!$E$8:$AG$8,'Квартальная отчетность'!$E151:$AG151)</f>
        <v>0</v>
      </c>
      <c r="T125" s="114">
        <f>LOOKUP(T$8,'Квартальная отчетность'!$E$8:$AG$8,'Квартальная отчетность'!$E151:$AG151)</f>
        <v>0</v>
      </c>
    </row>
    <row r="126" spans="2:26" ht="15" customHeight="1">
      <c r="B126" s="117" t="s">
        <v>79</v>
      </c>
      <c r="C126" s="113" t="str">
        <f t="shared" si="39"/>
        <v>тыс. руб.</v>
      </c>
      <c r="D126" s="114"/>
      <c r="E126" s="114">
        <f>LOOKUP(E$8,'Квартальная отчетность'!$E$8:$AG$8,'Квартальная отчетность'!$E152:$AG152)</f>
        <v>0</v>
      </c>
      <c r="F126" s="114">
        <f>LOOKUP(F$8,'Квартальная отчетность'!$E$8:$AG$8,'Квартальная отчетность'!$E152:$AG152)</f>
        <v>0</v>
      </c>
      <c r="G126" s="114">
        <f>LOOKUP(G$8,'Квартальная отчетность'!$E$8:$AG$8,'Квартальная отчетность'!$E152:$AG152)</f>
        <v>0</v>
      </c>
      <c r="H126" s="114">
        <f>LOOKUP(H$8,'Квартальная отчетность'!$E$8:$AG$8,'Квартальная отчетность'!$E152:$AG152)</f>
        <v>0</v>
      </c>
      <c r="I126" s="114">
        <f>LOOKUP(I$8,'Квартальная отчетность'!$E$8:$AG$8,'Квартальная отчетность'!$E152:$AG152)</f>
        <v>0</v>
      </c>
      <c r="J126" s="114">
        <f>LOOKUP(J$8,'Квартальная отчетность'!$E$8:$AG$8,'Квартальная отчетность'!$E152:$AG152)</f>
        <v>0</v>
      </c>
      <c r="K126" s="114">
        <f>LOOKUP(K$8,'Квартальная отчетность'!$E$8:$AG$8,'Квартальная отчетность'!$E152:$AG152)</f>
        <v>0</v>
      </c>
      <c r="L126" s="114">
        <f>LOOKUP(L$8,'Квартальная отчетность'!$E$8:$AG$8,'Квартальная отчетность'!$E152:$AG152)</f>
        <v>0</v>
      </c>
      <c r="M126" s="114">
        <f>LOOKUP(M$8,'Квартальная отчетность'!$E$8:$AG$8,'Квартальная отчетность'!$E152:$AG152)</f>
        <v>0</v>
      </c>
      <c r="N126" s="114">
        <f>LOOKUP(N$8,'Квартальная отчетность'!$E$8:$AG$8,'Квартальная отчетность'!$E152:$AG152)</f>
        <v>0</v>
      </c>
      <c r="O126" s="114">
        <f>LOOKUP(O$8,'Квартальная отчетность'!$E$8:$AG$8,'Квартальная отчетность'!$E152:$AG152)</f>
        <v>0</v>
      </c>
      <c r="P126" s="114">
        <f>LOOKUP(P$8,'Квартальная отчетность'!$E$8:$AG$8,'Квартальная отчетность'!$E152:$AG152)</f>
        <v>0</v>
      </c>
      <c r="Q126" s="114">
        <f>LOOKUP(Q$8,'Квартальная отчетность'!$E$8:$AG$8,'Квартальная отчетность'!$E152:$AG152)</f>
        <v>0</v>
      </c>
      <c r="R126" s="114">
        <f>LOOKUP(R$8,'Квартальная отчетность'!$E$8:$AG$8,'Квартальная отчетность'!$E152:$AG152)</f>
        <v>0</v>
      </c>
      <c r="S126" s="114">
        <f>LOOKUP(S$8,'Квартальная отчетность'!$E$8:$AG$8,'Квартальная отчетность'!$E152:$AG152)</f>
        <v>0</v>
      </c>
      <c r="T126" s="114">
        <f>LOOKUP(T$8,'Квартальная отчетность'!$E$8:$AG$8,'Квартальная отчетность'!$E152:$AG152)</f>
        <v>0</v>
      </c>
    </row>
    <row r="127" spans="2:26" ht="15" customHeight="1">
      <c r="B127" s="259" t="s">
        <v>317</v>
      </c>
      <c r="C127" s="260" t="str">
        <f t="shared" si="39"/>
        <v>тыс. руб.</v>
      </c>
      <c r="D127" s="248"/>
      <c r="E127" s="248">
        <f t="shared" ref="E127" si="40">SUM(E121:E126)</f>
        <v>0</v>
      </c>
      <c r="F127" s="248">
        <f t="shared" ref="F127:T127" si="41">SUM(F121:F126)</f>
        <v>0</v>
      </c>
      <c r="G127" s="248">
        <f t="shared" si="41"/>
        <v>0</v>
      </c>
      <c r="H127" s="248">
        <f t="shared" si="41"/>
        <v>0</v>
      </c>
      <c r="I127" s="248">
        <f t="shared" si="41"/>
        <v>0</v>
      </c>
      <c r="J127" s="248">
        <f t="shared" si="41"/>
        <v>0</v>
      </c>
      <c r="K127" s="248">
        <f t="shared" si="41"/>
        <v>0</v>
      </c>
      <c r="L127" s="248">
        <f t="shared" si="41"/>
        <v>0</v>
      </c>
      <c r="M127" s="248">
        <f t="shared" si="41"/>
        <v>0</v>
      </c>
      <c r="N127" s="248">
        <f t="shared" si="41"/>
        <v>0</v>
      </c>
      <c r="O127" s="248">
        <f t="shared" si="41"/>
        <v>0</v>
      </c>
      <c r="P127" s="248">
        <f t="shared" si="41"/>
        <v>0</v>
      </c>
      <c r="Q127" s="248">
        <f t="shared" si="41"/>
        <v>0</v>
      </c>
      <c r="R127" s="248">
        <f t="shared" si="41"/>
        <v>0</v>
      </c>
      <c r="S127" s="248">
        <f t="shared" si="41"/>
        <v>0</v>
      </c>
      <c r="T127" s="248">
        <f t="shared" si="41"/>
        <v>0</v>
      </c>
    </row>
    <row r="128" spans="2:26" ht="15" customHeight="1">
      <c r="B128" s="37"/>
      <c r="C128" s="37"/>
      <c r="D128" s="37"/>
      <c r="E128" s="37"/>
      <c r="F128" s="37"/>
      <c r="G128" s="37"/>
      <c r="H128" s="37"/>
      <c r="I128" s="37"/>
      <c r="J128" s="37"/>
      <c r="K128" s="37"/>
      <c r="L128" s="37"/>
      <c r="M128" s="37"/>
      <c r="N128" s="37"/>
      <c r="O128" s="37"/>
      <c r="P128" s="37"/>
      <c r="Q128" s="37"/>
      <c r="R128" s="37"/>
      <c r="S128" s="37"/>
      <c r="T128" s="37"/>
    </row>
    <row r="129" spans="2:26" ht="21">
      <c r="B129" s="118" t="s">
        <v>190</v>
      </c>
      <c r="C129" s="37"/>
      <c r="D129" s="40"/>
      <c r="E129" s="41"/>
      <c r="F129" s="41"/>
      <c r="G129" s="41"/>
      <c r="H129" s="41"/>
      <c r="I129" s="41"/>
      <c r="J129" s="41"/>
      <c r="K129" s="41"/>
      <c r="L129" s="41"/>
      <c r="M129" s="41"/>
      <c r="N129" s="41"/>
      <c r="O129" s="41"/>
      <c r="P129" s="41"/>
      <c r="Q129" s="41"/>
      <c r="R129" s="41"/>
      <c r="S129" s="41"/>
      <c r="T129" s="41"/>
      <c r="U129" s="5"/>
      <c r="V129" s="5"/>
      <c r="W129" s="5"/>
      <c r="X129" s="5"/>
      <c r="Y129" s="5"/>
      <c r="Z129" s="5"/>
    </row>
    <row r="130" spans="2:26" ht="15" customHeight="1">
      <c r="B130" s="112" t="s">
        <v>81</v>
      </c>
      <c r="C130" s="113" t="str">
        <f>Единица_измерения</f>
        <v>тыс. руб.</v>
      </c>
      <c r="D130" s="114"/>
      <c r="E130" s="114">
        <f>LOOKUP(E$8,'Квартальная отчетность'!$E$8:$AG$8,'Квартальная отчетность'!$E156:$AG156)</f>
        <v>0</v>
      </c>
      <c r="F130" s="114">
        <f>LOOKUP(F$8,'Квартальная отчетность'!$E$8:$AG$8,'Квартальная отчетность'!$E156:$AG156)</f>
        <v>0</v>
      </c>
      <c r="G130" s="114">
        <f>LOOKUP(G$8,'Квартальная отчетность'!$E$8:$AG$8,'Квартальная отчетность'!$E156:$AG156)</f>
        <v>0</v>
      </c>
      <c r="H130" s="114">
        <f>LOOKUP(H$8,'Квартальная отчетность'!$E$8:$AG$8,'Квартальная отчетность'!$E156:$AG156)</f>
        <v>0</v>
      </c>
      <c r="I130" s="114">
        <f>LOOKUP(I$8,'Квартальная отчетность'!$E$8:$AG$8,'Квартальная отчетность'!$E156:$AG156)</f>
        <v>0</v>
      </c>
      <c r="J130" s="114">
        <f>LOOKUP(J$8,'Квартальная отчетность'!$E$8:$AG$8,'Квартальная отчетность'!$E156:$AG156)</f>
        <v>0</v>
      </c>
      <c r="K130" s="114">
        <f>LOOKUP(K$8,'Квартальная отчетность'!$E$8:$AG$8,'Квартальная отчетность'!$E156:$AG156)</f>
        <v>0</v>
      </c>
      <c r="L130" s="114">
        <f>LOOKUP(L$8,'Квартальная отчетность'!$E$8:$AG$8,'Квартальная отчетность'!$E156:$AG156)</f>
        <v>0</v>
      </c>
      <c r="M130" s="114">
        <f>LOOKUP(M$8,'Квартальная отчетность'!$E$8:$AG$8,'Квартальная отчетность'!$E156:$AG156)</f>
        <v>0</v>
      </c>
      <c r="N130" s="114">
        <f>LOOKUP(N$8,'Квартальная отчетность'!$E$8:$AG$8,'Квартальная отчетность'!$E156:$AG156)</f>
        <v>0</v>
      </c>
      <c r="O130" s="114">
        <f>LOOKUP(O$8,'Квартальная отчетность'!$E$8:$AG$8,'Квартальная отчетность'!$E156:$AG156)</f>
        <v>0</v>
      </c>
      <c r="P130" s="114">
        <f>LOOKUP(P$8,'Квартальная отчетность'!$E$8:$AG$8,'Квартальная отчетность'!$E156:$AG156)</f>
        <v>0</v>
      </c>
      <c r="Q130" s="114">
        <f>LOOKUP(Q$8,'Квартальная отчетность'!$E$8:$AG$8,'Квартальная отчетность'!$E156:$AG156)</f>
        <v>0</v>
      </c>
      <c r="R130" s="114">
        <f>LOOKUP(R$8,'Квартальная отчетность'!$E$8:$AG$8,'Квартальная отчетность'!$E156:$AG156)</f>
        <v>0</v>
      </c>
      <c r="S130" s="114">
        <f>LOOKUP(S$8,'Квартальная отчетность'!$E$8:$AG$8,'Квартальная отчетность'!$E156:$AG156)</f>
        <v>0</v>
      </c>
      <c r="T130" s="114">
        <f>LOOKUP(T$8,'Квартальная отчетность'!$E$8:$AG$8,'Квартальная отчетность'!$E156:$AG156)</f>
        <v>0</v>
      </c>
    </row>
    <row r="131" spans="2:26" ht="15" customHeight="1">
      <c r="B131" s="117" t="s">
        <v>191</v>
      </c>
      <c r="C131" s="113" t="str">
        <f>Единица_измерения</f>
        <v>тыс. руб.</v>
      </c>
      <c r="D131" s="114"/>
      <c r="E131" s="114">
        <f>LOOKUP(E$8,'Квартальная отчетность'!$E$8:$AG$8,'Квартальная отчетность'!$E157:$AG157)</f>
        <v>0</v>
      </c>
      <c r="F131" s="114">
        <f>LOOKUP(F$8,'Квартальная отчетность'!$E$8:$AG$8,'Квартальная отчетность'!$E157:$AG157)</f>
        <v>0</v>
      </c>
      <c r="G131" s="114">
        <f>LOOKUP(G$8,'Квартальная отчетность'!$E$8:$AG$8,'Квартальная отчетность'!$E157:$AG157)</f>
        <v>0</v>
      </c>
      <c r="H131" s="114">
        <f>LOOKUP(H$8,'Квартальная отчетность'!$E$8:$AG$8,'Квартальная отчетность'!$E157:$AG157)</f>
        <v>0</v>
      </c>
      <c r="I131" s="114">
        <f>LOOKUP(I$8,'Квартальная отчетность'!$E$8:$AG$8,'Квартальная отчетность'!$E157:$AG157)</f>
        <v>0</v>
      </c>
      <c r="J131" s="114">
        <f>LOOKUP(J$8,'Квартальная отчетность'!$E$8:$AG$8,'Квартальная отчетность'!$E157:$AG157)</f>
        <v>0</v>
      </c>
      <c r="K131" s="114">
        <f>LOOKUP(K$8,'Квартальная отчетность'!$E$8:$AG$8,'Квартальная отчетность'!$E157:$AG157)</f>
        <v>0</v>
      </c>
      <c r="L131" s="114">
        <f>LOOKUP(L$8,'Квартальная отчетность'!$E$8:$AG$8,'Квартальная отчетность'!$E157:$AG157)</f>
        <v>0</v>
      </c>
      <c r="M131" s="114">
        <f>LOOKUP(M$8,'Квартальная отчетность'!$E$8:$AG$8,'Квартальная отчетность'!$E157:$AG157)</f>
        <v>0</v>
      </c>
      <c r="N131" s="114">
        <f>LOOKUP(N$8,'Квартальная отчетность'!$E$8:$AG$8,'Квартальная отчетность'!$E157:$AG157)</f>
        <v>0</v>
      </c>
      <c r="O131" s="114">
        <f>LOOKUP(O$8,'Квартальная отчетность'!$E$8:$AG$8,'Квартальная отчетность'!$E157:$AG157)</f>
        <v>0</v>
      </c>
      <c r="P131" s="114">
        <f>LOOKUP(P$8,'Квартальная отчетность'!$E$8:$AG$8,'Квартальная отчетность'!$E157:$AG157)</f>
        <v>0</v>
      </c>
      <c r="Q131" s="114">
        <f>LOOKUP(Q$8,'Квартальная отчетность'!$E$8:$AG$8,'Квартальная отчетность'!$E157:$AG157)</f>
        <v>0</v>
      </c>
      <c r="R131" s="114">
        <f>LOOKUP(R$8,'Квартальная отчетность'!$E$8:$AG$8,'Квартальная отчетность'!$E157:$AG157)</f>
        <v>0</v>
      </c>
      <c r="S131" s="114">
        <f>LOOKUP(S$8,'Квартальная отчетность'!$E$8:$AG$8,'Квартальная отчетность'!$E157:$AG157)</f>
        <v>0</v>
      </c>
      <c r="T131" s="114">
        <f>LOOKUP(T$8,'Квартальная отчетность'!$E$8:$AG$8,'Квартальная отчетность'!$E157:$AG157)</f>
        <v>0</v>
      </c>
    </row>
    <row r="132" spans="2:26" ht="15" customHeight="1">
      <c r="B132" s="117" t="s">
        <v>192</v>
      </c>
      <c r="C132" s="113" t="str">
        <f>Единица_измерения</f>
        <v>тыс. руб.</v>
      </c>
      <c r="D132" s="114"/>
      <c r="E132" s="114">
        <f>LOOKUP(E$8,'Квартальная отчетность'!$E$8:$AG$8,'Квартальная отчетность'!$E158:$AG158)</f>
        <v>0</v>
      </c>
      <c r="F132" s="114">
        <f>LOOKUP(F$8,'Квартальная отчетность'!$E$8:$AG$8,'Квартальная отчетность'!$E158:$AG158)</f>
        <v>0</v>
      </c>
      <c r="G132" s="114">
        <f>LOOKUP(G$8,'Квартальная отчетность'!$E$8:$AG$8,'Квартальная отчетность'!$E158:$AG158)</f>
        <v>0</v>
      </c>
      <c r="H132" s="114">
        <f>LOOKUP(H$8,'Квартальная отчетность'!$E$8:$AG$8,'Квартальная отчетность'!$E158:$AG158)</f>
        <v>0</v>
      </c>
      <c r="I132" s="114">
        <f>LOOKUP(I$8,'Квартальная отчетность'!$E$8:$AG$8,'Квартальная отчетность'!$E158:$AG158)</f>
        <v>0</v>
      </c>
      <c r="J132" s="114">
        <f>LOOKUP(J$8,'Квартальная отчетность'!$E$8:$AG$8,'Квартальная отчетность'!$E158:$AG158)</f>
        <v>0</v>
      </c>
      <c r="K132" s="114">
        <f>LOOKUP(K$8,'Квартальная отчетность'!$E$8:$AG$8,'Квартальная отчетность'!$E158:$AG158)</f>
        <v>0</v>
      </c>
      <c r="L132" s="114">
        <f>LOOKUP(L$8,'Квартальная отчетность'!$E$8:$AG$8,'Квартальная отчетность'!$E158:$AG158)</f>
        <v>0</v>
      </c>
      <c r="M132" s="114">
        <f>LOOKUP(M$8,'Квартальная отчетность'!$E$8:$AG$8,'Квартальная отчетность'!$E158:$AG158)</f>
        <v>0</v>
      </c>
      <c r="N132" s="114">
        <f>LOOKUP(N$8,'Квартальная отчетность'!$E$8:$AG$8,'Квартальная отчетность'!$E158:$AG158)</f>
        <v>0</v>
      </c>
      <c r="O132" s="114">
        <f>LOOKUP(O$8,'Квартальная отчетность'!$E$8:$AG$8,'Квартальная отчетность'!$E158:$AG158)</f>
        <v>0</v>
      </c>
      <c r="P132" s="114">
        <f>LOOKUP(P$8,'Квартальная отчетность'!$E$8:$AG$8,'Квартальная отчетность'!$E158:$AG158)</f>
        <v>0</v>
      </c>
      <c r="Q132" s="114">
        <f>LOOKUP(Q$8,'Квартальная отчетность'!$E$8:$AG$8,'Квартальная отчетность'!$E158:$AG158)</f>
        <v>0</v>
      </c>
      <c r="R132" s="114">
        <f>LOOKUP(R$8,'Квартальная отчетность'!$E$8:$AG$8,'Квартальная отчетность'!$E158:$AG158)</f>
        <v>0</v>
      </c>
      <c r="S132" s="114">
        <f>LOOKUP(S$8,'Квартальная отчетность'!$E$8:$AG$8,'Квартальная отчетность'!$E158:$AG158)</f>
        <v>0</v>
      </c>
      <c r="T132" s="114">
        <f>LOOKUP(T$8,'Квартальная отчетность'!$E$8:$AG$8,'Квартальная отчетность'!$E158:$AG158)</f>
        <v>0</v>
      </c>
    </row>
    <row r="133" spans="2:26" ht="15" customHeight="1">
      <c r="B133" s="117" t="s">
        <v>193</v>
      </c>
      <c r="C133" s="113" t="str">
        <f>Единица_измерения</f>
        <v>тыс. руб.</v>
      </c>
      <c r="D133" s="114"/>
      <c r="E133" s="114">
        <f>LOOKUP(E$8,'Квартальная отчетность'!$E$8:$AG$8,'Квартальная отчетность'!$E159:$AG159)</f>
        <v>0</v>
      </c>
      <c r="F133" s="114">
        <f>LOOKUP(F$8,'Квартальная отчетность'!$E$8:$AG$8,'Квартальная отчетность'!$E159:$AG159)</f>
        <v>0</v>
      </c>
      <c r="G133" s="114">
        <f>LOOKUP(G$8,'Квартальная отчетность'!$E$8:$AG$8,'Квартальная отчетность'!$E159:$AG159)</f>
        <v>0</v>
      </c>
      <c r="H133" s="114">
        <f>LOOKUP(H$8,'Квартальная отчетность'!$E$8:$AG$8,'Квартальная отчетность'!$E159:$AG159)</f>
        <v>0</v>
      </c>
      <c r="I133" s="114">
        <f>LOOKUP(I$8,'Квартальная отчетность'!$E$8:$AG$8,'Квартальная отчетность'!$E159:$AG159)</f>
        <v>0</v>
      </c>
      <c r="J133" s="114">
        <f>LOOKUP(J$8,'Квартальная отчетность'!$E$8:$AG$8,'Квартальная отчетность'!$E159:$AG159)</f>
        <v>0</v>
      </c>
      <c r="K133" s="114">
        <f>LOOKUP(K$8,'Квартальная отчетность'!$E$8:$AG$8,'Квартальная отчетность'!$E159:$AG159)</f>
        <v>0</v>
      </c>
      <c r="L133" s="114">
        <f>LOOKUP(L$8,'Квартальная отчетность'!$E$8:$AG$8,'Квартальная отчетность'!$E159:$AG159)</f>
        <v>0</v>
      </c>
      <c r="M133" s="114">
        <f>LOOKUP(M$8,'Квартальная отчетность'!$E$8:$AG$8,'Квартальная отчетность'!$E159:$AG159)</f>
        <v>0</v>
      </c>
      <c r="N133" s="114">
        <f>LOOKUP(N$8,'Квартальная отчетность'!$E$8:$AG$8,'Квартальная отчетность'!$E159:$AG159)</f>
        <v>0</v>
      </c>
      <c r="O133" s="114">
        <f>LOOKUP(O$8,'Квартальная отчетность'!$E$8:$AG$8,'Квартальная отчетность'!$E159:$AG159)</f>
        <v>0</v>
      </c>
      <c r="P133" s="114">
        <f>LOOKUP(P$8,'Квартальная отчетность'!$E$8:$AG$8,'Квартальная отчетность'!$E159:$AG159)</f>
        <v>0</v>
      </c>
      <c r="Q133" s="114">
        <f>LOOKUP(Q$8,'Квартальная отчетность'!$E$8:$AG$8,'Квартальная отчетность'!$E159:$AG159)</f>
        <v>0</v>
      </c>
      <c r="R133" s="114">
        <f>LOOKUP(R$8,'Квартальная отчетность'!$E$8:$AG$8,'Квартальная отчетность'!$E159:$AG159)</f>
        <v>0</v>
      </c>
      <c r="S133" s="114">
        <f>LOOKUP(S$8,'Квартальная отчетность'!$E$8:$AG$8,'Квартальная отчетность'!$E159:$AG159)</f>
        <v>0</v>
      </c>
      <c r="T133" s="114">
        <f>LOOKUP(T$8,'Квартальная отчетность'!$E$8:$AG$8,'Квартальная отчетность'!$E159:$AG159)</f>
        <v>0</v>
      </c>
    </row>
    <row r="134" spans="2:26" ht="15" customHeight="1">
      <c r="B134" s="259" t="s">
        <v>321</v>
      </c>
      <c r="C134" s="260" t="str">
        <f>Единица_измерения</f>
        <v>тыс. руб.</v>
      </c>
      <c r="D134" s="248"/>
      <c r="E134" s="248">
        <f t="shared" ref="E134" si="42">SUM(E130:E133)</f>
        <v>0</v>
      </c>
      <c r="F134" s="248">
        <f t="shared" ref="F134:T134" si="43">SUM(F130:F133)</f>
        <v>0</v>
      </c>
      <c r="G134" s="248">
        <f t="shared" si="43"/>
        <v>0</v>
      </c>
      <c r="H134" s="248">
        <f t="shared" si="43"/>
        <v>0</v>
      </c>
      <c r="I134" s="248">
        <f t="shared" si="43"/>
        <v>0</v>
      </c>
      <c r="J134" s="248">
        <f t="shared" si="43"/>
        <v>0</v>
      </c>
      <c r="K134" s="248">
        <f t="shared" si="43"/>
        <v>0</v>
      </c>
      <c r="L134" s="248">
        <f t="shared" si="43"/>
        <v>0</v>
      </c>
      <c r="M134" s="248">
        <f t="shared" si="43"/>
        <v>0</v>
      </c>
      <c r="N134" s="248">
        <f t="shared" si="43"/>
        <v>0</v>
      </c>
      <c r="O134" s="248">
        <f t="shared" si="43"/>
        <v>0</v>
      </c>
      <c r="P134" s="248">
        <f t="shared" si="43"/>
        <v>0</v>
      </c>
      <c r="Q134" s="248">
        <f t="shared" si="43"/>
        <v>0</v>
      </c>
      <c r="R134" s="248">
        <f t="shared" si="43"/>
        <v>0</v>
      </c>
      <c r="S134" s="248">
        <f t="shared" si="43"/>
        <v>0</v>
      </c>
      <c r="T134" s="248">
        <f t="shared" si="43"/>
        <v>0</v>
      </c>
    </row>
    <row r="135" spans="2:26" ht="15" customHeight="1">
      <c r="B135" s="37"/>
      <c r="C135" s="37"/>
      <c r="D135" s="37"/>
      <c r="E135" s="37"/>
      <c r="F135" s="37"/>
      <c r="G135" s="37"/>
      <c r="H135" s="37"/>
      <c r="I135" s="37"/>
      <c r="J135" s="37"/>
      <c r="K135" s="37"/>
      <c r="L135" s="37"/>
      <c r="M135" s="37"/>
      <c r="N135" s="37"/>
      <c r="O135" s="37"/>
      <c r="P135" s="37"/>
      <c r="Q135" s="37"/>
      <c r="R135" s="37"/>
      <c r="S135" s="37"/>
      <c r="T135" s="37"/>
    </row>
    <row r="136" spans="2:26" ht="21">
      <c r="B136" s="118" t="s">
        <v>144</v>
      </c>
      <c r="C136" s="37"/>
      <c r="D136" s="40"/>
      <c r="E136" s="41"/>
      <c r="F136" s="41"/>
      <c r="G136" s="41"/>
      <c r="H136" s="41"/>
      <c r="I136" s="41"/>
      <c r="J136" s="41"/>
      <c r="K136" s="41"/>
      <c r="L136" s="41"/>
      <c r="M136" s="41"/>
      <c r="N136" s="41"/>
      <c r="O136" s="41"/>
      <c r="P136" s="41"/>
      <c r="Q136" s="41"/>
      <c r="R136" s="41"/>
      <c r="S136" s="41"/>
      <c r="T136" s="41"/>
      <c r="U136" s="5"/>
      <c r="V136" s="5"/>
      <c r="W136" s="5"/>
      <c r="X136" s="5"/>
      <c r="Y136" s="5"/>
      <c r="Z136" s="5"/>
    </row>
    <row r="137" spans="2:26" ht="15" customHeight="1">
      <c r="B137" s="112" t="s">
        <v>81</v>
      </c>
      <c r="C137" s="113" t="str">
        <f t="shared" ref="C137:C142" si="44">Единица_измерения</f>
        <v>тыс. руб.</v>
      </c>
      <c r="D137" s="114"/>
      <c r="E137" s="114">
        <f>LOOKUP(E$8,'Квартальная отчетность'!$E$8:$AG$8,'Квартальная отчетность'!$E163:$AG163)</f>
        <v>0</v>
      </c>
      <c r="F137" s="114">
        <f>LOOKUP(F$8,'Квартальная отчетность'!$E$8:$AG$8,'Квартальная отчетность'!$E163:$AG163)</f>
        <v>0</v>
      </c>
      <c r="G137" s="114">
        <f>LOOKUP(G$8,'Квартальная отчетность'!$E$8:$AG$8,'Квартальная отчетность'!$E163:$AG163)</f>
        <v>0</v>
      </c>
      <c r="H137" s="114">
        <f>LOOKUP(H$8,'Квартальная отчетность'!$E$8:$AG$8,'Квартальная отчетность'!$E163:$AG163)</f>
        <v>0</v>
      </c>
      <c r="I137" s="114">
        <f>LOOKUP(I$8,'Квартальная отчетность'!$E$8:$AG$8,'Квартальная отчетность'!$E163:$AG163)</f>
        <v>0</v>
      </c>
      <c r="J137" s="114">
        <f>LOOKUP(J$8,'Квартальная отчетность'!$E$8:$AG$8,'Квартальная отчетность'!$E163:$AG163)</f>
        <v>0</v>
      </c>
      <c r="K137" s="114">
        <f>LOOKUP(K$8,'Квартальная отчетность'!$E$8:$AG$8,'Квартальная отчетность'!$E163:$AG163)</f>
        <v>0</v>
      </c>
      <c r="L137" s="114">
        <f>LOOKUP(L$8,'Квартальная отчетность'!$E$8:$AG$8,'Квартальная отчетность'!$E163:$AG163)</f>
        <v>0</v>
      </c>
      <c r="M137" s="114">
        <f>LOOKUP(M$8,'Квартальная отчетность'!$E$8:$AG$8,'Квартальная отчетность'!$E163:$AG163)</f>
        <v>0</v>
      </c>
      <c r="N137" s="114">
        <f>LOOKUP(N$8,'Квартальная отчетность'!$E$8:$AG$8,'Квартальная отчетность'!$E163:$AG163)</f>
        <v>0</v>
      </c>
      <c r="O137" s="114">
        <f>LOOKUP(O$8,'Квартальная отчетность'!$E$8:$AG$8,'Квартальная отчетность'!$E163:$AG163)</f>
        <v>0</v>
      </c>
      <c r="P137" s="114">
        <f>LOOKUP(P$8,'Квартальная отчетность'!$E$8:$AG$8,'Квартальная отчетность'!$E163:$AG163)</f>
        <v>0</v>
      </c>
      <c r="Q137" s="114">
        <f>LOOKUP(Q$8,'Квартальная отчетность'!$E$8:$AG$8,'Квартальная отчетность'!$E163:$AG163)</f>
        <v>0</v>
      </c>
      <c r="R137" s="114">
        <f>LOOKUP(R$8,'Квартальная отчетность'!$E$8:$AG$8,'Квартальная отчетность'!$E163:$AG163)</f>
        <v>0</v>
      </c>
      <c r="S137" s="114">
        <f>LOOKUP(S$8,'Квартальная отчетность'!$E$8:$AG$8,'Квартальная отчетность'!$E163:$AG163)</f>
        <v>0</v>
      </c>
      <c r="T137" s="114">
        <f>LOOKUP(T$8,'Квартальная отчетность'!$E$8:$AG$8,'Квартальная отчетность'!$E163:$AG163)</f>
        <v>0</v>
      </c>
    </row>
    <row r="138" spans="2:26" ht="15" customHeight="1">
      <c r="B138" s="117" t="s">
        <v>82</v>
      </c>
      <c r="C138" s="113" t="str">
        <f t="shared" si="44"/>
        <v>тыс. руб.</v>
      </c>
      <c r="D138" s="114"/>
      <c r="E138" s="114">
        <f>LOOKUP(E$8,'Квартальная отчетность'!$E$8:$AG$8,'Квартальная отчетность'!$E164:$AG164)</f>
        <v>0</v>
      </c>
      <c r="F138" s="114">
        <f>LOOKUP(F$8,'Квартальная отчетность'!$E$8:$AG$8,'Квартальная отчетность'!$E164:$AG164)</f>
        <v>0</v>
      </c>
      <c r="G138" s="114">
        <f>LOOKUP(G$8,'Квартальная отчетность'!$E$8:$AG$8,'Квартальная отчетность'!$E164:$AG164)</f>
        <v>0</v>
      </c>
      <c r="H138" s="114">
        <f>LOOKUP(H$8,'Квартальная отчетность'!$E$8:$AG$8,'Квартальная отчетность'!$E164:$AG164)</f>
        <v>0</v>
      </c>
      <c r="I138" s="114">
        <f>LOOKUP(I$8,'Квартальная отчетность'!$E$8:$AG$8,'Квартальная отчетность'!$E164:$AG164)</f>
        <v>0</v>
      </c>
      <c r="J138" s="114">
        <f>LOOKUP(J$8,'Квартальная отчетность'!$E$8:$AG$8,'Квартальная отчетность'!$E164:$AG164)</f>
        <v>0</v>
      </c>
      <c r="K138" s="114">
        <f>LOOKUP(K$8,'Квартальная отчетность'!$E$8:$AG$8,'Квартальная отчетность'!$E164:$AG164)</f>
        <v>0</v>
      </c>
      <c r="L138" s="114">
        <f>LOOKUP(L$8,'Квартальная отчетность'!$E$8:$AG$8,'Квартальная отчетность'!$E164:$AG164)</f>
        <v>0</v>
      </c>
      <c r="M138" s="114">
        <f>LOOKUP(M$8,'Квартальная отчетность'!$E$8:$AG$8,'Квартальная отчетность'!$E164:$AG164)</f>
        <v>0</v>
      </c>
      <c r="N138" s="114">
        <f>LOOKUP(N$8,'Квартальная отчетность'!$E$8:$AG$8,'Квартальная отчетность'!$E164:$AG164)</f>
        <v>0</v>
      </c>
      <c r="O138" s="114">
        <f>LOOKUP(O$8,'Квартальная отчетность'!$E$8:$AG$8,'Квартальная отчетность'!$E164:$AG164)</f>
        <v>0</v>
      </c>
      <c r="P138" s="114">
        <f>LOOKUP(P$8,'Квартальная отчетность'!$E$8:$AG$8,'Квартальная отчетность'!$E164:$AG164)</f>
        <v>0</v>
      </c>
      <c r="Q138" s="114">
        <f>LOOKUP(Q$8,'Квартальная отчетность'!$E$8:$AG$8,'Квартальная отчетность'!$E164:$AG164)</f>
        <v>0</v>
      </c>
      <c r="R138" s="114">
        <f>LOOKUP(R$8,'Квартальная отчетность'!$E$8:$AG$8,'Квартальная отчетность'!$E164:$AG164)</f>
        <v>0</v>
      </c>
      <c r="S138" s="114">
        <f>LOOKUP(S$8,'Квартальная отчетность'!$E$8:$AG$8,'Квартальная отчетность'!$E164:$AG164)</f>
        <v>0</v>
      </c>
      <c r="T138" s="114">
        <f>LOOKUP(T$8,'Квартальная отчетность'!$E$8:$AG$8,'Квартальная отчетность'!$E164:$AG164)</f>
        <v>0</v>
      </c>
    </row>
    <row r="139" spans="2:26" ht="15" customHeight="1">
      <c r="B139" s="117" t="s">
        <v>194</v>
      </c>
      <c r="C139" s="113" t="str">
        <f t="shared" si="44"/>
        <v>тыс. руб.</v>
      </c>
      <c r="D139" s="114"/>
      <c r="E139" s="114">
        <f>LOOKUP(E$8,'Квартальная отчетность'!$E$8:$AG$8,'Квартальная отчетность'!$E165:$AG165)</f>
        <v>0</v>
      </c>
      <c r="F139" s="114">
        <f>LOOKUP(F$8,'Квартальная отчетность'!$E$8:$AG$8,'Квартальная отчетность'!$E165:$AG165)</f>
        <v>0</v>
      </c>
      <c r="G139" s="114">
        <f>LOOKUP(G$8,'Квартальная отчетность'!$E$8:$AG$8,'Квартальная отчетность'!$E165:$AG165)</f>
        <v>0</v>
      </c>
      <c r="H139" s="114">
        <f>LOOKUP(H$8,'Квартальная отчетность'!$E$8:$AG$8,'Квартальная отчетность'!$E165:$AG165)</f>
        <v>0</v>
      </c>
      <c r="I139" s="114">
        <f>LOOKUP(I$8,'Квартальная отчетность'!$E$8:$AG$8,'Квартальная отчетность'!$E165:$AG165)</f>
        <v>0</v>
      </c>
      <c r="J139" s="114">
        <f>LOOKUP(J$8,'Квартальная отчетность'!$E$8:$AG$8,'Квартальная отчетность'!$E165:$AG165)</f>
        <v>0</v>
      </c>
      <c r="K139" s="114">
        <f>LOOKUP(K$8,'Квартальная отчетность'!$E$8:$AG$8,'Квартальная отчетность'!$E165:$AG165)</f>
        <v>0</v>
      </c>
      <c r="L139" s="114">
        <f>LOOKUP(L$8,'Квартальная отчетность'!$E$8:$AG$8,'Квартальная отчетность'!$E165:$AG165)</f>
        <v>0</v>
      </c>
      <c r="M139" s="114">
        <f>LOOKUP(M$8,'Квартальная отчетность'!$E$8:$AG$8,'Квартальная отчетность'!$E165:$AG165)</f>
        <v>0</v>
      </c>
      <c r="N139" s="114">
        <f>LOOKUP(N$8,'Квартальная отчетность'!$E$8:$AG$8,'Квартальная отчетность'!$E165:$AG165)</f>
        <v>0</v>
      </c>
      <c r="O139" s="114">
        <f>LOOKUP(O$8,'Квартальная отчетность'!$E$8:$AG$8,'Квартальная отчетность'!$E165:$AG165)</f>
        <v>0</v>
      </c>
      <c r="P139" s="114">
        <f>LOOKUP(P$8,'Квартальная отчетность'!$E$8:$AG$8,'Квартальная отчетность'!$E165:$AG165)</f>
        <v>0</v>
      </c>
      <c r="Q139" s="114">
        <f>LOOKUP(Q$8,'Квартальная отчетность'!$E$8:$AG$8,'Квартальная отчетность'!$E165:$AG165)</f>
        <v>0</v>
      </c>
      <c r="R139" s="114">
        <f>LOOKUP(R$8,'Квартальная отчетность'!$E$8:$AG$8,'Квартальная отчетность'!$E165:$AG165)</f>
        <v>0</v>
      </c>
      <c r="S139" s="114">
        <f>LOOKUP(S$8,'Квартальная отчетность'!$E$8:$AG$8,'Квартальная отчетность'!$E165:$AG165)</f>
        <v>0</v>
      </c>
      <c r="T139" s="114">
        <f>LOOKUP(T$8,'Квартальная отчетность'!$E$8:$AG$8,'Квартальная отчетность'!$E165:$AG165)</f>
        <v>0</v>
      </c>
    </row>
    <row r="140" spans="2:26" ht="15" customHeight="1">
      <c r="B140" s="117" t="s">
        <v>192</v>
      </c>
      <c r="C140" s="113" t="str">
        <f t="shared" si="44"/>
        <v>тыс. руб.</v>
      </c>
      <c r="D140" s="114"/>
      <c r="E140" s="114">
        <f>LOOKUP(E$8,'Квартальная отчетность'!$E$8:$AG$8,'Квартальная отчетность'!$E166:$AG166)</f>
        <v>0</v>
      </c>
      <c r="F140" s="114">
        <f>LOOKUP(F$8,'Квартальная отчетность'!$E$8:$AG$8,'Квартальная отчетность'!$E166:$AG166)</f>
        <v>0</v>
      </c>
      <c r="G140" s="114">
        <f>LOOKUP(G$8,'Квартальная отчетность'!$E$8:$AG$8,'Квартальная отчетность'!$E166:$AG166)</f>
        <v>0</v>
      </c>
      <c r="H140" s="114">
        <f>LOOKUP(H$8,'Квартальная отчетность'!$E$8:$AG$8,'Квартальная отчетность'!$E166:$AG166)</f>
        <v>0</v>
      </c>
      <c r="I140" s="114">
        <f>LOOKUP(I$8,'Квартальная отчетность'!$E$8:$AG$8,'Квартальная отчетность'!$E166:$AG166)</f>
        <v>0</v>
      </c>
      <c r="J140" s="114">
        <f>LOOKUP(J$8,'Квартальная отчетность'!$E$8:$AG$8,'Квартальная отчетность'!$E166:$AG166)</f>
        <v>0</v>
      </c>
      <c r="K140" s="114">
        <f>LOOKUP(K$8,'Квартальная отчетность'!$E$8:$AG$8,'Квартальная отчетность'!$E166:$AG166)</f>
        <v>0</v>
      </c>
      <c r="L140" s="114">
        <f>LOOKUP(L$8,'Квартальная отчетность'!$E$8:$AG$8,'Квартальная отчетность'!$E166:$AG166)</f>
        <v>0</v>
      </c>
      <c r="M140" s="114">
        <f>LOOKUP(M$8,'Квартальная отчетность'!$E$8:$AG$8,'Квартальная отчетность'!$E166:$AG166)</f>
        <v>0</v>
      </c>
      <c r="N140" s="114">
        <f>LOOKUP(N$8,'Квартальная отчетность'!$E$8:$AG$8,'Квартальная отчетность'!$E166:$AG166)</f>
        <v>0</v>
      </c>
      <c r="O140" s="114">
        <f>LOOKUP(O$8,'Квартальная отчетность'!$E$8:$AG$8,'Квартальная отчетность'!$E166:$AG166)</f>
        <v>0</v>
      </c>
      <c r="P140" s="114">
        <f>LOOKUP(P$8,'Квартальная отчетность'!$E$8:$AG$8,'Квартальная отчетность'!$E166:$AG166)</f>
        <v>0</v>
      </c>
      <c r="Q140" s="114">
        <f>LOOKUP(Q$8,'Квартальная отчетность'!$E$8:$AG$8,'Квартальная отчетность'!$E166:$AG166)</f>
        <v>0</v>
      </c>
      <c r="R140" s="114">
        <f>LOOKUP(R$8,'Квартальная отчетность'!$E$8:$AG$8,'Квартальная отчетность'!$E166:$AG166)</f>
        <v>0</v>
      </c>
      <c r="S140" s="114">
        <f>LOOKUP(S$8,'Квартальная отчетность'!$E$8:$AG$8,'Квартальная отчетность'!$E166:$AG166)</f>
        <v>0</v>
      </c>
      <c r="T140" s="114">
        <f>LOOKUP(T$8,'Квартальная отчетность'!$E$8:$AG$8,'Квартальная отчетность'!$E166:$AG166)</f>
        <v>0</v>
      </c>
    </row>
    <row r="141" spans="2:26" ht="15" customHeight="1">
      <c r="B141" s="117" t="s">
        <v>193</v>
      </c>
      <c r="C141" s="113" t="str">
        <f t="shared" si="44"/>
        <v>тыс. руб.</v>
      </c>
      <c r="D141" s="114"/>
      <c r="E141" s="114">
        <f>LOOKUP(E$8,'Квартальная отчетность'!$E$8:$AG$8,'Квартальная отчетность'!$E167:$AG167)</f>
        <v>0</v>
      </c>
      <c r="F141" s="114">
        <f>LOOKUP(F$8,'Квартальная отчетность'!$E$8:$AG$8,'Квартальная отчетность'!$E167:$AG167)</f>
        <v>0</v>
      </c>
      <c r="G141" s="114">
        <f>LOOKUP(G$8,'Квартальная отчетность'!$E$8:$AG$8,'Квартальная отчетность'!$E167:$AG167)</f>
        <v>0</v>
      </c>
      <c r="H141" s="114">
        <f>LOOKUP(H$8,'Квартальная отчетность'!$E$8:$AG$8,'Квартальная отчетность'!$E167:$AG167)</f>
        <v>0</v>
      </c>
      <c r="I141" s="114">
        <f>LOOKUP(I$8,'Квартальная отчетность'!$E$8:$AG$8,'Квартальная отчетность'!$E167:$AG167)</f>
        <v>0</v>
      </c>
      <c r="J141" s="114">
        <f>LOOKUP(J$8,'Квартальная отчетность'!$E$8:$AG$8,'Квартальная отчетность'!$E167:$AG167)</f>
        <v>0</v>
      </c>
      <c r="K141" s="114">
        <f>LOOKUP(K$8,'Квартальная отчетность'!$E$8:$AG$8,'Квартальная отчетность'!$E167:$AG167)</f>
        <v>0</v>
      </c>
      <c r="L141" s="114">
        <f>LOOKUP(L$8,'Квартальная отчетность'!$E$8:$AG$8,'Квартальная отчетность'!$E167:$AG167)</f>
        <v>0</v>
      </c>
      <c r="M141" s="114">
        <f>LOOKUP(M$8,'Квартальная отчетность'!$E$8:$AG$8,'Квартальная отчетность'!$E167:$AG167)</f>
        <v>0</v>
      </c>
      <c r="N141" s="114">
        <f>LOOKUP(N$8,'Квартальная отчетность'!$E$8:$AG$8,'Квартальная отчетность'!$E167:$AG167)</f>
        <v>0</v>
      </c>
      <c r="O141" s="114">
        <f>LOOKUP(O$8,'Квартальная отчетность'!$E$8:$AG$8,'Квартальная отчетность'!$E167:$AG167)</f>
        <v>0</v>
      </c>
      <c r="P141" s="114">
        <f>LOOKUP(P$8,'Квартальная отчетность'!$E$8:$AG$8,'Квартальная отчетность'!$E167:$AG167)</f>
        <v>0</v>
      </c>
      <c r="Q141" s="114">
        <f>LOOKUP(Q$8,'Квартальная отчетность'!$E$8:$AG$8,'Квартальная отчетность'!$E167:$AG167)</f>
        <v>0</v>
      </c>
      <c r="R141" s="114">
        <f>LOOKUP(R$8,'Квартальная отчетность'!$E$8:$AG$8,'Квартальная отчетность'!$E167:$AG167)</f>
        <v>0</v>
      </c>
      <c r="S141" s="114">
        <f>LOOKUP(S$8,'Квартальная отчетность'!$E$8:$AG$8,'Квартальная отчетность'!$E167:$AG167)</f>
        <v>0</v>
      </c>
      <c r="T141" s="114">
        <f>LOOKUP(T$8,'Квартальная отчетность'!$E$8:$AG$8,'Квартальная отчетность'!$E167:$AG167)</f>
        <v>0</v>
      </c>
    </row>
    <row r="142" spans="2:26" ht="15" customHeight="1">
      <c r="B142" s="259" t="s">
        <v>322</v>
      </c>
      <c r="C142" s="260" t="str">
        <f t="shared" si="44"/>
        <v>тыс. руб.</v>
      </c>
      <c r="D142" s="248"/>
      <c r="E142" s="248">
        <f t="shared" ref="E142:T142" si="45">SUM(E137:E141)</f>
        <v>0</v>
      </c>
      <c r="F142" s="248">
        <f t="shared" si="45"/>
        <v>0</v>
      </c>
      <c r="G142" s="248">
        <f t="shared" si="45"/>
        <v>0</v>
      </c>
      <c r="H142" s="248">
        <f t="shared" si="45"/>
        <v>0</v>
      </c>
      <c r="I142" s="248">
        <f t="shared" si="45"/>
        <v>0</v>
      </c>
      <c r="J142" s="248">
        <f t="shared" si="45"/>
        <v>0</v>
      </c>
      <c r="K142" s="248">
        <f t="shared" si="45"/>
        <v>0</v>
      </c>
      <c r="L142" s="248">
        <f t="shared" si="45"/>
        <v>0</v>
      </c>
      <c r="M142" s="248">
        <f t="shared" si="45"/>
        <v>0</v>
      </c>
      <c r="N142" s="248">
        <f t="shared" si="45"/>
        <v>0</v>
      </c>
      <c r="O142" s="248">
        <f t="shared" si="45"/>
        <v>0</v>
      </c>
      <c r="P142" s="248">
        <f t="shared" si="45"/>
        <v>0</v>
      </c>
      <c r="Q142" s="248">
        <f t="shared" si="45"/>
        <v>0</v>
      </c>
      <c r="R142" s="248">
        <f t="shared" si="45"/>
        <v>0</v>
      </c>
      <c r="S142" s="248">
        <f t="shared" si="45"/>
        <v>0</v>
      </c>
      <c r="T142" s="248">
        <f t="shared" si="45"/>
        <v>0</v>
      </c>
    </row>
    <row r="143" spans="2:26" ht="15" customHeight="1">
      <c r="B143" s="37"/>
      <c r="C143" s="37"/>
      <c r="D143" s="37"/>
      <c r="E143" s="37"/>
      <c r="F143" s="37"/>
      <c r="G143" s="37"/>
      <c r="H143" s="37"/>
      <c r="I143" s="37"/>
      <c r="J143" s="37"/>
      <c r="K143" s="37"/>
      <c r="L143" s="37"/>
      <c r="M143" s="37"/>
      <c r="N143" s="37"/>
      <c r="O143" s="37"/>
      <c r="P143" s="37"/>
      <c r="Q143" s="37"/>
      <c r="R143" s="37"/>
      <c r="S143" s="37"/>
      <c r="T143" s="37"/>
    </row>
    <row r="144" spans="2:26" ht="15" customHeight="1">
      <c r="B144" s="262" t="s">
        <v>83</v>
      </c>
      <c r="C144" s="263" t="str">
        <f>Единица_измерения</f>
        <v>тыс. руб.</v>
      </c>
      <c r="D144" s="261"/>
      <c r="E144" s="261">
        <f t="shared" ref="E144:T144" si="46">SUM(E127,E134,E142)</f>
        <v>0</v>
      </c>
      <c r="F144" s="261">
        <f t="shared" si="46"/>
        <v>0</v>
      </c>
      <c r="G144" s="261">
        <f t="shared" si="46"/>
        <v>0</v>
      </c>
      <c r="H144" s="261">
        <f t="shared" si="46"/>
        <v>0</v>
      </c>
      <c r="I144" s="261">
        <f t="shared" si="46"/>
        <v>0</v>
      </c>
      <c r="J144" s="261">
        <f t="shared" si="46"/>
        <v>0</v>
      </c>
      <c r="K144" s="261">
        <f t="shared" si="46"/>
        <v>0</v>
      </c>
      <c r="L144" s="261">
        <f t="shared" si="46"/>
        <v>0</v>
      </c>
      <c r="M144" s="261">
        <f t="shared" si="46"/>
        <v>0</v>
      </c>
      <c r="N144" s="261">
        <f t="shared" si="46"/>
        <v>0</v>
      </c>
      <c r="O144" s="261">
        <f t="shared" si="46"/>
        <v>0</v>
      </c>
      <c r="P144" s="261">
        <f t="shared" si="46"/>
        <v>0</v>
      </c>
      <c r="Q144" s="261">
        <f t="shared" si="46"/>
        <v>0</v>
      </c>
      <c r="R144" s="261">
        <f t="shared" si="46"/>
        <v>0</v>
      </c>
      <c r="S144" s="261">
        <f t="shared" si="46"/>
        <v>0</v>
      </c>
      <c r="T144" s="261">
        <f t="shared" si="46"/>
        <v>0</v>
      </c>
    </row>
    <row r="145" spans="2:20" ht="15" customHeight="1">
      <c r="B145" s="37"/>
      <c r="C145" s="37"/>
      <c r="D145" s="37"/>
      <c r="E145" s="37"/>
      <c r="F145" s="37"/>
      <c r="G145" s="37"/>
      <c r="H145" s="37"/>
      <c r="I145" s="37"/>
      <c r="J145" s="37"/>
      <c r="K145" s="37"/>
      <c r="L145" s="37"/>
      <c r="M145" s="37"/>
      <c r="N145" s="37"/>
      <c r="O145" s="37"/>
      <c r="P145" s="37"/>
      <c r="Q145" s="37"/>
      <c r="R145" s="37"/>
      <c r="S145" s="37"/>
      <c r="T145" s="37"/>
    </row>
    <row r="146" spans="2:20" ht="15" customHeight="1">
      <c r="B146" s="112" t="s">
        <v>85</v>
      </c>
      <c r="C146" s="113"/>
      <c r="D146" s="114"/>
      <c r="E146" s="114">
        <f>ROUND(E118-E144,1)</f>
        <v>0</v>
      </c>
      <c r="F146" s="114">
        <f t="shared" ref="F146:T146" si="47">ROUND(F118-F144,1)</f>
        <v>0</v>
      </c>
      <c r="G146" s="114">
        <f t="shared" si="47"/>
        <v>0</v>
      </c>
      <c r="H146" s="114">
        <f t="shared" si="47"/>
        <v>0</v>
      </c>
      <c r="I146" s="114">
        <f t="shared" si="47"/>
        <v>0</v>
      </c>
      <c r="J146" s="114">
        <f t="shared" si="47"/>
        <v>0</v>
      </c>
      <c r="K146" s="114">
        <f t="shared" si="47"/>
        <v>0</v>
      </c>
      <c r="L146" s="114">
        <f t="shared" si="47"/>
        <v>0</v>
      </c>
      <c r="M146" s="114">
        <f t="shared" si="47"/>
        <v>0</v>
      </c>
      <c r="N146" s="114">
        <f t="shared" si="47"/>
        <v>0</v>
      </c>
      <c r="O146" s="114">
        <f t="shared" si="47"/>
        <v>0</v>
      </c>
      <c r="P146" s="114">
        <f t="shared" si="47"/>
        <v>0</v>
      </c>
      <c r="Q146" s="114">
        <f t="shared" si="47"/>
        <v>0</v>
      </c>
      <c r="R146" s="114">
        <f t="shared" si="47"/>
        <v>0</v>
      </c>
      <c r="S146" s="114">
        <f t="shared" si="47"/>
        <v>0</v>
      </c>
      <c r="T146" s="114">
        <f t="shared" si="47"/>
        <v>0</v>
      </c>
    </row>
    <row r="147" spans="2:20" ht="15" customHeight="1">
      <c r="B147" s="37"/>
      <c r="C147" s="37"/>
      <c r="D147" s="37"/>
      <c r="E147" s="37"/>
      <c r="F147" s="37"/>
      <c r="G147" s="37"/>
      <c r="H147" s="37"/>
      <c r="I147" s="37"/>
      <c r="J147" s="37"/>
      <c r="K147" s="37"/>
      <c r="L147" s="37"/>
      <c r="M147" s="37"/>
      <c r="N147" s="37"/>
      <c r="O147" s="37"/>
      <c r="P147" s="37"/>
      <c r="Q147" s="37"/>
      <c r="R147" s="37"/>
      <c r="S147" s="37"/>
      <c r="T147" s="37"/>
    </row>
    <row r="148" spans="2:20" ht="15" customHeight="1">
      <c r="B148" s="112" t="s">
        <v>84</v>
      </c>
      <c r="C148" s="119" t="str">
        <f>IFERROR(IF(COUNTIF(E146:T146,"&lt;&gt;0")&gt;0,"Q","R"),"Q")</f>
        <v>R</v>
      </c>
      <c r="D148" s="37"/>
      <c r="E148" s="37"/>
      <c r="F148" s="37"/>
      <c r="G148" s="37"/>
      <c r="H148" s="37"/>
      <c r="I148" s="37"/>
      <c r="J148" s="37"/>
      <c r="K148" s="37"/>
      <c r="L148" s="37"/>
      <c r="M148" s="37"/>
      <c r="N148" s="37"/>
      <c r="O148" s="37"/>
      <c r="P148" s="37"/>
      <c r="Q148" s="37"/>
      <c r="R148" s="37"/>
      <c r="S148" s="37"/>
      <c r="T148" s="37"/>
    </row>
    <row r="149" spans="2:20" ht="15" customHeight="1">
      <c r="B149" s="37"/>
      <c r="C149" s="37"/>
      <c r="D149" s="37"/>
      <c r="E149" s="37"/>
      <c r="F149" s="37"/>
      <c r="G149" s="37"/>
      <c r="H149" s="37"/>
      <c r="I149" s="37"/>
      <c r="J149" s="37"/>
      <c r="K149" s="37"/>
      <c r="L149" s="37"/>
      <c r="M149" s="37"/>
      <c r="N149" s="37"/>
      <c r="O149" s="37"/>
      <c r="P149" s="37"/>
      <c r="Q149" s="37"/>
      <c r="R149" s="37"/>
      <c r="S149" s="37"/>
      <c r="T149" s="37"/>
    </row>
    <row r="150" spans="2:20" ht="15" customHeight="1"/>
    <row r="151" spans="2:20" ht="15" customHeight="1"/>
    <row r="152" spans="2:20" ht="15" customHeight="1"/>
    <row r="153" spans="2:20" ht="15" customHeight="1"/>
    <row r="154" spans="2:20" ht="15" customHeight="1"/>
    <row r="155" spans="2:20" ht="15" customHeight="1"/>
    <row r="156" spans="2:20" ht="15" customHeight="1"/>
    <row r="157" spans="2:20" ht="15" customHeight="1"/>
    <row r="158" spans="2:20" ht="15" customHeight="1"/>
    <row r="159" spans="2:20" ht="15" customHeight="1"/>
    <row r="160" spans="2:2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</sheetData>
  <sheetProtection algorithmName="SHA-512" hashValue="7nmIkUg6lVibAozZcQqSf2zicyumxovn3DGCQ1TwFWKt/StymfPEcZ2YEONfhH43iinwhOsN9KIOd/Y8D1u1Aw==" saltValue="3UoY+nFUH+lL65OBth7nig==" spinCount="100000" sheet="1" objects="1" scenarios="1"/>
  <dataConsolidate link="1"/>
  <mergeCells count="5">
    <mergeCell ref="B6:B8"/>
    <mergeCell ref="C6:C8"/>
    <mergeCell ref="D6:D8"/>
    <mergeCell ref="E2:H2"/>
    <mergeCell ref="E4:G4"/>
  </mergeCells>
  <conditionalFormatting sqref="C94">
    <cfRule type="cellIs" dxfId="76" priority="11" operator="equal">
      <formula>"Q"</formula>
    </cfRule>
    <cfRule type="cellIs" dxfId="75" priority="12" operator="equal">
      <formula>"R"</formula>
    </cfRule>
  </conditionalFormatting>
  <conditionalFormatting sqref="C148">
    <cfRule type="cellIs" dxfId="74" priority="9" operator="equal">
      <formula>"Q"</formula>
    </cfRule>
    <cfRule type="cellIs" dxfId="73" priority="10" operator="equal">
      <formula>"R"</formula>
    </cfRule>
  </conditionalFormatting>
  <conditionalFormatting sqref="E4">
    <cfRule type="expression" dxfId="72" priority="3">
      <formula>$H$4="Q"</formula>
    </cfRule>
    <cfRule type="expression" dxfId="71" priority="4">
      <formula>$H$4="R"</formula>
    </cfRule>
  </conditionalFormatting>
  <conditionalFormatting sqref="H4">
    <cfRule type="cellIs" dxfId="70" priority="1" operator="equal">
      <formula>"Q"</formula>
    </cfRule>
    <cfRule type="cellIs" dxfId="69" priority="2" operator="equal">
      <formula>"R"</formula>
    </cfRule>
  </conditionalFormatting>
  <hyperlinks>
    <hyperlink ref="E4:G4" location="Проверка!A1" tooltip="Перейти на лист Проверка" display="Проверка!A1"/>
    <hyperlink ref="E3" location="Руководство!A1" tooltip="Перейти на лист Руководство" display="Руководство"/>
    <hyperlink ref="F3" location="'Параметры займа'!A1" tooltip="Перейти на лист Параметры займа" display="Параметры займа"/>
    <hyperlink ref="G3" location="Предпосылки!A1" tooltip="Перейти на лист Предпосылки" display="Предпосылки"/>
    <hyperlink ref="H3" location="Выводы!A1" tooltip="Перейти на лист Выводы" display="Выводы"/>
    <hyperlink ref="H4" location="Проверка!A1" tooltip="Перейти на лист Проверка" display="Проверка!A1"/>
    <hyperlink ref="E2:H2" r:id="rId1" tooltip="Написать в Техподдержку" display="Техподдержка финансовой модели Фонда: fm@frprf.ru"/>
  </hyperlinks>
  <pageMargins left="0.7" right="0.7" top="0.75" bottom="0.75" header="0.3" footer="0.3"/>
  <pageSetup paperSize="9" scale="36" fitToHeight="0" orientation="landscape" r:id="rId2"/>
  <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7">
    <tabColor rgb="FFC8E6E5"/>
    <pageSetUpPr fitToPage="1"/>
  </sheetPr>
  <dimension ref="A1:CE528"/>
  <sheetViews>
    <sheetView showGridLines="0" zoomScale="80" zoomScaleNormal="80" workbookViewId="0">
      <pane ySplit="11" topLeftCell="A12" activePane="bottomLeft" state="frozen"/>
      <selection activeCell="K3" sqref="K3"/>
      <selection pane="bottomLeft" activeCell="I22" sqref="I22"/>
    </sheetView>
  </sheetViews>
  <sheetFormatPr defaultColWidth="0" defaultRowHeight="15" customHeight="1" zeroHeight="1"/>
  <cols>
    <col min="1" max="1" width="2.7109375" customWidth="1"/>
    <col min="2" max="2" width="50" customWidth="1"/>
    <col min="3" max="20" width="17.28515625" customWidth="1"/>
    <col min="21" max="65" width="17.28515625" hidden="1" customWidth="1"/>
    <col min="66" max="66" width="2.85546875" customWidth="1"/>
    <col min="67" max="71" width="15.7109375" hidden="1" customWidth="1"/>
    <col min="72" max="72" width="2.85546875" hidden="1" customWidth="1"/>
    <col min="73" max="83" width="0" hidden="1" customWidth="1"/>
    <col min="84" max="16384" width="9.140625" hidden="1"/>
  </cols>
  <sheetData>
    <row r="1" spans="2:71" ht="15" customHeight="1"/>
    <row r="2" spans="2:71">
      <c r="E2" s="520" t="s">
        <v>401</v>
      </c>
      <c r="F2" s="521"/>
      <c r="G2" s="521"/>
      <c r="H2" s="522"/>
    </row>
    <row r="3" spans="2:71" ht="15" customHeight="1">
      <c r="E3" s="65" t="s">
        <v>250</v>
      </c>
      <c r="F3" s="65" t="s">
        <v>28</v>
      </c>
      <c r="G3" s="65" t="s">
        <v>1</v>
      </c>
      <c r="H3" s="65" t="s">
        <v>172</v>
      </c>
    </row>
    <row r="4" spans="2:71" ht="15" customHeight="1">
      <c r="E4" s="511" t="str">
        <f>IF(H4="R","Все расчёты корректны","Имеются некорректные данные")</f>
        <v>Имеются некорректные данные</v>
      </c>
      <c r="F4" s="512"/>
      <c r="G4" s="513"/>
      <c r="H4" s="73" t="str">
        <f>Проверка</f>
        <v>Q</v>
      </c>
    </row>
    <row r="5" spans="2:71" ht="31.5">
      <c r="B5" s="7" t="s">
        <v>155</v>
      </c>
      <c r="D5" s="45"/>
      <c r="E5" s="4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</row>
    <row r="6" spans="2:71" ht="15" customHeight="1">
      <c r="B6" s="526" t="s">
        <v>9</v>
      </c>
      <c r="C6" s="526" t="s">
        <v>13</v>
      </c>
      <c r="D6" s="301">
        <v>0</v>
      </c>
      <c r="E6" s="233">
        <f>SUM(D6,1)</f>
        <v>1</v>
      </c>
      <c r="F6" s="233">
        <f t="shared" ref="F6:AG6" si="0">SUM(E6,1)</f>
        <v>2</v>
      </c>
      <c r="G6" s="233">
        <f t="shared" si="0"/>
        <v>3</v>
      </c>
      <c r="H6" s="233">
        <f t="shared" si="0"/>
        <v>4</v>
      </c>
      <c r="I6" s="233">
        <f t="shared" si="0"/>
        <v>5</v>
      </c>
      <c r="J6" s="233">
        <f t="shared" si="0"/>
        <v>6</v>
      </c>
      <c r="K6" s="233">
        <f t="shared" si="0"/>
        <v>7</v>
      </c>
      <c r="L6" s="233">
        <f t="shared" si="0"/>
        <v>8</v>
      </c>
      <c r="M6" s="233">
        <f t="shared" si="0"/>
        <v>9</v>
      </c>
      <c r="N6" s="233">
        <f t="shared" si="0"/>
        <v>10</v>
      </c>
      <c r="O6" s="233">
        <f t="shared" si="0"/>
        <v>11</v>
      </c>
      <c r="P6" s="233">
        <f t="shared" si="0"/>
        <v>12</v>
      </c>
      <c r="Q6" s="233">
        <f t="shared" si="0"/>
        <v>13</v>
      </c>
      <c r="R6" s="233">
        <f t="shared" si="0"/>
        <v>14</v>
      </c>
      <c r="S6" s="233">
        <f t="shared" si="0"/>
        <v>15</v>
      </c>
      <c r="T6" s="233">
        <f t="shared" si="0"/>
        <v>16</v>
      </c>
      <c r="U6" s="233">
        <f t="shared" si="0"/>
        <v>17</v>
      </c>
      <c r="V6" s="233">
        <f t="shared" si="0"/>
        <v>18</v>
      </c>
      <c r="W6" s="233">
        <f t="shared" si="0"/>
        <v>19</v>
      </c>
      <c r="X6" s="233">
        <f t="shared" si="0"/>
        <v>20</v>
      </c>
      <c r="Y6" s="233">
        <f t="shared" si="0"/>
        <v>21</v>
      </c>
      <c r="Z6" s="233">
        <f t="shared" si="0"/>
        <v>22</v>
      </c>
      <c r="AA6" s="233">
        <f t="shared" si="0"/>
        <v>23</v>
      </c>
      <c r="AB6" s="233">
        <f t="shared" si="0"/>
        <v>24</v>
      </c>
      <c r="AC6" s="233">
        <f t="shared" si="0"/>
        <v>25</v>
      </c>
      <c r="AD6" s="233">
        <f t="shared" si="0"/>
        <v>26</v>
      </c>
      <c r="AE6" s="233">
        <f t="shared" si="0"/>
        <v>27</v>
      </c>
      <c r="AF6" s="233">
        <f t="shared" si="0"/>
        <v>28</v>
      </c>
      <c r="AG6" s="233">
        <f t="shared" si="0"/>
        <v>29</v>
      </c>
      <c r="AH6" s="233">
        <f t="shared" ref="AH6" si="1">SUM(AG6,1)</f>
        <v>30</v>
      </c>
      <c r="AI6" s="233">
        <f t="shared" ref="AI6" si="2">SUM(AH6,1)</f>
        <v>31</v>
      </c>
      <c r="AJ6" s="233">
        <f t="shared" ref="AJ6" si="3">SUM(AI6,1)</f>
        <v>32</v>
      </c>
      <c r="AK6" s="233">
        <f t="shared" ref="AK6" si="4">SUM(AJ6,1)</f>
        <v>33</v>
      </c>
      <c r="AL6" s="233">
        <f t="shared" ref="AL6" si="5">SUM(AK6,1)</f>
        <v>34</v>
      </c>
      <c r="AM6" s="233">
        <f t="shared" ref="AM6" si="6">SUM(AL6,1)</f>
        <v>35</v>
      </c>
      <c r="AN6" s="233">
        <f t="shared" ref="AN6" si="7">SUM(AM6,1)</f>
        <v>36</v>
      </c>
      <c r="AO6" s="233">
        <f t="shared" ref="AO6" si="8">SUM(AN6,1)</f>
        <v>37</v>
      </c>
      <c r="AP6" s="233">
        <f t="shared" ref="AP6" si="9">SUM(AO6,1)</f>
        <v>38</v>
      </c>
      <c r="AQ6" s="233">
        <f t="shared" ref="AQ6" si="10">SUM(AP6,1)</f>
        <v>39</v>
      </c>
      <c r="AR6" s="233">
        <f t="shared" ref="AR6" si="11">SUM(AQ6,1)</f>
        <v>40</v>
      </c>
      <c r="AS6" s="233">
        <f t="shared" ref="AS6" si="12">SUM(AR6,1)</f>
        <v>41</v>
      </c>
      <c r="AT6" s="233">
        <f t="shared" ref="AT6" si="13">SUM(AS6,1)</f>
        <v>42</v>
      </c>
      <c r="AU6" s="233">
        <f t="shared" ref="AU6" si="14">SUM(AT6,1)</f>
        <v>43</v>
      </c>
      <c r="AV6" s="233">
        <f t="shared" ref="AV6" si="15">SUM(AU6,1)</f>
        <v>44</v>
      </c>
      <c r="AW6" s="233">
        <f t="shared" ref="AW6" si="16">SUM(AV6,1)</f>
        <v>45</v>
      </c>
      <c r="AX6" s="233">
        <f t="shared" ref="AX6" si="17">SUM(AW6,1)</f>
        <v>46</v>
      </c>
      <c r="AY6" s="233">
        <f t="shared" ref="AY6" si="18">SUM(AX6,1)</f>
        <v>47</v>
      </c>
      <c r="AZ6" s="233">
        <f t="shared" ref="AZ6" si="19">SUM(AY6,1)</f>
        <v>48</v>
      </c>
      <c r="BA6" s="233">
        <f t="shared" ref="BA6" si="20">SUM(AZ6,1)</f>
        <v>49</v>
      </c>
      <c r="BB6" s="233">
        <f t="shared" ref="BB6" si="21">SUM(BA6,1)</f>
        <v>50</v>
      </c>
      <c r="BC6" s="233">
        <f t="shared" ref="BC6" si="22">SUM(BB6,1)</f>
        <v>51</v>
      </c>
      <c r="BD6" s="233">
        <f t="shared" ref="BD6" si="23">SUM(BC6,1)</f>
        <v>52</v>
      </c>
      <c r="BE6" s="233">
        <f t="shared" ref="BE6" si="24">SUM(BD6,1)</f>
        <v>53</v>
      </c>
      <c r="BF6" s="233">
        <f t="shared" ref="BF6" si="25">SUM(BE6,1)</f>
        <v>54</v>
      </c>
      <c r="BG6" s="233">
        <f t="shared" ref="BG6" si="26">SUM(BF6,1)</f>
        <v>55</v>
      </c>
      <c r="BH6" s="233">
        <f t="shared" ref="BH6" si="27">SUM(BG6,1)</f>
        <v>56</v>
      </c>
      <c r="BI6" s="233">
        <f t="shared" ref="BI6" si="28">SUM(BH6,1)</f>
        <v>57</v>
      </c>
      <c r="BJ6" s="233">
        <f t="shared" ref="BJ6" si="29">SUM(BI6,1)</f>
        <v>58</v>
      </c>
      <c r="BK6" s="233">
        <f t="shared" ref="BK6" si="30">SUM(BJ6,1)</f>
        <v>59</v>
      </c>
      <c r="BL6" s="233">
        <f t="shared" ref="BL6" si="31">SUM(BK6,1)</f>
        <v>60</v>
      </c>
      <c r="BM6" s="233">
        <f t="shared" ref="BM6" si="32">SUM(BL6,1)</f>
        <v>61</v>
      </c>
    </row>
    <row r="7" spans="2:71" ht="15" customHeight="1">
      <c r="B7" s="527"/>
      <c r="C7" s="527"/>
      <c r="D7" s="234"/>
      <c r="E7" s="235">
        <f>'Годовая отчетность'!E7</f>
        <v>46204</v>
      </c>
      <c r="F7" s="235">
        <f>'Годовая отчетность'!F7</f>
        <v>46388</v>
      </c>
      <c r="G7" s="235">
        <f>'Годовая отчетность'!G7</f>
        <v>46753</v>
      </c>
      <c r="H7" s="235">
        <f>'Годовая отчетность'!H7</f>
        <v>47119</v>
      </c>
      <c r="I7" s="235">
        <f>'Годовая отчетность'!I7</f>
        <v>47484</v>
      </c>
      <c r="J7" s="235">
        <f>'Годовая отчетность'!J7</f>
        <v>47849</v>
      </c>
      <c r="K7" s="235">
        <f>'Годовая отчетность'!K7</f>
        <v>48214</v>
      </c>
      <c r="L7" s="235">
        <f>'Годовая отчетность'!L7</f>
        <v>48580</v>
      </c>
      <c r="M7" s="235">
        <f>'Годовая отчетность'!M7</f>
        <v>48945</v>
      </c>
      <c r="N7" s="235">
        <f>'Годовая отчетность'!N7</f>
        <v>49310</v>
      </c>
      <c r="O7" s="235">
        <f>'Годовая отчетность'!O7</f>
        <v>49675</v>
      </c>
      <c r="P7" s="235">
        <f>'Годовая отчетность'!P7</f>
        <v>50041</v>
      </c>
      <c r="Q7" s="235">
        <f>'Годовая отчетность'!Q7</f>
        <v>50406</v>
      </c>
      <c r="R7" s="235">
        <f>'Годовая отчетность'!R7</f>
        <v>50771</v>
      </c>
      <c r="S7" s="235">
        <f>'Годовая отчетность'!S7</f>
        <v>51136</v>
      </c>
      <c r="T7" s="235">
        <f>'Годовая отчетность'!T7</f>
        <v>51502</v>
      </c>
      <c r="U7" s="235">
        <f>'Годовая отчетность'!U7</f>
        <v>0</v>
      </c>
      <c r="V7" s="235">
        <f>'Годовая отчетность'!V7</f>
        <v>0</v>
      </c>
      <c r="W7" s="235">
        <f>'Годовая отчетность'!W7</f>
        <v>0</v>
      </c>
      <c r="X7" s="235">
        <f>'Годовая отчетность'!X7</f>
        <v>0</v>
      </c>
      <c r="Y7" s="235">
        <f>'Годовая отчетность'!Y7</f>
        <v>0</v>
      </c>
      <c r="Z7" s="235">
        <f>'Годовая отчетность'!Z7</f>
        <v>0</v>
      </c>
      <c r="AA7" s="235">
        <f>'Годовая отчетность'!AA7</f>
        <v>0</v>
      </c>
      <c r="AB7" s="235">
        <f>'Годовая отчетность'!AB7</f>
        <v>0</v>
      </c>
      <c r="AC7" s="235">
        <f>'Годовая отчетность'!AC7</f>
        <v>0</v>
      </c>
      <c r="AD7" s="235">
        <f>'Годовая отчетность'!AD7</f>
        <v>0</v>
      </c>
      <c r="AE7" s="235">
        <f>'Годовая отчетность'!AE7</f>
        <v>0</v>
      </c>
      <c r="AF7" s="235">
        <f>'Годовая отчетность'!AF7</f>
        <v>0</v>
      </c>
      <c r="AG7" s="235">
        <f>'Годовая отчетность'!AG7</f>
        <v>0</v>
      </c>
      <c r="AH7" s="235">
        <f>'Годовая отчетность'!AH7</f>
        <v>0</v>
      </c>
      <c r="AI7" s="235">
        <f>'Годовая отчетность'!AI7</f>
        <v>0</v>
      </c>
      <c r="AJ7" s="235">
        <f>'Годовая отчетность'!AJ7</f>
        <v>0</v>
      </c>
      <c r="AK7" s="235">
        <f>'Годовая отчетность'!AK7</f>
        <v>0</v>
      </c>
      <c r="AL7" s="235">
        <f>'Годовая отчетность'!AL7</f>
        <v>0</v>
      </c>
      <c r="AM7" s="235">
        <f>'Годовая отчетность'!AM7</f>
        <v>0</v>
      </c>
      <c r="AN7" s="235">
        <f>'Годовая отчетность'!AN7</f>
        <v>0</v>
      </c>
      <c r="AO7" s="235">
        <f>'Годовая отчетность'!AO7</f>
        <v>0</v>
      </c>
      <c r="AP7" s="235">
        <f>'Годовая отчетность'!AP7</f>
        <v>0</v>
      </c>
      <c r="AQ7" s="235">
        <f>'Годовая отчетность'!AQ7</f>
        <v>0</v>
      </c>
      <c r="AR7" s="235">
        <f>'Годовая отчетность'!AR7</f>
        <v>0</v>
      </c>
      <c r="AS7" s="235">
        <f>'Годовая отчетность'!AS7</f>
        <v>0</v>
      </c>
      <c r="AT7" s="235">
        <f>'Годовая отчетность'!AT7</f>
        <v>0</v>
      </c>
      <c r="AU7" s="235">
        <f>'Годовая отчетность'!AU7</f>
        <v>0</v>
      </c>
      <c r="AV7" s="235">
        <f>'Годовая отчетность'!AV7</f>
        <v>0</v>
      </c>
      <c r="AW7" s="235">
        <f>'Годовая отчетность'!AW7</f>
        <v>0</v>
      </c>
      <c r="AX7" s="235">
        <f>'Годовая отчетность'!AX7</f>
        <v>0</v>
      </c>
      <c r="AY7" s="235">
        <f>'Годовая отчетность'!AY7</f>
        <v>0</v>
      </c>
      <c r="AZ7" s="235">
        <f>'Годовая отчетность'!AZ7</f>
        <v>0</v>
      </c>
      <c r="BA7" s="235">
        <f>'Годовая отчетность'!BA7</f>
        <v>0</v>
      </c>
      <c r="BB7" s="235">
        <f>'Годовая отчетность'!BB7</f>
        <v>0</v>
      </c>
      <c r="BC7" s="235">
        <f>'Годовая отчетность'!BC7</f>
        <v>0</v>
      </c>
      <c r="BD7" s="235">
        <f>'Годовая отчетность'!BD7</f>
        <v>0</v>
      </c>
      <c r="BE7" s="235">
        <f>'Годовая отчетность'!BE7</f>
        <v>0</v>
      </c>
      <c r="BF7" s="235">
        <f>'Годовая отчетность'!BF7</f>
        <v>0</v>
      </c>
      <c r="BG7" s="235">
        <f>'Годовая отчетность'!BG7</f>
        <v>0</v>
      </c>
      <c r="BH7" s="235">
        <f>'Годовая отчетность'!BH7</f>
        <v>0</v>
      </c>
      <c r="BI7" s="235">
        <f>'Годовая отчетность'!BI7</f>
        <v>0</v>
      </c>
      <c r="BJ7" s="235">
        <f>'Годовая отчетность'!BJ7</f>
        <v>0</v>
      </c>
      <c r="BK7" s="235">
        <f>'Годовая отчетность'!BK7</f>
        <v>0</v>
      </c>
      <c r="BL7" s="235">
        <f>'Годовая отчетность'!BL7</f>
        <v>0</v>
      </c>
      <c r="BM7" s="235">
        <f>'Годовая отчетность'!BM7</f>
        <v>0</v>
      </c>
    </row>
    <row r="8" spans="2:71" ht="15" customHeight="1">
      <c r="B8" s="528"/>
      <c r="C8" s="528"/>
      <c r="D8" s="300">
        <f>E7-1</f>
        <v>46203</v>
      </c>
      <c r="E8" s="235">
        <f>'Годовая отчетность'!E8</f>
        <v>46387</v>
      </c>
      <c r="F8" s="235">
        <f>'Годовая отчетность'!F8</f>
        <v>46752</v>
      </c>
      <c r="G8" s="235">
        <f>'Годовая отчетность'!G8</f>
        <v>47118</v>
      </c>
      <c r="H8" s="235">
        <f>'Годовая отчетность'!H8</f>
        <v>47483</v>
      </c>
      <c r="I8" s="235">
        <f>'Годовая отчетность'!I8</f>
        <v>47848</v>
      </c>
      <c r="J8" s="235">
        <f>'Годовая отчетность'!J8</f>
        <v>48213</v>
      </c>
      <c r="K8" s="235">
        <f>'Годовая отчетность'!K8</f>
        <v>48579</v>
      </c>
      <c r="L8" s="235">
        <f>'Годовая отчетность'!L8</f>
        <v>48944</v>
      </c>
      <c r="M8" s="235">
        <f>'Годовая отчетность'!M8</f>
        <v>49309</v>
      </c>
      <c r="N8" s="235">
        <f>'Годовая отчетность'!N8</f>
        <v>49674</v>
      </c>
      <c r="O8" s="235">
        <f>'Годовая отчетность'!O8</f>
        <v>50040</v>
      </c>
      <c r="P8" s="235">
        <f>'Годовая отчетность'!P8</f>
        <v>50405</v>
      </c>
      <c r="Q8" s="235">
        <f>'Годовая отчетность'!Q8</f>
        <v>50770</v>
      </c>
      <c r="R8" s="235">
        <f>'Годовая отчетность'!R8</f>
        <v>51135</v>
      </c>
      <c r="S8" s="235">
        <f>'Годовая отчетность'!S8</f>
        <v>51501</v>
      </c>
      <c r="T8" s="235">
        <f>'Годовая отчетность'!T8</f>
        <v>51866</v>
      </c>
      <c r="U8" s="235">
        <f>'Годовая отчетность'!U8</f>
        <v>0</v>
      </c>
      <c r="V8" s="235">
        <f>'Годовая отчетность'!V8</f>
        <v>0</v>
      </c>
      <c r="W8" s="235">
        <f>'Годовая отчетность'!W8</f>
        <v>0</v>
      </c>
      <c r="X8" s="235">
        <f>'Годовая отчетность'!X8</f>
        <v>0</v>
      </c>
      <c r="Y8" s="235">
        <f>'Годовая отчетность'!Y8</f>
        <v>0</v>
      </c>
      <c r="Z8" s="235">
        <f>'Годовая отчетность'!Z8</f>
        <v>0</v>
      </c>
      <c r="AA8" s="235">
        <f>'Годовая отчетность'!AA8</f>
        <v>0</v>
      </c>
      <c r="AB8" s="235">
        <f>'Годовая отчетность'!AB8</f>
        <v>0</v>
      </c>
      <c r="AC8" s="235">
        <f>'Годовая отчетность'!AC8</f>
        <v>0</v>
      </c>
      <c r="AD8" s="235">
        <f>'Годовая отчетность'!AD8</f>
        <v>0</v>
      </c>
      <c r="AE8" s="235">
        <f>'Годовая отчетность'!AE8</f>
        <v>0</v>
      </c>
      <c r="AF8" s="235">
        <f>'Годовая отчетность'!AF8</f>
        <v>0</v>
      </c>
      <c r="AG8" s="235">
        <f>'Годовая отчетность'!AG8</f>
        <v>0</v>
      </c>
      <c r="AH8" s="235">
        <f>'Годовая отчетность'!AH8</f>
        <v>0</v>
      </c>
      <c r="AI8" s="235">
        <f>'Годовая отчетность'!AI8</f>
        <v>0</v>
      </c>
      <c r="AJ8" s="235">
        <f>'Годовая отчетность'!AJ8</f>
        <v>0</v>
      </c>
      <c r="AK8" s="235">
        <f>'Годовая отчетность'!AK8</f>
        <v>0</v>
      </c>
      <c r="AL8" s="235">
        <f>'Годовая отчетность'!AL8</f>
        <v>0</v>
      </c>
      <c r="AM8" s="235">
        <f>'Годовая отчетность'!AM8</f>
        <v>0</v>
      </c>
      <c r="AN8" s="235">
        <f>'Годовая отчетность'!AN8</f>
        <v>0</v>
      </c>
      <c r="AO8" s="235">
        <f>'Годовая отчетность'!AO8</f>
        <v>0</v>
      </c>
      <c r="AP8" s="235">
        <f>'Годовая отчетность'!AP8</f>
        <v>0</v>
      </c>
      <c r="AQ8" s="235">
        <f>'Годовая отчетность'!AQ8</f>
        <v>0</v>
      </c>
      <c r="AR8" s="235">
        <f>'Годовая отчетность'!AR8</f>
        <v>0</v>
      </c>
      <c r="AS8" s="235">
        <f>'Годовая отчетность'!AS8</f>
        <v>0</v>
      </c>
      <c r="AT8" s="235">
        <f>'Годовая отчетность'!AT8</f>
        <v>0</v>
      </c>
      <c r="AU8" s="235">
        <f>'Годовая отчетность'!AU8</f>
        <v>0</v>
      </c>
      <c r="AV8" s="235">
        <f>'Годовая отчетность'!AV8</f>
        <v>0</v>
      </c>
      <c r="AW8" s="235">
        <f>'Годовая отчетность'!AW8</f>
        <v>0</v>
      </c>
      <c r="AX8" s="235">
        <f>'Годовая отчетность'!AX8</f>
        <v>0</v>
      </c>
      <c r="AY8" s="235">
        <f>'Годовая отчетность'!AY8</f>
        <v>0</v>
      </c>
      <c r="AZ8" s="235">
        <f>'Годовая отчетность'!AZ8</f>
        <v>0</v>
      </c>
      <c r="BA8" s="235">
        <f>'Годовая отчетность'!BA8</f>
        <v>0</v>
      </c>
      <c r="BB8" s="235">
        <f>'Годовая отчетность'!BB8</f>
        <v>0</v>
      </c>
      <c r="BC8" s="235">
        <f>'Годовая отчетность'!BC8</f>
        <v>0</v>
      </c>
      <c r="BD8" s="235">
        <f>'Годовая отчетность'!BD8</f>
        <v>0</v>
      </c>
      <c r="BE8" s="235">
        <f>'Годовая отчетность'!BE8</f>
        <v>0</v>
      </c>
      <c r="BF8" s="235">
        <f>'Годовая отчетность'!BF8</f>
        <v>0</v>
      </c>
      <c r="BG8" s="235">
        <f>'Годовая отчетность'!BG8</f>
        <v>0</v>
      </c>
      <c r="BH8" s="235">
        <f>'Годовая отчетность'!BH8</f>
        <v>0</v>
      </c>
      <c r="BI8" s="235">
        <f>'Годовая отчетность'!BI8</f>
        <v>0</v>
      </c>
      <c r="BJ8" s="235">
        <f>'Годовая отчетность'!BJ8</f>
        <v>0</v>
      </c>
      <c r="BK8" s="235">
        <f>'Годовая отчетность'!BK8</f>
        <v>0</v>
      </c>
      <c r="BL8" s="235">
        <f>'Годовая отчетность'!BL8</f>
        <v>0</v>
      </c>
      <c r="BM8" s="235">
        <f>'Годовая отчетность'!BM8</f>
        <v>0</v>
      </c>
    </row>
    <row r="9" spans="2:71" ht="15" customHeight="1">
      <c r="B9" s="88"/>
      <c r="C9" s="88"/>
      <c r="D9" s="88"/>
      <c r="E9" s="88"/>
      <c r="F9" s="88"/>
      <c r="G9" s="88"/>
      <c r="H9" s="88"/>
      <c r="I9" s="88"/>
      <c r="J9" s="88"/>
      <c r="K9" s="88"/>
      <c r="L9" s="88"/>
      <c r="M9" s="88"/>
      <c r="N9" s="88"/>
      <c r="O9" s="88"/>
      <c r="P9" s="88"/>
      <c r="Q9" s="88"/>
      <c r="R9" s="88"/>
      <c r="S9" s="88"/>
      <c r="T9" s="88"/>
      <c r="U9" s="88"/>
      <c r="V9" s="88"/>
      <c r="W9" s="88"/>
      <c r="X9" s="88"/>
      <c r="Y9" s="88"/>
      <c r="Z9" s="88"/>
      <c r="AA9" s="88"/>
      <c r="AB9" s="88"/>
      <c r="AC9" s="88"/>
      <c r="AD9" s="88"/>
      <c r="AE9" s="88"/>
      <c r="AF9" s="88"/>
      <c r="AG9" s="88"/>
      <c r="AH9" s="88"/>
      <c r="AI9" s="88"/>
      <c r="AJ9" s="88"/>
      <c r="AK9" s="88"/>
      <c r="AL9" s="88"/>
      <c r="AM9" s="88"/>
      <c r="AN9" s="88"/>
      <c r="AO9" s="88"/>
      <c r="AP9" s="88"/>
      <c r="AQ9" s="88"/>
      <c r="AR9" s="88"/>
      <c r="AS9" s="88"/>
      <c r="AT9" s="88"/>
      <c r="AU9" s="88"/>
      <c r="AV9" s="88"/>
      <c r="AW9" s="88"/>
      <c r="AX9" s="88"/>
      <c r="AY9" s="88"/>
      <c r="AZ9" s="88"/>
      <c r="BA9" s="88"/>
      <c r="BB9" s="88"/>
      <c r="BC9" s="88"/>
      <c r="BD9" s="88"/>
      <c r="BE9" s="88"/>
      <c r="BF9" s="88"/>
      <c r="BG9" s="88"/>
      <c r="BH9" s="88"/>
      <c r="BI9" s="88"/>
      <c r="BJ9" s="88"/>
      <c r="BK9" s="88"/>
      <c r="BL9" s="88"/>
      <c r="BM9" s="88"/>
    </row>
    <row r="10" spans="2:71" ht="15" customHeight="1">
      <c r="B10" s="112" t="s">
        <v>246</v>
      </c>
      <c r="C10" s="113"/>
      <c r="D10" s="114"/>
      <c r="E10" s="115">
        <f>YEAR(E8)</f>
        <v>2026</v>
      </c>
      <c r="F10" s="115">
        <f t="shared" ref="F10:AG10" si="33">YEAR(F8)</f>
        <v>2027</v>
      </c>
      <c r="G10" s="115">
        <f t="shared" si="33"/>
        <v>2028</v>
      </c>
      <c r="H10" s="115">
        <f t="shared" si="33"/>
        <v>2029</v>
      </c>
      <c r="I10" s="115">
        <f t="shared" si="33"/>
        <v>2030</v>
      </c>
      <c r="J10" s="115">
        <f t="shared" si="33"/>
        <v>2031</v>
      </c>
      <c r="K10" s="115">
        <f t="shared" si="33"/>
        <v>2032</v>
      </c>
      <c r="L10" s="115">
        <f t="shared" si="33"/>
        <v>2033</v>
      </c>
      <c r="M10" s="115">
        <f t="shared" si="33"/>
        <v>2034</v>
      </c>
      <c r="N10" s="115">
        <f t="shared" si="33"/>
        <v>2035</v>
      </c>
      <c r="O10" s="115">
        <f t="shared" si="33"/>
        <v>2036</v>
      </c>
      <c r="P10" s="115">
        <f t="shared" si="33"/>
        <v>2037</v>
      </c>
      <c r="Q10" s="115">
        <f t="shared" si="33"/>
        <v>2038</v>
      </c>
      <c r="R10" s="115">
        <f t="shared" si="33"/>
        <v>2039</v>
      </c>
      <c r="S10" s="115">
        <f t="shared" si="33"/>
        <v>2040</v>
      </c>
      <c r="T10" s="115">
        <f t="shared" si="33"/>
        <v>2041</v>
      </c>
      <c r="U10" s="115">
        <f t="shared" si="33"/>
        <v>1900</v>
      </c>
      <c r="V10" s="115">
        <f t="shared" si="33"/>
        <v>1900</v>
      </c>
      <c r="W10" s="115">
        <f t="shared" si="33"/>
        <v>1900</v>
      </c>
      <c r="X10" s="115">
        <f t="shared" si="33"/>
        <v>1900</v>
      </c>
      <c r="Y10" s="115">
        <f t="shared" si="33"/>
        <v>1900</v>
      </c>
      <c r="Z10" s="115">
        <f t="shared" si="33"/>
        <v>1900</v>
      </c>
      <c r="AA10" s="115">
        <f t="shared" si="33"/>
        <v>1900</v>
      </c>
      <c r="AB10" s="115">
        <f t="shared" si="33"/>
        <v>1900</v>
      </c>
      <c r="AC10" s="115">
        <f t="shared" si="33"/>
        <v>1900</v>
      </c>
      <c r="AD10" s="115">
        <f t="shared" si="33"/>
        <v>1900</v>
      </c>
      <c r="AE10" s="115">
        <f t="shared" si="33"/>
        <v>1900</v>
      </c>
      <c r="AF10" s="115">
        <f t="shared" si="33"/>
        <v>1900</v>
      </c>
      <c r="AG10" s="115">
        <f t="shared" si="33"/>
        <v>1900</v>
      </c>
      <c r="AH10" s="115">
        <f t="shared" ref="AH10:BM10" si="34">YEAR(AH8)</f>
        <v>1900</v>
      </c>
      <c r="AI10" s="115">
        <f t="shared" si="34"/>
        <v>1900</v>
      </c>
      <c r="AJ10" s="115">
        <f t="shared" si="34"/>
        <v>1900</v>
      </c>
      <c r="AK10" s="115">
        <f t="shared" si="34"/>
        <v>1900</v>
      </c>
      <c r="AL10" s="115">
        <f t="shared" si="34"/>
        <v>1900</v>
      </c>
      <c r="AM10" s="115">
        <f t="shared" si="34"/>
        <v>1900</v>
      </c>
      <c r="AN10" s="115">
        <f t="shared" si="34"/>
        <v>1900</v>
      </c>
      <c r="AO10" s="115">
        <f t="shared" si="34"/>
        <v>1900</v>
      </c>
      <c r="AP10" s="115">
        <f t="shared" si="34"/>
        <v>1900</v>
      </c>
      <c r="AQ10" s="115">
        <f t="shared" si="34"/>
        <v>1900</v>
      </c>
      <c r="AR10" s="115">
        <f t="shared" si="34"/>
        <v>1900</v>
      </c>
      <c r="AS10" s="115">
        <f t="shared" si="34"/>
        <v>1900</v>
      </c>
      <c r="AT10" s="115">
        <f t="shared" si="34"/>
        <v>1900</v>
      </c>
      <c r="AU10" s="115">
        <f t="shared" si="34"/>
        <v>1900</v>
      </c>
      <c r="AV10" s="115">
        <f t="shared" si="34"/>
        <v>1900</v>
      </c>
      <c r="AW10" s="115">
        <f t="shared" si="34"/>
        <v>1900</v>
      </c>
      <c r="AX10" s="115">
        <f t="shared" si="34"/>
        <v>1900</v>
      </c>
      <c r="AY10" s="115">
        <f t="shared" si="34"/>
        <v>1900</v>
      </c>
      <c r="AZ10" s="115">
        <f t="shared" si="34"/>
        <v>1900</v>
      </c>
      <c r="BA10" s="115">
        <f t="shared" si="34"/>
        <v>1900</v>
      </c>
      <c r="BB10" s="115">
        <f t="shared" si="34"/>
        <v>1900</v>
      </c>
      <c r="BC10" s="115">
        <f t="shared" si="34"/>
        <v>1900</v>
      </c>
      <c r="BD10" s="115">
        <f t="shared" si="34"/>
        <v>1900</v>
      </c>
      <c r="BE10" s="115">
        <f t="shared" si="34"/>
        <v>1900</v>
      </c>
      <c r="BF10" s="115">
        <f t="shared" si="34"/>
        <v>1900</v>
      </c>
      <c r="BG10" s="115">
        <f t="shared" si="34"/>
        <v>1900</v>
      </c>
      <c r="BH10" s="115">
        <f t="shared" si="34"/>
        <v>1900</v>
      </c>
      <c r="BI10" s="115">
        <f t="shared" si="34"/>
        <v>1900</v>
      </c>
      <c r="BJ10" s="115">
        <f t="shared" si="34"/>
        <v>1900</v>
      </c>
      <c r="BK10" s="115">
        <f t="shared" si="34"/>
        <v>1900</v>
      </c>
      <c r="BL10" s="115">
        <f t="shared" si="34"/>
        <v>1900</v>
      </c>
      <c r="BM10" s="115">
        <f t="shared" si="34"/>
        <v>1900</v>
      </c>
    </row>
    <row r="11" spans="2:71" ht="15" customHeight="1">
      <c r="B11" s="112" t="str">
        <f>"Период займа "&amp;IF(ISNUMBER(SEARCH("РФРП",Программа)),"ФРП и РФРП","ФРП")</f>
        <v>Период займа ФРП</v>
      </c>
      <c r="C11" s="113"/>
      <c r="D11" s="114"/>
      <c r="E11" s="115">
        <f>IF(AND(E7&gt;=Предпосылки!$C$13,E8&lt;=Предпосылки!$C$15),1,0)</f>
        <v>1</v>
      </c>
      <c r="F11" s="115">
        <f>IF(AND(F7&gt;=Предпосылки!$C$13,F8&lt;=Предпосылки!$C$15),1,0)</f>
        <v>1</v>
      </c>
      <c r="G11" s="115">
        <f>IF(AND(G7&gt;=Предпосылки!$C$13,G8&lt;=Предпосылки!$C$15),1,0)</f>
        <v>1</v>
      </c>
      <c r="H11" s="115">
        <f>IF(AND(H7&gt;=Предпосылки!$C$13,H8&lt;=Предпосылки!$C$15),1,0)</f>
        <v>1</v>
      </c>
      <c r="I11" s="115">
        <f>IF(AND(I7&gt;=Предпосылки!$C$13,I8&lt;=Предпосылки!$C$15),1,0)</f>
        <v>1</v>
      </c>
      <c r="J11" s="115">
        <f>IF(AND(J7&gt;=Предпосылки!$C$13,J8&lt;=Предпосылки!$C$15),1,0)</f>
        <v>0</v>
      </c>
      <c r="K11" s="115">
        <f>IF(AND(K7&gt;=Предпосылки!$C$13,K8&lt;=Предпосылки!$C$15),1,0)</f>
        <v>0</v>
      </c>
      <c r="L11" s="115">
        <f>IF(AND(L7&gt;=Предпосылки!$C$13,L8&lt;=Предпосылки!$C$15),1,0)</f>
        <v>0</v>
      </c>
      <c r="M11" s="115">
        <f>IF(AND(M7&gt;=Предпосылки!$C$13,M8&lt;=Предпосылки!$C$15),1,0)</f>
        <v>0</v>
      </c>
      <c r="N11" s="115">
        <f>IF(AND(N7&gt;=Предпосылки!$C$13,N8&lt;=Предпосылки!$C$15),1,0)</f>
        <v>0</v>
      </c>
      <c r="O11" s="115">
        <f>IF(AND(O7&gt;=Предпосылки!$C$13,O8&lt;=Предпосылки!$C$15),1,0)</f>
        <v>0</v>
      </c>
      <c r="P11" s="115">
        <f>IF(AND(P7&gt;=Предпосылки!$C$13,P8&lt;=Предпосылки!$C$15),1,0)</f>
        <v>0</v>
      </c>
      <c r="Q11" s="115">
        <f>IF(AND(Q7&gt;=Предпосылки!$C$13,Q8&lt;=Предпосылки!$C$15),1,0)</f>
        <v>0</v>
      </c>
      <c r="R11" s="115">
        <f>IF(AND(R7&gt;=Предпосылки!$C$13,R8&lt;=Предпосылки!$C$15),1,0)</f>
        <v>0</v>
      </c>
      <c r="S11" s="115">
        <f>IF(AND(S7&gt;=Предпосылки!$C$13,S8&lt;=Предпосылки!$C$15),1,0)</f>
        <v>0</v>
      </c>
      <c r="T11" s="115">
        <f>IF(AND(T7&gt;=Предпосылки!$C$13,T8&lt;=Предпосылки!$C$15),1,0)</f>
        <v>0</v>
      </c>
      <c r="U11" s="115">
        <f>IF(AND(U7&gt;=Предпосылки!$C$13,U8&lt;=Предпосылки!$C$15),1,0)</f>
        <v>0</v>
      </c>
      <c r="V11" s="115">
        <f>IF(AND(V7&gt;=Предпосылки!$C$13,V8&lt;=Предпосылки!$C$15),1,0)</f>
        <v>0</v>
      </c>
      <c r="W11" s="115">
        <f>IF(AND(W7&gt;=Предпосылки!$C$13,W8&lt;=Предпосылки!$C$15),1,0)</f>
        <v>0</v>
      </c>
      <c r="X11" s="115">
        <f>IF(AND(X7&gt;=Предпосылки!$C$13,X8&lt;=Предпосылки!$C$15),1,0)</f>
        <v>0</v>
      </c>
      <c r="Y11" s="115">
        <f>IF(AND(Y7&gt;=Предпосылки!$C$13,Y8&lt;=Предпосылки!$C$15),1,0)</f>
        <v>0</v>
      </c>
      <c r="Z11" s="115">
        <f>IF(AND(Z7&gt;=Предпосылки!$C$13,Z8&lt;=Предпосылки!$C$15),1,0)</f>
        <v>0</v>
      </c>
      <c r="AA11" s="115">
        <f>IF(AND(AA7&gt;=Предпосылки!$C$13,AA8&lt;=Предпосылки!$C$15),1,0)</f>
        <v>0</v>
      </c>
      <c r="AB11" s="115">
        <f>IF(AND(AB7&gt;=Предпосылки!$C$13,AB8&lt;=Предпосылки!$C$15),1,0)</f>
        <v>0</v>
      </c>
      <c r="AC11" s="115">
        <f>IF(AND(AC7&gt;=Предпосылки!$C$13,AC8&lt;=Предпосылки!$C$15),1,0)</f>
        <v>0</v>
      </c>
      <c r="AD11" s="115">
        <f>IF(AND(AD7&gt;=Предпосылки!$C$13,AD8&lt;=Предпосылки!$C$15),1,0)</f>
        <v>0</v>
      </c>
      <c r="AE11" s="115">
        <f>IF(AND(AE7&gt;=Предпосылки!$C$13,AE8&lt;=Предпосылки!$C$15),1,0)</f>
        <v>0</v>
      </c>
      <c r="AF11" s="115">
        <f>IF(AND(AF7&gt;=Предпосылки!$C$13,AF8&lt;=Предпосылки!$C$15),1,0)</f>
        <v>0</v>
      </c>
      <c r="AG11" s="115">
        <f>IF(AND(AG7&gt;=Предпосылки!$C$13,AG8&lt;=Предпосылки!$C$15),1,0)</f>
        <v>0</v>
      </c>
      <c r="AH11" s="115">
        <f>IF(AND(AH7&gt;=Предпосылки!$C$13,AH8&lt;=Предпосылки!$C$15),1,0)</f>
        <v>0</v>
      </c>
      <c r="AI11" s="115">
        <f>IF(AND(AI7&gt;=Предпосылки!$C$13,AI8&lt;=Предпосылки!$C$15),1,0)</f>
        <v>0</v>
      </c>
      <c r="AJ11" s="115">
        <f>IF(AND(AJ7&gt;=Предпосылки!$C$13,AJ8&lt;=Предпосылки!$C$15),1,0)</f>
        <v>0</v>
      </c>
      <c r="AK11" s="115">
        <f>IF(AND(AK7&gt;=Предпосылки!$C$13,AK8&lt;=Предпосылки!$C$15),1,0)</f>
        <v>0</v>
      </c>
      <c r="AL11" s="115">
        <f>IF(AND(AL7&gt;=Предпосылки!$C$13,AL8&lt;=Предпосылки!$C$15),1,0)</f>
        <v>0</v>
      </c>
      <c r="AM11" s="115">
        <f>IF(AND(AM7&gt;=Предпосылки!$C$13,AM8&lt;=Предпосылки!$C$15),1,0)</f>
        <v>0</v>
      </c>
      <c r="AN11" s="115">
        <f>IF(AND(AN7&gt;=Предпосылки!$C$13,AN8&lt;=Предпосылки!$C$15),1,0)</f>
        <v>0</v>
      </c>
      <c r="AO11" s="115">
        <f>IF(AND(AO7&gt;=Предпосылки!$C$13,AO8&lt;=Предпосылки!$C$15),1,0)</f>
        <v>0</v>
      </c>
      <c r="AP11" s="115">
        <f>IF(AND(AP7&gt;=Предпосылки!$C$13,AP8&lt;=Предпосылки!$C$15),1,0)</f>
        <v>0</v>
      </c>
      <c r="AQ11" s="115">
        <f>IF(AND(AQ7&gt;=Предпосылки!$C$13,AQ8&lt;=Предпосылки!$C$15),1,0)</f>
        <v>0</v>
      </c>
      <c r="AR11" s="115">
        <f>IF(AND(AR7&gt;=Предпосылки!$C$13,AR8&lt;=Предпосылки!$C$15),1,0)</f>
        <v>0</v>
      </c>
      <c r="AS11" s="115">
        <f>IF(AND(AS7&gt;=Предпосылки!$C$13,AS8&lt;=Предпосылки!$C$15),1,0)</f>
        <v>0</v>
      </c>
      <c r="AT11" s="115">
        <f>IF(AND(AT7&gt;=Предпосылки!$C$13,AT8&lt;=Предпосылки!$C$15),1,0)</f>
        <v>0</v>
      </c>
      <c r="AU11" s="115">
        <f>IF(AND(AU7&gt;=Предпосылки!$C$13,AU8&lt;=Предпосылки!$C$15),1,0)</f>
        <v>0</v>
      </c>
      <c r="AV11" s="115">
        <f>IF(AND(AV7&gt;=Предпосылки!$C$13,AV8&lt;=Предпосылки!$C$15),1,0)</f>
        <v>0</v>
      </c>
      <c r="AW11" s="115">
        <f>IF(AND(AW7&gt;=Предпосылки!$C$13,AW8&lt;=Предпосылки!$C$15),1,0)</f>
        <v>0</v>
      </c>
      <c r="AX11" s="115">
        <f>IF(AND(AX7&gt;=Предпосылки!$C$13,AX8&lt;=Предпосылки!$C$15),1,0)</f>
        <v>0</v>
      </c>
      <c r="AY11" s="115">
        <f>IF(AND(AY7&gt;=Предпосылки!$C$13,AY8&lt;=Предпосылки!$C$15),1,0)</f>
        <v>0</v>
      </c>
      <c r="AZ11" s="115">
        <f>IF(AND(AZ7&gt;=Предпосылки!$C$13,AZ8&lt;=Предпосылки!$C$15),1,0)</f>
        <v>0</v>
      </c>
      <c r="BA11" s="115">
        <f>IF(AND(BA7&gt;=Предпосылки!$C$13,BA8&lt;=Предпосылки!$C$15),1,0)</f>
        <v>0</v>
      </c>
      <c r="BB11" s="115">
        <f>IF(AND(BB7&gt;=Предпосылки!$C$13,BB8&lt;=Предпосылки!$C$15),1,0)</f>
        <v>0</v>
      </c>
      <c r="BC11" s="115">
        <f>IF(AND(BC7&gt;=Предпосылки!$C$13,BC8&lt;=Предпосылки!$C$15),1,0)</f>
        <v>0</v>
      </c>
      <c r="BD11" s="115">
        <f>IF(AND(BD7&gt;=Предпосылки!$C$13,BD8&lt;=Предпосылки!$C$15),1,0)</f>
        <v>0</v>
      </c>
      <c r="BE11" s="115">
        <f>IF(AND(BE7&gt;=Предпосылки!$C$13,BE8&lt;=Предпосылки!$C$15),1,0)</f>
        <v>0</v>
      </c>
      <c r="BF11" s="115">
        <f>IF(AND(BF7&gt;=Предпосылки!$C$13,BF8&lt;=Предпосылки!$C$15),1,0)</f>
        <v>0</v>
      </c>
      <c r="BG11" s="115">
        <f>IF(AND(BG7&gt;=Предпосылки!$C$13,BG8&lt;=Предпосылки!$C$15),1,0)</f>
        <v>0</v>
      </c>
      <c r="BH11" s="115">
        <f>IF(AND(BH7&gt;=Предпосылки!$C$13,BH8&lt;=Предпосылки!$C$15),1,0)</f>
        <v>0</v>
      </c>
      <c r="BI11" s="115">
        <f>IF(AND(BI7&gt;=Предпосылки!$C$13,BI8&lt;=Предпосылки!$C$15),1,0)</f>
        <v>0</v>
      </c>
      <c r="BJ11" s="115">
        <f>IF(AND(BJ7&gt;=Предпосылки!$C$13,BJ8&lt;=Предпосылки!$C$15),1,0)</f>
        <v>0</v>
      </c>
      <c r="BK11" s="115">
        <f>IF(AND(BK7&gt;=Предпосылки!$C$13,BK8&lt;=Предпосылки!$C$15),1,0)</f>
        <v>0</v>
      </c>
      <c r="BL11" s="115">
        <f>IF(AND(BL7&gt;=Предпосылки!$C$13,BL8&lt;=Предпосылки!$C$15),1,0)</f>
        <v>0</v>
      </c>
      <c r="BM11" s="115">
        <f>IF(AND(BM7&gt;=Предпосылки!$C$13,BM8&lt;=Предпосылки!$C$15),1,0)</f>
        <v>0</v>
      </c>
    </row>
    <row r="12" spans="2:71" ht="15" customHeight="1">
      <c r="B12" s="37"/>
      <c r="C12" s="37"/>
      <c r="D12" s="37"/>
      <c r="E12" s="37"/>
      <c r="F12" s="37"/>
      <c r="G12" s="37"/>
      <c r="H12" s="37"/>
      <c r="I12" s="37"/>
      <c r="J12" s="37"/>
      <c r="K12" s="37"/>
      <c r="L12" s="37"/>
      <c r="M12" s="37"/>
      <c r="N12" s="37"/>
      <c r="O12" s="37"/>
      <c r="P12" s="37"/>
      <c r="Q12" s="37"/>
      <c r="R12" s="37"/>
      <c r="S12" s="37"/>
      <c r="T12" s="37"/>
      <c r="U12" s="37"/>
      <c r="V12" s="37"/>
      <c r="W12" s="37"/>
      <c r="X12" s="37"/>
      <c r="Y12" s="37"/>
      <c r="Z12" s="37"/>
      <c r="AA12" s="37"/>
      <c r="AB12" s="37"/>
      <c r="AC12" s="37"/>
      <c r="AD12" s="37"/>
      <c r="AE12" s="37"/>
      <c r="AF12" s="37"/>
      <c r="AG12" s="37"/>
      <c r="AH12" s="37"/>
      <c r="AI12" s="37"/>
      <c r="AJ12" s="37"/>
      <c r="AK12" s="37"/>
      <c r="AL12" s="37"/>
      <c r="AM12" s="37"/>
      <c r="AN12" s="37"/>
      <c r="AO12" s="37"/>
      <c r="AP12" s="37"/>
      <c r="AQ12" s="37"/>
      <c r="AR12" s="37"/>
      <c r="AS12" s="37"/>
      <c r="AT12" s="37"/>
      <c r="AU12" s="37"/>
      <c r="AV12" s="37"/>
      <c r="AW12" s="37"/>
      <c r="AX12" s="37"/>
      <c r="AY12" s="37"/>
      <c r="AZ12" s="37"/>
      <c r="BA12" s="37"/>
      <c r="BB12" s="37"/>
      <c r="BC12" s="37"/>
      <c r="BD12" s="37"/>
      <c r="BE12" s="37"/>
      <c r="BF12" s="37"/>
      <c r="BG12" s="37"/>
      <c r="BH12" s="37"/>
      <c r="BI12" s="37"/>
      <c r="BJ12" s="37"/>
      <c r="BK12" s="37"/>
      <c r="BL12" s="37"/>
      <c r="BM12" s="37"/>
    </row>
    <row r="13" spans="2:71" ht="21">
      <c r="B13" s="40" t="s">
        <v>559</v>
      </c>
      <c r="C13" s="37"/>
      <c r="D13" s="40"/>
      <c r="E13" s="41"/>
      <c r="F13" s="41"/>
      <c r="G13" s="41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41"/>
      <c r="AV13" s="41"/>
      <c r="AW13" s="41"/>
      <c r="AX13" s="41"/>
      <c r="AY13" s="41"/>
      <c r="AZ13" s="41"/>
      <c r="BA13" s="41"/>
      <c r="BB13" s="41"/>
      <c r="BC13" s="41"/>
      <c r="BD13" s="41"/>
      <c r="BE13" s="41"/>
      <c r="BF13" s="41"/>
      <c r="BG13" s="41"/>
      <c r="BH13" s="41"/>
      <c r="BI13" s="41"/>
      <c r="BJ13" s="41"/>
      <c r="BK13" s="41"/>
      <c r="BL13" s="41"/>
      <c r="BM13" s="41"/>
      <c r="BN13" s="5"/>
      <c r="BO13" s="5"/>
      <c r="BP13" s="5"/>
      <c r="BQ13" s="5"/>
      <c r="BR13" s="5"/>
      <c r="BS13" s="5"/>
    </row>
    <row r="14" spans="2:71" ht="15" customHeight="1">
      <c r="B14" s="112" t="s">
        <v>26</v>
      </c>
      <c r="C14" s="113" t="str">
        <f>Единица_измерения</f>
        <v>тыс. руб.</v>
      </c>
      <c r="D14" s="114"/>
      <c r="E14" s="114">
        <f>SUMIF('Квартальная отчетность'!$E$10:$BM$10,YEAR(E$8),Финансирование!$E$62:$BM$62)</f>
        <v>0</v>
      </c>
      <c r="F14" s="114">
        <f>SUMIF('Квартальная отчетность'!$E$10:$BM$10,YEAR(F$8),Финансирование!$E$62:$BM$62)</f>
        <v>0</v>
      </c>
      <c r="G14" s="114">
        <f>SUMIF('Квартальная отчетность'!$E$10:$BM$10,YEAR(G$8),Финансирование!$E$62:$BM$62)</f>
        <v>0</v>
      </c>
      <c r="H14" s="114">
        <f>SUMIF('Квартальная отчетность'!$E$10:$BM$10,YEAR(H$8),Финансирование!$E$62:$BM$62)</f>
        <v>0</v>
      </c>
      <c r="I14" s="114">
        <f>SUMIF('Квартальная отчетность'!$E$10:$BM$10,YEAR(I$8),Финансирование!$E$62:$BM$62)</f>
        <v>0</v>
      </c>
      <c r="J14" s="114">
        <f>SUMIF('Квартальная отчетность'!$E$10:$BM$10,YEAR(J$8),Финансирование!$E$62:$BM$62)</f>
        <v>0</v>
      </c>
      <c r="K14" s="114">
        <f>SUMIF('Квартальная отчетность'!$E$10:$BM$10,YEAR(K$8),Финансирование!$E$62:$BM$62)</f>
        <v>0</v>
      </c>
      <c r="L14" s="114">
        <f>SUMIF('Квартальная отчетность'!$E$10:$BM$10,YEAR(L$8),Финансирование!$E$62:$BM$62)</f>
        <v>0</v>
      </c>
      <c r="M14" s="114">
        <f>SUMIF('Квартальная отчетность'!$E$10:$BM$10,YEAR(M$8),Финансирование!$E$62:$BM$62)</f>
        <v>0</v>
      </c>
      <c r="N14" s="114">
        <f>SUMIF('Квартальная отчетность'!$E$10:$BM$10,YEAR(N$8),Финансирование!$E$62:$BM$62)</f>
        <v>0</v>
      </c>
      <c r="O14" s="114">
        <f>SUMIF('Квартальная отчетность'!$E$10:$BM$10,YEAR(O$8),Финансирование!$E$62:$BM$62)</f>
        <v>0</v>
      </c>
      <c r="P14" s="114">
        <f>SUMIF('Квартальная отчетность'!$E$10:$BM$10,YEAR(P$8),Финансирование!$E$62:$BM$62)</f>
        <v>0</v>
      </c>
      <c r="Q14" s="114">
        <f>SUMIF('Квартальная отчетность'!$E$10:$BM$10,YEAR(Q$8),Финансирование!$E$62:$BM$62)</f>
        <v>0</v>
      </c>
      <c r="R14" s="114">
        <f>SUMIF('Квартальная отчетность'!$E$10:$BM$10,YEAR(R$8),Финансирование!$E$62:$BM$62)</f>
        <v>0</v>
      </c>
      <c r="S14" s="114">
        <f>SUMIF('Квартальная отчетность'!$E$10:$BM$10,YEAR(S$8),Финансирование!$E$62:$BM$62)</f>
        <v>0</v>
      </c>
      <c r="T14" s="114">
        <f>SUMIF('Квартальная отчетность'!$E$10:$BM$10,YEAR(T$8),Финансирование!$E$62:$BM$62)</f>
        <v>0</v>
      </c>
      <c r="U14" s="114">
        <f>SUMIF('Квартальная отчетность'!$E$10:$BM$10,YEAR(U$8),Финансирование!$E$62:$BM$62)</f>
        <v>0</v>
      </c>
      <c r="V14" s="114">
        <f>SUMIF('Квартальная отчетность'!$E$10:$BM$10,YEAR(V$8),Финансирование!$E$62:$BM$62)</f>
        <v>0</v>
      </c>
      <c r="W14" s="114">
        <f>SUMIF('Квартальная отчетность'!$E$10:$BM$10,YEAR(W$8),Финансирование!$E$62:$BM$62)</f>
        <v>0</v>
      </c>
      <c r="X14" s="114">
        <f>SUMIF('Квартальная отчетность'!$E$10:$BM$10,YEAR(X$8),Финансирование!$E$62:$BM$62)</f>
        <v>0</v>
      </c>
      <c r="Y14" s="114">
        <f>SUMIF('Квартальная отчетность'!$E$10:$BM$10,YEAR(Y$8),Финансирование!$E$62:$BM$62)</f>
        <v>0</v>
      </c>
      <c r="Z14" s="114">
        <f>SUMIF('Квартальная отчетность'!$E$10:$BM$10,YEAR(Z$8),Финансирование!$E$62:$BM$62)</f>
        <v>0</v>
      </c>
      <c r="AA14" s="114">
        <f>SUMIF('Квартальная отчетность'!$E$10:$BM$10,YEAR(AA$8),Финансирование!$E$62:$BM$62)</f>
        <v>0</v>
      </c>
      <c r="AB14" s="114">
        <f>SUMIF('Квартальная отчетность'!$E$10:$BM$10,YEAR(AB$8),Финансирование!$E$62:$BM$62)</f>
        <v>0</v>
      </c>
      <c r="AC14" s="114">
        <f>SUMIF('Квартальная отчетность'!$E$10:$BM$10,YEAR(AC$8),Финансирование!$E$62:$BM$62)</f>
        <v>0</v>
      </c>
      <c r="AD14" s="114">
        <f>SUMIF('Квартальная отчетность'!$E$10:$BM$10,YEAR(AD$8),Финансирование!$E$62:$BM$62)</f>
        <v>0</v>
      </c>
      <c r="AE14" s="114">
        <f>SUMIF('Квартальная отчетность'!$E$10:$BM$10,YEAR(AE$8),Финансирование!$E$62:$BM$62)</f>
        <v>0</v>
      </c>
      <c r="AF14" s="114">
        <f>SUMIF('Квартальная отчетность'!$E$10:$BM$10,YEAR(AF$8),Финансирование!$E$62:$BM$62)</f>
        <v>0</v>
      </c>
      <c r="AG14" s="114">
        <f>SUMIF('Квартальная отчетность'!$E$10:$BM$10,YEAR(AG$8),Финансирование!$E$62:$BM$62)</f>
        <v>0</v>
      </c>
      <c r="AH14" s="114">
        <f>SUMIF('Квартальная отчетность'!$E$10:$BM$10,YEAR(AH$8),Финансирование!$E$62:$BM$62)</f>
        <v>0</v>
      </c>
      <c r="AI14" s="114">
        <f>SUMIF('Квартальная отчетность'!$E$10:$BM$10,YEAR(AI$8),Финансирование!$E$62:$BM$62)</f>
        <v>0</v>
      </c>
      <c r="AJ14" s="114">
        <f>SUMIF('Квартальная отчетность'!$E$10:$BM$10,YEAR(AJ$8),Финансирование!$E$62:$BM$62)</f>
        <v>0</v>
      </c>
      <c r="AK14" s="114">
        <f>SUMIF('Квартальная отчетность'!$E$10:$BM$10,YEAR(AK$8),Финансирование!$E$62:$BM$62)</f>
        <v>0</v>
      </c>
      <c r="AL14" s="114">
        <f>SUMIF('Квартальная отчетность'!$E$10:$BM$10,YEAR(AL$8),Финансирование!$E$62:$BM$62)</f>
        <v>0</v>
      </c>
      <c r="AM14" s="114">
        <f>SUMIF('Квартальная отчетность'!$E$10:$BM$10,YEAR(AM$8),Финансирование!$E$62:$BM$62)</f>
        <v>0</v>
      </c>
      <c r="AN14" s="114">
        <f>SUMIF('Квартальная отчетность'!$E$10:$BM$10,YEAR(AN$8),Финансирование!$E$62:$BM$62)</f>
        <v>0</v>
      </c>
      <c r="AO14" s="114">
        <f>SUMIF('Квартальная отчетность'!$E$10:$BM$10,YEAR(AO$8),Финансирование!$E$62:$BM$62)</f>
        <v>0</v>
      </c>
      <c r="AP14" s="114">
        <f>SUMIF('Квартальная отчетность'!$E$10:$BM$10,YEAR(AP$8),Финансирование!$E$62:$BM$62)</f>
        <v>0</v>
      </c>
      <c r="AQ14" s="114">
        <f>SUMIF('Квартальная отчетность'!$E$10:$BM$10,YEAR(AQ$8),Финансирование!$E$62:$BM$62)</f>
        <v>0</v>
      </c>
      <c r="AR14" s="114">
        <f>SUMIF('Квартальная отчетность'!$E$10:$BM$10,YEAR(AR$8),Финансирование!$E$62:$BM$62)</f>
        <v>0</v>
      </c>
      <c r="AS14" s="114">
        <f>SUMIF('Квартальная отчетность'!$E$10:$BM$10,YEAR(AS$8),Финансирование!$E$62:$BM$62)</f>
        <v>0</v>
      </c>
      <c r="AT14" s="114">
        <f>SUMIF('Квартальная отчетность'!$E$10:$BM$10,YEAR(AT$8),Финансирование!$E$62:$BM$62)</f>
        <v>0</v>
      </c>
      <c r="AU14" s="114">
        <f>SUMIF('Квартальная отчетность'!$E$10:$BM$10,YEAR(AU$8),Финансирование!$E$62:$BM$62)</f>
        <v>0</v>
      </c>
      <c r="AV14" s="114">
        <f>SUMIF('Квартальная отчетность'!$E$10:$BM$10,YEAR(AV$8),Финансирование!$E$62:$BM$62)</f>
        <v>0</v>
      </c>
      <c r="AW14" s="114">
        <f>SUMIF('Квартальная отчетность'!$E$10:$BM$10,YEAR(AW$8),Финансирование!$E$62:$BM$62)</f>
        <v>0</v>
      </c>
      <c r="AX14" s="114">
        <f>SUMIF('Квартальная отчетность'!$E$10:$BM$10,YEAR(AX$8),Финансирование!$E$62:$BM$62)</f>
        <v>0</v>
      </c>
      <c r="AY14" s="114">
        <f>SUMIF('Квартальная отчетность'!$E$10:$BM$10,YEAR(AY$8),Финансирование!$E$62:$BM$62)</f>
        <v>0</v>
      </c>
      <c r="AZ14" s="114">
        <f>SUMIF('Квартальная отчетность'!$E$10:$BM$10,YEAR(AZ$8),Финансирование!$E$62:$BM$62)</f>
        <v>0</v>
      </c>
      <c r="BA14" s="114">
        <f>SUMIF('Квартальная отчетность'!$E$10:$BM$10,YEAR(BA$8),Финансирование!$E$62:$BM$62)</f>
        <v>0</v>
      </c>
      <c r="BB14" s="114">
        <f>SUMIF('Квартальная отчетность'!$E$10:$BM$10,YEAR(BB$8),Финансирование!$E$62:$BM$62)</f>
        <v>0</v>
      </c>
      <c r="BC14" s="114">
        <f>SUMIF('Квартальная отчетность'!$E$10:$BM$10,YEAR(BC$8),Финансирование!$E$62:$BM$62)</f>
        <v>0</v>
      </c>
      <c r="BD14" s="114">
        <f>SUMIF('Квартальная отчетность'!$E$10:$BM$10,YEAR(BD$8),Финансирование!$E$62:$BM$62)</f>
        <v>0</v>
      </c>
      <c r="BE14" s="114">
        <f>SUMIF('Квартальная отчетность'!$E$10:$BM$10,YEAR(BE$8),Финансирование!$E$62:$BM$62)</f>
        <v>0</v>
      </c>
      <c r="BF14" s="114">
        <f>SUMIF('Квартальная отчетность'!$E$10:$BM$10,YEAR(BF$8),Финансирование!$E$62:$BM$62)</f>
        <v>0</v>
      </c>
      <c r="BG14" s="114">
        <f>SUMIF('Квартальная отчетность'!$E$10:$BM$10,YEAR(BG$8),Финансирование!$E$62:$BM$62)</f>
        <v>0</v>
      </c>
      <c r="BH14" s="114">
        <f>SUMIF('Квартальная отчетность'!$E$10:$BM$10,YEAR(BH$8),Финансирование!$E$62:$BM$62)</f>
        <v>0</v>
      </c>
      <c r="BI14" s="114">
        <f>SUMIF('Квартальная отчетность'!$E$10:$BM$10,YEAR(BI$8),Финансирование!$E$62:$BM$62)</f>
        <v>0</v>
      </c>
      <c r="BJ14" s="114">
        <f>SUMIF('Квартальная отчетность'!$E$10:$BM$10,YEAR(BJ$8),Финансирование!$E$62:$BM$62)</f>
        <v>0</v>
      </c>
      <c r="BK14" s="114">
        <f>SUMIF('Квартальная отчетность'!$E$10:$BM$10,YEAR(BK$8),Финансирование!$E$62:$BM$62)</f>
        <v>0</v>
      </c>
      <c r="BL14" s="114">
        <f>SUMIF('Квартальная отчетность'!$E$10:$BM$10,YEAR(BL$8),Финансирование!$E$62:$BM$62)</f>
        <v>0</v>
      </c>
      <c r="BM14" s="114">
        <f>SUMIF('Квартальная отчетность'!$E$10:$BM$10,YEAR(BM$8),Финансирование!$E$62:$BM$62)</f>
        <v>0</v>
      </c>
    </row>
    <row r="15" spans="2:71" ht="15" customHeight="1">
      <c r="B15" s="112" t="str">
        <f>IF(ISBLANK(Предпосылки!$C$194),"Заём бенефициара/аффилированных лиц",Предпосылки!$C$194)</f>
        <v>Заём бенефициара/аффилированных лиц</v>
      </c>
      <c r="C15" s="113" t="str">
        <f>Единица_измерения</f>
        <v>тыс. руб.</v>
      </c>
      <c r="D15" s="114"/>
      <c r="E15" s="114">
        <f>SUMIF('Квартальная отчетность'!$E$10:$BM$10,YEAR(E$8),Финансирование!$E$30:$BM$30)</f>
        <v>0</v>
      </c>
      <c r="F15" s="114">
        <f>SUMIF('Квартальная отчетность'!$E$10:$BM$10,YEAR(F$8),Финансирование!$E$30:$BM$30)</f>
        <v>0</v>
      </c>
      <c r="G15" s="114">
        <f>SUMIF('Квартальная отчетность'!$E$10:$BM$10,YEAR(G$8),Финансирование!$E$30:$BM$30)</f>
        <v>0</v>
      </c>
      <c r="H15" s="114">
        <f>SUMIF('Квартальная отчетность'!$E$10:$BM$10,YEAR(H$8),Финансирование!$E$30:$BM$30)</f>
        <v>0</v>
      </c>
      <c r="I15" s="114">
        <f>SUMIF('Квартальная отчетность'!$E$10:$BM$10,YEAR(I$8),Финансирование!$E$30:$BM$30)</f>
        <v>0</v>
      </c>
      <c r="J15" s="114">
        <f>SUMIF('Квартальная отчетность'!$E$10:$BM$10,YEAR(J$8),Финансирование!$E$30:$BM$30)</f>
        <v>0</v>
      </c>
      <c r="K15" s="114">
        <f>SUMIF('Квартальная отчетность'!$E$10:$BM$10,YEAR(K$8),Финансирование!$E$30:$BM$30)</f>
        <v>0</v>
      </c>
      <c r="L15" s="114">
        <f>SUMIF('Квартальная отчетность'!$E$10:$BM$10,YEAR(L$8),Финансирование!$E$30:$BM$30)</f>
        <v>0</v>
      </c>
      <c r="M15" s="114">
        <f>SUMIF('Квартальная отчетность'!$E$10:$BM$10,YEAR(M$8),Финансирование!$E$30:$BM$30)</f>
        <v>0</v>
      </c>
      <c r="N15" s="114">
        <f>SUMIF('Квартальная отчетность'!$E$10:$BM$10,YEAR(N$8),Финансирование!$E$30:$BM$30)</f>
        <v>0</v>
      </c>
      <c r="O15" s="114">
        <f>SUMIF('Квартальная отчетность'!$E$10:$BM$10,YEAR(O$8),Финансирование!$E$30:$BM$30)</f>
        <v>0</v>
      </c>
      <c r="P15" s="114">
        <f>SUMIF('Квартальная отчетность'!$E$10:$BM$10,YEAR(P$8),Финансирование!$E$30:$BM$30)</f>
        <v>0</v>
      </c>
      <c r="Q15" s="114">
        <f>SUMIF('Квартальная отчетность'!$E$10:$BM$10,YEAR(Q$8),Финансирование!$E$30:$BM$30)</f>
        <v>0</v>
      </c>
      <c r="R15" s="114">
        <f>SUMIF('Квартальная отчетность'!$E$10:$BM$10,YEAR(R$8),Финансирование!$E$30:$BM$30)</f>
        <v>0</v>
      </c>
      <c r="S15" s="114">
        <f>SUMIF('Квартальная отчетность'!$E$10:$BM$10,YEAR(S$8),Финансирование!$E$30:$BM$30)</f>
        <v>0</v>
      </c>
      <c r="T15" s="114">
        <f>SUMIF('Квартальная отчетность'!$E$10:$BM$10,YEAR(T$8),Финансирование!$E$30:$BM$30)</f>
        <v>0</v>
      </c>
      <c r="U15" s="114">
        <f>SUMIF('Квартальная отчетность'!$E$10:$BM$10,YEAR(U$8),Финансирование!$E$30:$BM$30)</f>
        <v>0</v>
      </c>
      <c r="V15" s="114">
        <f>SUMIF('Квартальная отчетность'!$E$10:$BM$10,YEAR(V$8),Финансирование!$E$30:$BM$30)</f>
        <v>0</v>
      </c>
      <c r="W15" s="114">
        <f>SUMIF('Квартальная отчетность'!$E$10:$BM$10,YEAR(W$8),Финансирование!$E$30:$BM$30)</f>
        <v>0</v>
      </c>
      <c r="X15" s="114">
        <f>SUMIF('Квартальная отчетность'!$E$10:$BM$10,YEAR(X$8),Финансирование!$E$30:$BM$30)</f>
        <v>0</v>
      </c>
      <c r="Y15" s="114">
        <f>SUMIF('Квартальная отчетность'!$E$10:$BM$10,YEAR(Y$8),Финансирование!$E$30:$BM$30)</f>
        <v>0</v>
      </c>
      <c r="Z15" s="114">
        <f>SUMIF('Квартальная отчетность'!$E$10:$BM$10,YEAR(Z$8),Финансирование!$E$30:$BM$30)</f>
        <v>0</v>
      </c>
      <c r="AA15" s="114">
        <f>SUMIF('Квартальная отчетность'!$E$10:$BM$10,YEAR(AA$8),Финансирование!$E$30:$BM$30)</f>
        <v>0</v>
      </c>
      <c r="AB15" s="114">
        <f>SUMIF('Квартальная отчетность'!$E$10:$BM$10,YEAR(AB$8),Финансирование!$E$30:$BM$30)</f>
        <v>0</v>
      </c>
      <c r="AC15" s="114">
        <f>SUMIF('Квартальная отчетность'!$E$10:$BM$10,YEAR(AC$8),Финансирование!$E$30:$BM$30)</f>
        <v>0</v>
      </c>
      <c r="AD15" s="114">
        <f>SUMIF('Квартальная отчетность'!$E$10:$BM$10,YEAR(AD$8),Финансирование!$E$30:$BM$30)</f>
        <v>0</v>
      </c>
      <c r="AE15" s="114">
        <f>SUMIF('Квартальная отчетность'!$E$10:$BM$10,YEAR(AE$8),Финансирование!$E$30:$BM$30)</f>
        <v>0</v>
      </c>
      <c r="AF15" s="114">
        <f>SUMIF('Квартальная отчетность'!$E$10:$BM$10,YEAR(AF$8),Финансирование!$E$30:$BM$30)</f>
        <v>0</v>
      </c>
      <c r="AG15" s="114">
        <f>SUMIF('Квартальная отчетность'!$E$10:$BM$10,YEAR(AG$8),Финансирование!$E$30:$BM$30)</f>
        <v>0</v>
      </c>
      <c r="AH15" s="114">
        <f>SUMIF('Квартальная отчетность'!$E$10:$BM$10,YEAR(AH$8),Финансирование!$E$30:$BM$30)</f>
        <v>0</v>
      </c>
      <c r="AI15" s="114">
        <f>SUMIF('Квартальная отчетность'!$E$10:$BM$10,YEAR(AI$8),Финансирование!$E$30:$BM$30)</f>
        <v>0</v>
      </c>
      <c r="AJ15" s="114">
        <f>SUMIF('Квартальная отчетность'!$E$10:$BM$10,YEAR(AJ$8),Финансирование!$E$30:$BM$30)</f>
        <v>0</v>
      </c>
      <c r="AK15" s="114">
        <f>SUMIF('Квартальная отчетность'!$E$10:$BM$10,YEAR(AK$8),Финансирование!$E$30:$BM$30)</f>
        <v>0</v>
      </c>
      <c r="AL15" s="114">
        <f>SUMIF('Квартальная отчетность'!$E$10:$BM$10,YEAR(AL$8),Финансирование!$E$30:$BM$30)</f>
        <v>0</v>
      </c>
      <c r="AM15" s="114">
        <f>SUMIF('Квартальная отчетность'!$E$10:$BM$10,YEAR(AM$8),Финансирование!$E$30:$BM$30)</f>
        <v>0</v>
      </c>
      <c r="AN15" s="114">
        <f>SUMIF('Квартальная отчетность'!$E$10:$BM$10,YEAR(AN$8),Финансирование!$E$30:$BM$30)</f>
        <v>0</v>
      </c>
      <c r="AO15" s="114">
        <f>SUMIF('Квартальная отчетность'!$E$10:$BM$10,YEAR(AO$8),Финансирование!$E$30:$BM$30)</f>
        <v>0</v>
      </c>
      <c r="AP15" s="114">
        <f>SUMIF('Квартальная отчетность'!$E$10:$BM$10,YEAR(AP$8),Финансирование!$E$30:$BM$30)</f>
        <v>0</v>
      </c>
      <c r="AQ15" s="114">
        <f>SUMIF('Квартальная отчетность'!$E$10:$BM$10,YEAR(AQ$8),Финансирование!$E$30:$BM$30)</f>
        <v>0</v>
      </c>
      <c r="AR15" s="114">
        <f>SUMIF('Квартальная отчетность'!$E$10:$BM$10,YEAR(AR$8),Финансирование!$E$30:$BM$30)</f>
        <v>0</v>
      </c>
      <c r="AS15" s="114">
        <f>SUMIF('Квартальная отчетность'!$E$10:$BM$10,YEAR(AS$8),Финансирование!$E$30:$BM$30)</f>
        <v>0</v>
      </c>
      <c r="AT15" s="114">
        <f>SUMIF('Квартальная отчетность'!$E$10:$BM$10,YEAR(AT$8),Финансирование!$E$30:$BM$30)</f>
        <v>0</v>
      </c>
      <c r="AU15" s="114">
        <f>SUMIF('Квартальная отчетность'!$E$10:$BM$10,YEAR(AU$8),Финансирование!$E$30:$BM$30)</f>
        <v>0</v>
      </c>
      <c r="AV15" s="114">
        <f>SUMIF('Квартальная отчетность'!$E$10:$BM$10,YEAR(AV$8),Финансирование!$E$30:$BM$30)</f>
        <v>0</v>
      </c>
      <c r="AW15" s="114">
        <f>SUMIF('Квартальная отчетность'!$E$10:$BM$10,YEAR(AW$8),Финансирование!$E$30:$BM$30)</f>
        <v>0</v>
      </c>
      <c r="AX15" s="114">
        <f>SUMIF('Квартальная отчетность'!$E$10:$BM$10,YEAR(AX$8),Финансирование!$E$30:$BM$30)</f>
        <v>0</v>
      </c>
      <c r="AY15" s="114">
        <f>SUMIF('Квартальная отчетность'!$E$10:$BM$10,YEAR(AY$8),Финансирование!$E$30:$BM$30)</f>
        <v>0</v>
      </c>
      <c r="AZ15" s="114">
        <f>SUMIF('Квартальная отчетность'!$E$10:$BM$10,YEAR(AZ$8),Финансирование!$E$30:$BM$30)</f>
        <v>0</v>
      </c>
      <c r="BA15" s="114">
        <f>SUMIF('Квартальная отчетность'!$E$10:$BM$10,YEAR(BA$8),Финансирование!$E$30:$BM$30)</f>
        <v>0</v>
      </c>
      <c r="BB15" s="114">
        <f>SUMIF('Квартальная отчетность'!$E$10:$BM$10,YEAR(BB$8),Финансирование!$E$30:$BM$30)</f>
        <v>0</v>
      </c>
      <c r="BC15" s="114">
        <f>SUMIF('Квартальная отчетность'!$E$10:$BM$10,YEAR(BC$8),Финансирование!$E$30:$BM$30)</f>
        <v>0</v>
      </c>
      <c r="BD15" s="114">
        <f>SUMIF('Квартальная отчетность'!$E$10:$BM$10,YEAR(BD$8),Финансирование!$E$30:$BM$30)</f>
        <v>0</v>
      </c>
      <c r="BE15" s="114">
        <f>SUMIF('Квартальная отчетность'!$E$10:$BM$10,YEAR(BE$8),Финансирование!$E$30:$BM$30)</f>
        <v>0</v>
      </c>
      <c r="BF15" s="114">
        <f>SUMIF('Квартальная отчетность'!$E$10:$BM$10,YEAR(BF$8),Финансирование!$E$30:$BM$30)</f>
        <v>0</v>
      </c>
      <c r="BG15" s="114">
        <f>SUMIF('Квартальная отчетность'!$E$10:$BM$10,YEAR(BG$8),Финансирование!$E$30:$BM$30)</f>
        <v>0</v>
      </c>
      <c r="BH15" s="114">
        <f>SUMIF('Квартальная отчетность'!$E$10:$BM$10,YEAR(BH$8),Финансирование!$E$30:$BM$30)</f>
        <v>0</v>
      </c>
      <c r="BI15" s="114">
        <f>SUMIF('Квартальная отчетность'!$E$10:$BM$10,YEAR(BI$8),Финансирование!$E$30:$BM$30)</f>
        <v>0</v>
      </c>
      <c r="BJ15" s="114">
        <f>SUMIF('Квартальная отчетность'!$E$10:$BM$10,YEAR(BJ$8),Финансирование!$E$30:$BM$30)</f>
        <v>0</v>
      </c>
      <c r="BK15" s="114">
        <f>SUMIF('Квартальная отчетность'!$E$10:$BM$10,YEAR(BK$8),Финансирование!$E$30:$BM$30)</f>
        <v>0</v>
      </c>
      <c r="BL15" s="114">
        <f>SUMIF('Квартальная отчетность'!$E$10:$BM$10,YEAR(BL$8),Финансирование!$E$30:$BM$30)</f>
        <v>0</v>
      </c>
      <c r="BM15" s="114">
        <f>SUMIF('Квартальная отчетность'!$E$10:$BM$10,YEAR(BM$8),Финансирование!$E$30:$BM$30)</f>
        <v>0</v>
      </c>
    </row>
    <row r="16" spans="2:71" ht="15" customHeight="1">
      <c r="B16" s="112" t="str">
        <f>IF(ISBLANK(Предпосылки!$C$209),"Кредит/заём с графиком",Предпосылки!$C$209)</f>
        <v>Кредит/заём с графиком</v>
      </c>
      <c r="C16" s="113" t="str">
        <f>Единица_измерения</f>
        <v>тыс. руб.</v>
      </c>
      <c r="D16" s="114"/>
      <c r="E16" s="114">
        <f>SUMIF('Квартальная отчетность'!$E$10:$BM$10,YEAR(E$8),Финансирование!$E$45:$BM$45)</f>
        <v>0</v>
      </c>
      <c r="F16" s="114">
        <f>SUMIF('Квартальная отчетность'!$E$10:$BM$10,YEAR(F$8),Финансирование!$E$45:$BM$45)</f>
        <v>0</v>
      </c>
      <c r="G16" s="114">
        <f>SUMIF('Квартальная отчетность'!$E$10:$BM$10,YEAR(G$8),Финансирование!$E$45:$BM$45)</f>
        <v>0</v>
      </c>
      <c r="H16" s="114">
        <f>SUMIF('Квартальная отчетность'!$E$10:$BM$10,YEAR(H$8),Финансирование!$E$45:$BM$45)</f>
        <v>0</v>
      </c>
      <c r="I16" s="114">
        <f>SUMIF('Квартальная отчетность'!$E$10:$BM$10,YEAR(I$8),Финансирование!$E$45:$BM$45)</f>
        <v>0</v>
      </c>
      <c r="J16" s="114">
        <f>SUMIF('Квартальная отчетность'!$E$10:$BM$10,YEAR(J$8),Финансирование!$E$45:$BM$45)</f>
        <v>0</v>
      </c>
      <c r="K16" s="114">
        <f>SUMIF('Квартальная отчетность'!$E$10:$BM$10,YEAR(K$8),Финансирование!$E$45:$BM$45)</f>
        <v>0</v>
      </c>
      <c r="L16" s="114">
        <f>SUMIF('Квартальная отчетность'!$E$10:$BM$10,YEAR(L$8),Финансирование!$E$45:$BM$45)</f>
        <v>0</v>
      </c>
      <c r="M16" s="114">
        <f>SUMIF('Квартальная отчетность'!$E$10:$BM$10,YEAR(M$8),Финансирование!$E$45:$BM$45)</f>
        <v>0</v>
      </c>
      <c r="N16" s="114">
        <f>SUMIF('Квартальная отчетность'!$E$10:$BM$10,YEAR(N$8),Финансирование!$E$45:$BM$45)</f>
        <v>0</v>
      </c>
      <c r="O16" s="114">
        <f>SUMIF('Квартальная отчетность'!$E$10:$BM$10,YEAR(O$8),Финансирование!$E$45:$BM$45)</f>
        <v>0</v>
      </c>
      <c r="P16" s="114">
        <f>SUMIF('Квартальная отчетность'!$E$10:$BM$10,YEAR(P$8),Финансирование!$E$45:$BM$45)</f>
        <v>0</v>
      </c>
      <c r="Q16" s="114">
        <f>SUMIF('Квартальная отчетность'!$E$10:$BM$10,YEAR(Q$8),Финансирование!$E$45:$BM$45)</f>
        <v>0</v>
      </c>
      <c r="R16" s="114">
        <f>SUMIF('Квартальная отчетность'!$E$10:$BM$10,YEAR(R$8),Финансирование!$E$45:$BM$45)</f>
        <v>0</v>
      </c>
      <c r="S16" s="114">
        <f>SUMIF('Квартальная отчетность'!$E$10:$BM$10,YEAR(S$8),Финансирование!$E$45:$BM$45)</f>
        <v>0</v>
      </c>
      <c r="T16" s="114">
        <f>SUMIF('Квартальная отчетность'!$E$10:$BM$10,YEAR(T$8),Финансирование!$E$45:$BM$45)</f>
        <v>0</v>
      </c>
      <c r="U16" s="114">
        <f>SUMIF('Квартальная отчетность'!$E$10:$BM$10,YEAR(U$8),Финансирование!$E$45:$BM$45)</f>
        <v>0</v>
      </c>
      <c r="V16" s="114">
        <f>SUMIF('Квартальная отчетность'!$E$10:$BM$10,YEAR(V$8),Финансирование!$E$45:$BM$45)</f>
        <v>0</v>
      </c>
      <c r="W16" s="114">
        <f>SUMIF('Квартальная отчетность'!$E$10:$BM$10,YEAR(W$8),Финансирование!$E$45:$BM$45)</f>
        <v>0</v>
      </c>
      <c r="X16" s="114">
        <f>SUMIF('Квартальная отчетность'!$E$10:$BM$10,YEAR(X$8),Финансирование!$E$45:$BM$45)</f>
        <v>0</v>
      </c>
      <c r="Y16" s="114">
        <f>SUMIF('Квартальная отчетность'!$E$10:$BM$10,YEAR(Y$8),Финансирование!$E$45:$BM$45)</f>
        <v>0</v>
      </c>
      <c r="Z16" s="114">
        <f>SUMIF('Квартальная отчетность'!$E$10:$BM$10,YEAR(Z$8),Финансирование!$E$45:$BM$45)</f>
        <v>0</v>
      </c>
      <c r="AA16" s="114">
        <f>SUMIF('Квартальная отчетность'!$E$10:$BM$10,YEAR(AA$8),Финансирование!$E$45:$BM$45)</f>
        <v>0</v>
      </c>
      <c r="AB16" s="114">
        <f>SUMIF('Квартальная отчетность'!$E$10:$BM$10,YEAR(AB$8),Финансирование!$E$45:$BM$45)</f>
        <v>0</v>
      </c>
      <c r="AC16" s="114">
        <f>SUMIF('Квартальная отчетность'!$E$10:$BM$10,YEAR(AC$8),Финансирование!$E$45:$BM$45)</f>
        <v>0</v>
      </c>
      <c r="AD16" s="114">
        <f>SUMIF('Квартальная отчетность'!$E$10:$BM$10,YEAR(AD$8),Финансирование!$E$45:$BM$45)</f>
        <v>0</v>
      </c>
      <c r="AE16" s="114">
        <f>SUMIF('Квартальная отчетность'!$E$10:$BM$10,YEAR(AE$8),Финансирование!$E$45:$BM$45)</f>
        <v>0</v>
      </c>
      <c r="AF16" s="114">
        <f>SUMIF('Квартальная отчетность'!$E$10:$BM$10,YEAR(AF$8),Финансирование!$E$45:$BM$45)</f>
        <v>0</v>
      </c>
      <c r="AG16" s="114">
        <f>SUMIF('Квартальная отчетность'!$E$10:$BM$10,YEAR(AG$8),Финансирование!$E$45:$BM$45)</f>
        <v>0</v>
      </c>
      <c r="AH16" s="114">
        <f>SUMIF('Квартальная отчетность'!$E$10:$BM$10,YEAR(AH$8),Финансирование!$E$45:$BM$45)</f>
        <v>0</v>
      </c>
      <c r="AI16" s="114">
        <f>SUMIF('Квартальная отчетность'!$E$10:$BM$10,YEAR(AI$8),Финансирование!$E$45:$BM$45)</f>
        <v>0</v>
      </c>
      <c r="AJ16" s="114">
        <f>SUMIF('Квартальная отчетность'!$E$10:$BM$10,YEAR(AJ$8),Финансирование!$E$45:$BM$45)</f>
        <v>0</v>
      </c>
      <c r="AK16" s="114">
        <f>SUMIF('Квартальная отчетность'!$E$10:$BM$10,YEAR(AK$8),Финансирование!$E$45:$BM$45)</f>
        <v>0</v>
      </c>
      <c r="AL16" s="114">
        <f>SUMIF('Квартальная отчетность'!$E$10:$BM$10,YEAR(AL$8),Финансирование!$E$45:$BM$45)</f>
        <v>0</v>
      </c>
      <c r="AM16" s="114">
        <f>SUMIF('Квартальная отчетность'!$E$10:$BM$10,YEAR(AM$8),Финансирование!$E$45:$BM$45)</f>
        <v>0</v>
      </c>
      <c r="AN16" s="114">
        <f>SUMIF('Квартальная отчетность'!$E$10:$BM$10,YEAR(AN$8),Финансирование!$E$45:$BM$45)</f>
        <v>0</v>
      </c>
      <c r="AO16" s="114">
        <f>SUMIF('Квартальная отчетность'!$E$10:$BM$10,YEAR(AO$8),Финансирование!$E$45:$BM$45)</f>
        <v>0</v>
      </c>
      <c r="AP16" s="114">
        <f>SUMIF('Квартальная отчетность'!$E$10:$BM$10,YEAR(AP$8),Финансирование!$E$45:$BM$45)</f>
        <v>0</v>
      </c>
      <c r="AQ16" s="114">
        <f>SUMIF('Квартальная отчетность'!$E$10:$BM$10,YEAR(AQ$8),Финансирование!$E$45:$BM$45)</f>
        <v>0</v>
      </c>
      <c r="AR16" s="114">
        <f>SUMIF('Квартальная отчетность'!$E$10:$BM$10,YEAR(AR$8),Финансирование!$E$45:$BM$45)</f>
        <v>0</v>
      </c>
      <c r="AS16" s="114">
        <f>SUMIF('Квартальная отчетность'!$E$10:$BM$10,YEAR(AS$8),Финансирование!$E$45:$BM$45)</f>
        <v>0</v>
      </c>
      <c r="AT16" s="114">
        <f>SUMIF('Квартальная отчетность'!$E$10:$BM$10,YEAR(AT$8),Финансирование!$E$45:$BM$45)</f>
        <v>0</v>
      </c>
      <c r="AU16" s="114">
        <f>SUMIF('Квартальная отчетность'!$E$10:$BM$10,YEAR(AU$8),Финансирование!$E$45:$BM$45)</f>
        <v>0</v>
      </c>
      <c r="AV16" s="114">
        <f>SUMIF('Квартальная отчетность'!$E$10:$BM$10,YEAR(AV$8),Финансирование!$E$45:$BM$45)</f>
        <v>0</v>
      </c>
      <c r="AW16" s="114">
        <f>SUMIF('Квартальная отчетность'!$E$10:$BM$10,YEAR(AW$8),Финансирование!$E$45:$BM$45)</f>
        <v>0</v>
      </c>
      <c r="AX16" s="114">
        <f>SUMIF('Квартальная отчетность'!$E$10:$BM$10,YEAR(AX$8),Финансирование!$E$45:$BM$45)</f>
        <v>0</v>
      </c>
      <c r="AY16" s="114">
        <f>SUMIF('Квартальная отчетность'!$E$10:$BM$10,YEAR(AY$8),Финансирование!$E$45:$BM$45)</f>
        <v>0</v>
      </c>
      <c r="AZ16" s="114">
        <f>SUMIF('Квартальная отчетность'!$E$10:$BM$10,YEAR(AZ$8),Финансирование!$E$45:$BM$45)</f>
        <v>0</v>
      </c>
      <c r="BA16" s="114">
        <f>SUMIF('Квартальная отчетность'!$E$10:$BM$10,YEAR(BA$8),Финансирование!$E$45:$BM$45)</f>
        <v>0</v>
      </c>
      <c r="BB16" s="114">
        <f>SUMIF('Квартальная отчетность'!$E$10:$BM$10,YEAR(BB$8),Финансирование!$E$45:$BM$45)</f>
        <v>0</v>
      </c>
      <c r="BC16" s="114">
        <f>SUMIF('Квартальная отчетность'!$E$10:$BM$10,YEAR(BC$8),Финансирование!$E$45:$BM$45)</f>
        <v>0</v>
      </c>
      <c r="BD16" s="114">
        <f>SUMIF('Квартальная отчетность'!$E$10:$BM$10,YEAR(BD$8),Финансирование!$E$45:$BM$45)</f>
        <v>0</v>
      </c>
      <c r="BE16" s="114">
        <f>SUMIF('Квартальная отчетность'!$E$10:$BM$10,YEAR(BE$8),Финансирование!$E$45:$BM$45)</f>
        <v>0</v>
      </c>
      <c r="BF16" s="114">
        <f>SUMIF('Квартальная отчетность'!$E$10:$BM$10,YEAR(BF$8),Финансирование!$E$45:$BM$45)</f>
        <v>0</v>
      </c>
      <c r="BG16" s="114">
        <f>SUMIF('Квартальная отчетность'!$E$10:$BM$10,YEAR(BG$8),Финансирование!$E$45:$BM$45)</f>
        <v>0</v>
      </c>
      <c r="BH16" s="114">
        <f>SUMIF('Квартальная отчетность'!$E$10:$BM$10,YEAR(BH$8),Финансирование!$E$45:$BM$45)</f>
        <v>0</v>
      </c>
      <c r="BI16" s="114">
        <f>SUMIF('Квартальная отчетность'!$E$10:$BM$10,YEAR(BI$8),Финансирование!$E$45:$BM$45)</f>
        <v>0</v>
      </c>
      <c r="BJ16" s="114">
        <f>SUMIF('Квартальная отчетность'!$E$10:$BM$10,YEAR(BJ$8),Финансирование!$E$45:$BM$45)</f>
        <v>0</v>
      </c>
      <c r="BK16" s="114">
        <f>SUMIF('Квартальная отчетность'!$E$10:$BM$10,YEAR(BK$8),Финансирование!$E$45:$BM$45)</f>
        <v>0</v>
      </c>
      <c r="BL16" s="114">
        <f>SUMIF('Квартальная отчетность'!$E$10:$BM$10,YEAR(BL$8),Финансирование!$E$45:$BM$45)</f>
        <v>0</v>
      </c>
      <c r="BM16" s="114">
        <f>SUMIF('Квартальная отчетность'!$E$10:$BM$10,YEAR(BM$8),Финансирование!$E$45:$BM$45)</f>
        <v>0</v>
      </c>
    </row>
    <row r="17" spans="2:65" ht="15" customHeight="1">
      <c r="B17" s="112" t="s">
        <v>794</v>
      </c>
      <c r="C17" s="113" t="str">
        <f>Единица_измерения</f>
        <v>тыс. руб.</v>
      </c>
      <c r="D17" s="114"/>
      <c r="E17" s="114">
        <f ca="1">SUMIF('Квартальная отчетность'!$E$10:$BM$10,YEAR(E$8),Финансирование!$E$58:$BM$58)</f>
        <v>0</v>
      </c>
      <c r="F17" s="114">
        <f ca="1">SUMIF('Квартальная отчетность'!$E$10:$BM$10,YEAR(F$8),Финансирование!$E$58:$BM$58)</f>
        <v>0</v>
      </c>
      <c r="G17" s="114">
        <f ca="1">SUMIF('Квартальная отчетность'!$E$10:$BM$10,YEAR(G$8),Финансирование!$E$58:$BM$58)</f>
        <v>0</v>
      </c>
      <c r="H17" s="114">
        <f ca="1">SUMIF('Квартальная отчетность'!$E$10:$BM$10,YEAR(H$8),Финансирование!$E$58:$BM$58)</f>
        <v>0</v>
      </c>
      <c r="I17" s="114">
        <f ca="1">SUMIF('Квартальная отчетность'!$E$10:$BM$10,YEAR(I$8),Финансирование!$E$58:$BM$58)</f>
        <v>0</v>
      </c>
      <c r="J17" s="114">
        <f ca="1">SUMIF('Квартальная отчетность'!$E$10:$BM$10,YEAR(J$8),Финансирование!$E$58:$BM$58)</f>
        <v>0</v>
      </c>
      <c r="K17" s="114">
        <f ca="1">SUMIF('Квартальная отчетность'!$E$10:$BM$10,YEAR(K$8),Финансирование!$E$58:$BM$58)</f>
        <v>0</v>
      </c>
      <c r="L17" s="114">
        <f ca="1">SUMIF('Квартальная отчетность'!$E$10:$BM$10,YEAR(L$8),Финансирование!$E$58:$BM$58)</f>
        <v>0</v>
      </c>
      <c r="M17" s="114">
        <f ca="1">SUMIF('Квартальная отчетность'!$E$10:$BM$10,YEAR(M$8),Финансирование!$E$58:$BM$58)</f>
        <v>0</v>
      </c>
      <c r="N17" s="114">
        <f ca="1">SUMIF('Квартальная отчетность'!$E$10:$BM$10,YEAR(N$8),Финансирование!$E$58:$BM$58)</f>
        <v>0</v>
      </c>
      <c r="O17" s="114">
        <f ca="1">SUMIF('Квартальная отчетность'!$E$10:$BM$10,YEAR(O$8),Финансирование!$E$58:$BM$58)</f>
        <v>0</v>
      </c>
      <c r="P17" s="114">
        <f ca="1">SUMIF('Квартальная отчетность'!$E$10:$BM$10,YEAR(P$8),Финансирование!$E$58:$BM$58)</f>
        <v>0</v>
      </c>
      <c r="Q17" s="114">
        <f ca="1">SUMIF('Квартальная отчетность'!$E$10:$BM$10,YEAR(Q$8),Финансирование!$E$58:$BM$58)</f>
        <v>0</v>
      </c>
      <c r="R17" s="114">
        <f ca="1">SUMIF('Квартальная отчетность'!$E$10:$BM$10,YEAR(R$8),Финансирование!$E$58:$BM$58)</f>
        <v>0</v>
      </c>
      <c r="S17" s="114">
        <f ca="1">SUMIF('Квартальная отчетность'!$E$10:$BM$10,YEAR(S$8),Финансирование!$E$58:$BM$58)</f>
        <v>0</v>
      </c>
      <c r="T17" s="114">
        <f ca="1">SUMIF('Квартальная отчетность'!$E$10:$BM$10,YEAR(T$8),Финансирование!$E$58:$BM$58)</f>
        <v>0</v>
      </c>
      <c r="U17" s="114"/>
      <c r="V17" s="114"/>
      <c r="W17" s="114"/>
      <c r="X17" s="114"/>
      <c r="Y17" s="114"/>
      <c r="Z17" s="114"/>
      <c r="AA17" s="114"/>
      <c r="AB17" s="114"/>
      <c r="AC17" s="114"/>
      <c r="AD17" s="114"/>
      <c r="AE17" s="114"/>
      <c r="AF17" s="114"/>
      <c r="AG17" s="114"/>
      <c r="AH17" s="114"/>
      <c r="AI17" s="114"/>
      <c r="AJ17" s="114"/>
      <c r="AK17" s="114"/>
      <c r="AL17" s="114"/>
      <c r="AM17" s="114"/>
      <c r="AN17" s="114"/>
      <c r="AO17" s="114"/>
      <c r="AP17" s="114"/>
      <c r="AQ17" s="114"/>
      <c r="AR17" s="114"/>
      <c r="AS17" s="114"/>
      <c r="AT17" s="114"/>
      <c r="AU17" s="114"/>
      <c r="AV17" s="114"/>
      <c r="AW17" s="114"/>
      <c r="AX17" s="114"/>
      <c r="AY17" s="114"/>
      <c r="AZ17" s="114"/>
      <c r="BA17" s="114"/>
      <c r="BB17" s="114"/>
      <c r="BC17" s="114"/>
      <c r="BD17" s="114"/>
      <c r="BE17" s="114"/>
      <c r="BF17" s="114"/>
      <c r="BG17" s="114"/>
      <c r="BH17" s="114"/>
      <c r="BI17" s="114"/>
      <c r="BJ17" s="114"/>
      <c r="BK17" s="114"/>
      <c r="BL17" s="114"/>
      <c r="BM17" s="114"/>
    </row>
    <row r="18" spans="2:65" ht="15" customHeight="1">
      <c r="B18" s="259" t="s">
        <v>12</v>
      </c>
      <c r="C18" s="260" t="str">
        <f>Единица_измерения</f>
        <v>тыс. руб.</v>
      </c>
      <c r="D18" s="248"/>
      <c r="E18" s="248">
        <f ca="1">SUM(E14:E17)</f>
        <v>0</v>
      </c>
      <c r="F18" s="248">
        <f t="shared" ref="F18:T18" ca="1" si="35">SUM(F14:F17)</f>
        <v>0</v>
      </c>
      <c r="G18" s="248">
        <f t="shared" ca="1" si="35"/>
        <v>0</v>
      </c>
      <c r="H18" s="248">
        <f t="shared" ca="1" si="35"/>
        <v>0</v>
      </c>
      <c r="I18" s="248">
        <f t="shared" ca="1" si="35"/>
        <v>0</v>
      </c>
      <c r="J18" s="248">
        <f t="shared" ca="1" si="35"/>
        <v>0</v>
      </c>
      <c r="K18" s="248">
        <f t="shared" ca="1" si="35"/>
        <v>0</v>
      </c>
      <c r="L18" s="248">
        <f t="shared" ca="1" si="35"/>
        <v>0</v>
      </c>
      <c r="M18" s="248">
        <f t="shared" ca="1" si="35"/>
        <v>0</v>
      </c>
      <c r="N18" s="248">
        <f t="shared" ca="1" si="35"/>
        <v>0</v>
      </c>
      <c r="O18" s="248">
        <f t="shared" ca="1" si="35"/>
        <v>0</v>
      </c>
      <c r="P18" s="248">
        <f t="shared" ca="1" si="35"/>
        <v>0</v>
      </c>
      <c r="Q18" s="248">
        <f t="shared" ca="1" si="35"/>
        <v>0</v>
      </c>
      <c r="R18" s="248">
        <f t="shared" ca="1" si="35"/>
        <v>0</v>
      </c>
      <c r="S18" s="248">
        <f t="shared" ca="1" si="35"/>
        <v>0</v>
      </c>
      <c r="T18" s="248">
        <f t="shared" ca="1" si="35"/>
        <v>0</v>
      </c>
      <c r="U18" s="248">
        <f t="shared" ref="U18:AG18" si="36">SUM(U14:U16)</f>
        <v>0</v>
      </c>
      <c r="V18" s="248">
        <f t="shared" si="36"/>
        <v>0</v>
      </c>
      <c r="W18" s="248">
        <f t="shared" si="36"/>
        <v>0</v>
      </c>
      <c r="X18" s="248">
        <f t="shared" si="36"/>
        <v>0</v>
      </c>
      <c r="Y18" s="248">
        <f t="shared" si="36"/>
        <v>0</v>
      </c>
      <c r="Z18" s="248">
        <f t="shared" si="36"/>
        <v>0</v>
      </c>
      <c r="AA18" s="248">
        <f t="shared" si="36"/>
        <v>0</v>
      </c>
      <c r="AB18" s="248">
        <f t="shared" si="36"/>
        <v>0</v>
      </c>
      <c r="AC18" s="248">
        <f t="shared" si="36"/>
        <v>0</v>
      </c>
      <c r="AD18" s="248">
        <f t="shared" si="36"/>
        <v>0</v>
      </c>
      <c r="AE18" s="248">
        <f t="shared" si="36"/>
        <v>0</v>
      </c>
      <c r="AF18" s="248">
        <f t="shared" si="36"/>
        <v>0</v>
      </c>
      <c r="AG18" s="248">
        <f t="shared" si="36"/>
        <v>0</v>
      </c>
      <c r="AH18" s="248">
        <f t="shared" ref="AH18:BM18" si="37">SUM(AH14:AH16)</f>
        <v>0</v>
      </c>
      <c r="AI18" s="248">
        <f t="shared" si="37"/>
        <v>0</v>
      </c>
      <c r="AJ18" s="248">
        <f t="shared" si="37"/>
        <v>0</v>
      </c>
      <c r="AK18" s="248">
        <f t="shared" si="37"/>
        <v>0</v>
      </c>
      <c r="AL18" s="248">
        <f t="shared" si="37"/>
        <v>0</v>
      </c>
      <c r="AM18" s="248">
        <f t="shared" si="37"/>
        <v>0</v>
      </c>
      <c r="AN18" s="248">
        <f t="shared" si="37"/>
        <v>0</v>
      </c>
      <c r="AO18" s="248">
        <f t="shared" si="37"/>
        <v>0</v>
      </c>
      <c r="AP18" s="248">
        <f t="shared" si="37"/>
        <v>0</v>
      </c>
      <c r="AQ18" s="248">
        <f t="shared" si="37"/>
        <v>0</v>
      </c>
      <c r="AR18" s="248">
        <f t="shared" si="37"/>
        <v>0</v>
      </c>
      <c r="AS18" s="248">
        <f t="shared" si="37"/>
        <v>0</v>
      </c>
      <c r="AT18" s="248">
        <f t="shared" si="37"/>
        <v>0</v>
      </c>
      <c r="AU18" s="248">
        <f t="shared" si="37"/>
        <v>0</v>
      </c>
      <c r="AV18" s="248">
        <f t="shared" si="37"/>
        <v>0</v>
      </c>
      <c r="AW18" s="248">
        <f t="shared" si="37"/>
        <v>0</v>
      </c>
      <c r="AX18" s="248">
        <f t="shared" si="37"/>
        <v>0</v>
      </c>
      <c r="AY18" s="248">
        <f t="shared" si="37"/>
        <v>0</v>
      </c>
      <c r="AZ18" s="248">
        <f t="shared" si="37"/>
        <v>0</v>
      </c>
      <c r="BA18" s="248">
        <f t="shared" si="37"/>
        <v>0</v>
      </c>
      <c r="BB18" s="248">
        <f t="shared" si="37"/>
        <v>0</v>
      </c>
      <c r="BC18" s="248">
        <f t="shared" si="37"/>
        <v>0</v>
      </c>
      <c r="BD18" s="248">
        <f t="shared" si="37"/>
        <v>0</v>
      </c>
      <c r="BE18" s="248">
        <f t="shared" si="37"/>
        <v>0</v>
      </c>
      <c r="BF18" s="248">
        <f t="shared" si="37"/>
        <v>0</v>
      </c>
      <c r="BG18" s="248">
        <f t="shared" si="37"/>
        <v>0</v>
      </c>
      <c r="BH18" s="248">
        <f t="shared" si="37"/>
        <v>0</v>
      </c>
      <c r="BI18" s="248">
        <f t="shared" si="37"/>
        <v>0</v>
      </c>
      <c r="BJ18" s="248">
        <f t="shared" si="37"/>
        <v>0</v>
      </c>
      <c r="BK18" s="248">
        <f t="shared" si="37"/>
        <v>0</v>
      </c>
      <c r="BL18" s="248">
        <f t="shared" si="37"/>
        <v>0</v>
      </c>
      <c r="BM18" s="248">
        <f t="shared" si="37"/>
        <v>0</v>
      </c>
    </row>
    <row r="19" spans="2:65" ht="15" customHeight="1">
      <c r="B19" s="37"/>
      <c r="C19" s="37"/>
      <c r="D19" s="37"/>
      <c r="E19" s="37"/>
      <c r="F19" s="37"/>
      <c r="G19" s="37"/>
      <c r="H19" s="37"/>
      <c r="I19" s="37"/>
      <c r="J19" s="37"/>
      <c r="K19" s="37"/>
      <c r="L19" s="37"/>
      <c r="M19" s="37"/>
      <c r="N19" s="37"/>
      <c r="O19" s="37"/>
      <c r="P19" s="37"/>
      <c r="Q19" s="37"/>
      <c r="R19" s="37"/>
      <c r="S19" s="37"/>
      <c r="T19" s="37"/>
      <c r="U19" s="37"/>
      <c r="V19" s="37"/>
      <c r="W19" s="37"/>
      <c r="X19" s="37"/>
      <c r="Y19" s="37"/>
      <c r="Z19" s="37"/>
      <c r="AA19" s="37"/>
      <c r="AB19" s="37"/>
      <c r="AC19" s="37"/>
      <c r="AD19" s="37"/>
      <c r="AE19" s="37"/>
      <c r="AF19" s="37"/>
      <c r="AG19" s="37"/>
      <c r="AH19" s="37"/>
      <c r="AI19" s="37"/>
      <c r="AJ19" s="37"/>
      <c r="AK19" s="37"/>
      <c r="AL19" s="37"/>
      <c r="AM19" s="37"/>
      <c r="AN19" s="37"/>
      <c r="AO19" s="37"/>
      <c r="AP19" s="37"/>
      <c r="AQ19" s="37"/>
      <c r="AR19" s="37"/>
      <c r="AS19" s="37"/>
      <c r="AT19" s="37"/>
      <c r="AU19" s="37"/>
      <c r="AV19" s="37"/>
      <c r="AW19" s="37"/>
      <c r="AX19" s="37"/>
      <c r="AY19" s="37"/>
      <c r="AZ19" s="37"/>
      <c r="BA19" s="37"/>
      <c r="BB19" s="37"/>
      <c r="BC19" s="37"/>
      <c r="BD19" s="37"/>
      <c r="BE19" s="37"/>
      <c r="BF19" s="37"/>
      <c r="BG19" s="37"/>
      <c r="BH19" s="37"/>
      <c r="BI19" s="37"/>
      <c r="BJ19" s="37"/>
      <c r="BK19" s="37"/>
      <c r="BL19" s="37"/>
      <c r="BM19" s="37"/>
    </row>
    <row r="20" spans="2:65" ht="21">
      <c r="B20" s="40" t="s">
        <v>560</v>
      </c>
      <c r="C20" s="37"/>
      <c r="D20" s="37"/>
      <c r="E20" s="37"/>
      <c r="F20" s="37"/>
      <c r="G20" s="37"/>
      <c r="H20" s="37"/>
      <c r="I20" s="37"/>
      <c r="J20" s="37"/>
      <c r="K20" s="37"/>
      <c r="L20" s="37"/>
      <c r="M20" s="37"/>
      <c r="N20" s="37"/>
      <c r="O20" s="37"/>
      <c r="P20" s="37"/>
      <c r="Q20" s="37"/>
      <c r="R20" s="37"/>
      <c r="S20" s="37"/>
      <c r="T20" s="37"/>
      <c r="U20" s="37"/>
      <c r="V20" s="37"/>
      <c r="W20" s="37"/>
      <c r="X20" s="37"/>
      <c r="Y20" s="37"/>
      <c r="Z20" s="37"/>
      <c r="AA20" s="37"/>
      <c r="AB20" s="37"/>
      <c r="AC20" s="37"/>
      <c r="AD20" s="37"/>
      <c r="AE20" s="37"/>
      <c r="AF20" s="37"/>
      <c r="AG20" s="37"/>
      <c r="AH20" s="37"/>
      <c r="AI20" s="37"/>
      <c r="AJ20" s="37"/>
      <c r="AK20" s="37"/>
      <c r="AL20" s="37"/>
      <c r="AM20" s="37"/>
      <c r="AN20" s="37"/>
      <c r="AO20" s="37"/>
      <c r="AP20" s="37"/>
      <c r="AQ20" s="37"/>
      <c r="AR20" s="37"/>
      <c r="AS20" s="37"/>
      <c r="AT20" s="37"/>
      <c r="AU20" s="37"/>
      <c r="AV20" s="37"/>
      <c r="AW20" s="37"/>
      <c r="AX20" s="37"/>
      <c r="AY20" s="37"/>
      <c r="AZ20" s="37"/>
      <c r="BA20" s="37"/>
      <c r="BB20" s="37"/>
      <c r="BC20" s="37"/>
      <c r="BD20" s="37"/>
      <c r="BE20" s="37"/>
      <c r="BF20" s="37"/>
      <c r="BG20" s="37"/>
      <c r="BH20" s="37"/>
      <c r="BI20" s="37"/>
      <c r="BJ20" s="37"/>
      <c r="BK20" s="37"/>
      <c r="BL20" s="37"/>
      <c r="BM20" s="37"/>
    </row>
    <row r="21" spans="2:65" ht="15" customHeight="1">
      <c r="B21" s="118" t="s">
        <v>140</v>
      </c>
      <c r="C21" s="37"/>
      <c r="D21" s="37"/>
      <c r="E21" s="37"/>
      <c r="F21" s="37"/>
      <c r="G21" s="37"/>
      <c r="H21" s="37"/>
      <c r="I21" s="37"/>
      <c r="J21" s="37"/>
      <c r="K21" s="37"/>
      <c r="L21" s="37"/>
      <c r="M21" s="37"/>
      <c r="N21" s="37"/>
      <c r="O21" s="37"/>
      <c r="P21" s="37"/>
      <c r="Q21" s="37"/>
      <c r="R21" s="37"/>
      <c r="S21" s="37"/>
      <c r="T21" s="37"/>
      <c r="U21" s="37"/>
      <c r="V21" s="37"/>
      <c r="W21" s="37"/>
      <c r="X21" s="37"/>
      <c r="Y21" s="37"/>
      <c r="Z21" s="37"/>
      <c r="AA21" s="37"/>
      <c r="AB21" s="37"/>
      <c r="AC21" s="37"/>
      <c r="AD21" s="37"/>
      <c r="AE21" s="37"/>
      <c r="AF21" s="37"/>
      <c r="AG21" s="37"/>
      <c r="AH21" s="37"/>
      <c r="AI21" s="37"/>
      <c r="AJ21" s="37"/>
      <c r="AK21" s="37"/>
      <c r="AL21" s="37"/>
      <c r="AM21" s="37"/>
      <c r="AN21" s="37"/>
      <c r="AO21" s="37"/>
      <c r="AP21" s="37"/>
      <c r="AQ21" s="37"/>
      <c r="AR21" s="37"/>
      <c r="AS21" s="37"/>
      <c r="AT21" s="37"/>
      <c r="AU21" s="37"/>
      <c r="AV21" s="37"/>
      <c r="AW21" s="37"/>
      <c r="AX21" s="37"/>
      <c r="AY21" s="37"/>
      <c r="AZ21" s="37"/>
      <c r="BA21" s="37"/>
      <c r="BB21" s="37"/>
      <c r="BC21" s="37"/>
      <c r="BD21" s="37"/>
      <c r="BE21" s="37"/>
      <c r="BF21" s="37"/>
      <c r="BG21" s="37"/>
      <c r="BH21" s="37"/>
      <c r="BI21" s="37"/>
      <c r="BJ21" s="37"/>
      <c r="BK21" s="37"/>
      <c r="BL21" s="37"/>
      <c r="BM21" s="37"/>
    </row>
    <row r="22" spans="2:65" ht="15" customHeight="1">
      <c r="B22" s="112" t="str">
        <f>"Заём "&amp;IF(ISNUMBER(SEARCH("РФРП",Программа)),"ФРП и РФРП","ФРП")</f>
        <v>Заём ФРП</v>
      </c>
      <c r="C22" s="113" t="str">
        <f t="shared" ref="C22:C26" si="38">Единица_измерения</f>
        <v>тыс. руб.</v>
      </c>
      <c r="D22" s="114"/>
      <c r="E22" s="114">
        <f>LOOKUP(E$8,Финансирование!$E$8:$BM$8,Финансирование!$E$19:$BM$19)</f>
        <v>100000</v>
      </c>
      <c r="F22" s="114">
        <f>LOOKUP(F$8,Финансирование!$E$8:$BM$8,Финансирование!$E$19:$BM$19)</f>
        <v>100000</v>
      </c>
      <c r="G22" s="114">
        <f>LOOKUP(G$8,Финансирование!$E$8:$BM$8,Финансирование!$E$19:$BM$19)</f>
        <v>100000</v>
      </c>
      <c r="H22" s="114">
        <f>LOOKUP(H$8,Финансирование!$E$8:$BM$8,Финансирование!$E$19:$BM$19)</f>
        <v>100000</v>
      </c>
      <c r="I22" s="114">
        <f>LOOKUP(I$8,Финансирование!$E$8:$BM$8,Финансирование!$E$19:$BM$19)</f>
        <v>50000</v>
      </c>
      <c r="J22" s="114">
        <f>LOOKUP(J$8,Финансирование!$E$8:$BM$8,Финансирование!$E$19:$BM$19)</f>
        <v>0</v>
      </c>
      <c r="K22" s="114">
        <f>LOOKUP(K$8,Финансирование!$E$8:$BM$8,Финансирование!$E$19:$BM$19)</f>
        <v>0</v>
      </c>
      <c r="L22" s="114">
        <f>LOOKUP(L$8,Финансирование!$E$8:$BM$8,Финансирование!$E$19:$BM$19)</f>
        <v>0</v>
      </c>
      <c r="M22" s="114">
        <f>LOOKUP(M$8,Финансирование!$E$8:$BM$8,Финансирование!$E$19:$BM$19)</f>
        <v>0</v>
      </c>
      <c r="N22" s="114">
        <f>LOOKUP(N$8,Финансирование!$E$8:$BM$8,Финансирование!$E$19:$BM$19)</f>
        <v>0</v>
      </c>
      <c r="O22" s="114">
        <f>LOOKUP(O$8,Финансирование!$E$8:$BM$8,Финансирование!$E$19:$BM$19)</f>
        <v>0</v>
      </c>
      <c r="P22" s="114">
        <f>LOOKUP(P$8,Финансирование!$E$8:$BM$8,Финансирование!$E$19:$BM$19)</f>
        <v>0</v>
      </c>
      <c r="Q22" s="114">
        <f>LOOKUP(Q$8,Финансирование!$E$8:$BM$8,Финансирование!$E$19:$BM$19)</f>
        <v>0</v>
      </c>
      <c r="R22" s="114">
        <f>LOOKUP(R$8,Финансирование!$E$8:$BM$8,Финансирование!$E$19:$BM$19)</f>
        <v>0</v>
      </c>
      <c r="S22" s="114">
        <f>LOOKUP(S$8,Финансирование!$E$8:$BM$8,Финансирование!$E$19:$BM$19)</f>
        <v>0</v>
      </c>
      <c r="T22" s="114">
        <f>LOOKUP(T$8,Финансирование!$E$8:$BM$8,Финансирование!$E$19:$BM$19)</f>
        <v>0</v>
      </c>
      <c r="U22" s="114" t="e">
        <f>LOOKUP(U$8,Финансирование!$E$8:$BM$8,Финансирование!$E$19:$BM$19)</f>
        <v>#N/A</v>
      </c>
      <c r="V22" s="114" t="e">
        <f>LOOKUP(V$8,Финансирование!$E$8:$BM$8,Финансирование!$E$19:$BM$19)</f>
        <v>#N/A</v>
      </c>
      <c r="W22" s="114" t="e">
        <f>LOOKUP(W$8,Финансирование!$E$8:$BM$8,Финансирование!$E$19:$BM$19)</f>
        <v>#N/A</v>
      </c>
      <c r="X22" s="114" t="e">
        <f>LOOKUP(X$8,Финансирование!$E$8:$BM$8,Финансирование!$E$19:$BM$19)</f>
        <v>#N/A</v>
      </c>
      <c r="Y22" s="114" t="e">
        <f>LOOKUP(Y$8,Финансирование!$E$8:$BM$8,Финансирование!$E$19:$BM$19)</f>
        <v>#N/A</v>
      </c>
      <c r="Z22" s="114" t="e">
        <f>LOOKUP(Z$8,Финансирование!$E$8:$BM$8,Финансирование!$E$19:$BM$19)</f>
        <v>#N/A</v>
      </c>
      <c r="AA22" s="114" t="e">
        <f>LOOKUP(AA$8,Финансирование!$E$8:$BM$8,Финансирование!$E$19:$BM$19)</f>
        <v>#N/A</v>
      </c>
      <c r="AB22" s="114" t="e">
        <f>LOOKUP(AB$8,Финансирование!$E$8:$BM$8,Финансирование!$E$19:$BM$19)</f>
        <v>#N/A</v>
      </c>
      <c r="AC22" s="114" t="e">
        <f>LOOKUP(AC$8,Финансирование!$E$8:$BM$8,Финансирование!$E$19:$BM$19)</f>
        <v>#N/A</v>
      </c>
      <c r="AD22" s="114" t="e">
        <f>LOOKUP(AD$8,Финансирование!$E$8:$BM$8,Финансирование!$E$19:$BM$19)</f>
        <v>#N/A</v>
      </c>
      <c r="AE22" s="114" t="e">
        <f>LOOKUP(AE$8,Финансирование!$E$8:$BM$8,Финансирование!$E$19:$BM$19)</f>
        <v>#N/A</v>
      </c>
      <c r="AF22" s="114" t="e">
        <f>LOOKUP(AF$8,Финансирование!$E$8:$BM$8,Финансирование!$E$19:$BM$19)</f>
        <v>#N/A</v>
      </c>
      <c r="AG22" s="114" t="e">
        <f>LOOKUP(AG$8,Финансирование!$E$8:$BM$8,Финансирование!$E$19:$BM$19)</f>
        <v>#N/A</v>
      </c>
      <c r="AH22" s="114" t="e">
        <f>LOOKUP(AH$8,Финансирование!$E$8:$BM$8,Финансирование!$E$19:$BM$19)</f>
        <v>#N/A</v>
      </c>
      <c r="AI22" s="114" t="e">
        <f>LOOKUP(AI$8,Финансирование!$E$8:$BM$8,Финансирование!$E$19:$BM$19)</f>
        <v>#N/A</v>
      </c>
      <c r="AJ22" s="114" t="e">
        <f>LOOKUP(AJ$8,Финансирование!$E$8:$BM$8,Финансирование!$E$19:$BM$19)</f>
        <v>#N/A</v>
      </c>
      <c r="AK22" s="114" t="e">
        <f>LOOKUP(AK$8,Финансирование!$E$8:$BM$8,Финансирование!$E$19:$BM$19)</f>
        <v>#N/A</v>
      </c>
      <c r="AL22" s="114" t="e">
        <f>LOOKUP(AL$8,Финансирование!$E$8:$BM$8,Финансирование!$E$19:$BM$19)</f>
        <v>#N/A</v>
      </c>
      <c r="AM22" s="114" t="e">
        <f>LOOKUP(AM$8,Финансирование!$E$8:$BM$8,Финансирование!$E$19:$BM$19)</f>
        <v>#N/A</v>
      </c>
      <c r="AN22" s="114" t="e">
        <f>LOOKUP(AN$8,Финансирование!$E$8:$BM$8,Финансирование!$E$19:$BM$19)</f>
        <v>#N/A</v>
      </c>
      <c r="AO22" s="114" t="e">
        <f>LOOKUP(AO$8,Финансирование!$E$8:$BM$8,Финансирование!$E$19:$BM$19)</f>
        <v>#N/A</v>
      </c>
      <c r="AP22" s="114" t="e">
        <f>LOOKUP(AP$8,Финансирование!$E$8:$BM$8,Финансирование!$E$19:$BM$19)</f>
        <v>#N/A</v>
      </c>
      <c r="AQ22" s="114" t="e">
        <f>LOOKUP(AQ$8,Финансирование!$E$8:$BM$8,Финансирование!$E$19:$BM$19)</f>
        <v>#N/A</v>
      </c>
      <c r="AR22" s="114" t="e">
        <f>LOOKUP(AR$8,Финансирование!$E$8:$BM$8,Финансирование!$E$19:$BM$19)</f>
        <v>#N/A</v>
      </c>
      <c r="AS22" s="114" t="e">
        <f>LOOKUP(AS$8,Финансирование!$E$8:$BM$8,Финансирование!$E$19:$BM$19)</f>
        <v>#N/A</v>
      </c>
      <c r="AT22" s="114" t="e">
        <f>LOOKUP(AT$8,Финансирование!$E$8:$BM$8,Финансирование!$E$19:$BM$19)</f>
        <v>#N/A</v>
      </c>
      <c r="AU22" s="114" t="e">
        <f>LOOKUP(AU$8,Финансирование!$E$8:$BM$8,Финансирование!$E$19:$BM$19)</f>
        <v>#N/A</v>
      </c>
      <c r="AV22" s="114" t="e">
        <f>LOOKUP(AV$8,Финансирование!$E$8:$BM$8,Финансирование!$E$19:$BM$19)</f>
        <v>#N/A</v>
      </c>
      <c r="AW22" s="114" t="e">
        <f>LOOKUP(AW$8,Финансирование!$E$8:$BM$8,Финансирование!$E$19:$BM$19)</f>
        <v>#N/A</v>
      </c>
      <c r="AX22" s="114" t="e">
        <f>LOOKUP(AX$8,Финансирование!$E$8:$BM$8,Финансирование!$E$19:$BM$19)</f>
        <v>#N/A</v>
      </c>
      <c r="AY22" s="114" t="e">
        <f>LOOKUP(AY$8,Финансирование!$E$8:$BM$8,Финансирование!$E$19:$BM$19)</f>
        <v>#N/A</v>
      </c>
      <c r="AZ22" s="114" t="e">
        <f>LOOKUP(AZ$8,Финансирование!$E$8:$BM$8,Финансирование!$E$19:$BM$19)</f>
        <v>#N/A</v>
      </c>
      <c r="BA22" s="114" t="e">
        <f>LOOKUP(BA$8,Финансирование!$E$8:$BM$8,Финансирование!$E$19:$BM$19)</f>
        <v>#N/A</v>
      </c>
      <c r="BB22" s="114" t="e">
        <f>LOOKUP(BB$8,Финансирование!$E$8:$BM$8,Финансирование!$E$19:$BM$19)</f>
        <v>#N/A</v>
      </c>
      <c r="BC22" s="114" t="e">
        <f>LOOKUP(BC$8,Финансирование!$E$8:$BM$8,Финансирование!$E$19:$BM$19)</f>
        <v>#N/A</v>
      </c>
      <c r="BD22" s="114" t="e">
        <f>LOOKUP(BD$8,Финансирование!$E$8:$BM$8,Финансирование!$E$19:$BM$19)</f>
        <v>#N/A</v>
      </c>
      <c r="BE22" s="114" t="e">
        <f>LOOKUP(BE$8,Финансирование!$E$8:$BM$8,Финансирование!$E$19:$BM$19)</f>
        <v>#N/A</v>
      </c>
      <c r="BF22" s="114" t="e">
        <f>LOOKUP(BF$8,Финансирование!$E$8:$BM$8,Финансирование!$E$19:$BM$19)</f>
        <v>#N/A</v>
      </c>
      <c r="BG22" s="114" t="e">
        <f>LOOKUP(BG$8,Финансирование!$E$8:$BM$8,Финансирование!$E$19:$BM$19)</f>
        <v>#N/A</v>
      </c>
      <c r="BH22" s="114" t="e">
        <f>LOOKUP(BH$8,Финансирование!$E$8:$BM$8,Финансирование!$E$19:$BM$19)</f>
        <v>#N/A</v>
      </c>
      <c r="BI22" s="114" t="e">
        <f>LOOKUP(BI$8,Финансирование!$E$8:$BM$8,Финансирование!$E$19:$BM$19)</f>
        <v>#N/A</v>
      </c>
      <c r="BJ22" s="114" t="e">
        <f>LOOKUP(BJ$8,Финансирование!$E$8:$BM$8,Финансирование!$E$19:$BM$19)</f>
        <v>#N/A</v>
      </c>
      <c r="BK22" s="114" t="e">
        <f>LOOKUP(BK$8,Финансирование!$E$8:$BM$8,Финансирование!$E$19:$BM$19)</f>
        <v>#N/A</v>
      </c>
      <c r="BL22" s="114" t="e">
        <f>LOOKUP(BL$8,Финансирование!$E$8:$BM$8,Финансирование!$E$19:$BM$19)</f>
        <v>#N/A</v>
      </c>
      <c r="BM22" s="114" t="e">
        <f>LOOKUP(BM$8,Финансирование!$E$8:$BM$8,Финансирование!$E$19:$BM$19)</f>
        <v>#N/A</v>
      </c>
    </row>
    <row r="23" spans="2:65" ht="15" customHeight="1">
      <c r="B23" s="112" t="str">
        <f>IF(ISBLANK(Предпосылки!$C$194),"Заём бенефициара/аффилированных лиц",Предпосылки!$C$194&amp;" (Проект)")</f>
        <v>Заём бенефициара/аффилированных лиц</v>
      </c>
      <c r="C23" s="113" t="str">
        <f t="shared" si="38"/>
        <v>тыс. руб.</v>
      </c>
      <c r="D23" s="114"/>
      <c r="E23" s="114">
        <f>LOOKUP(E$8,Финансирование!$E$8:$BM$8,Финансирование!$E$32:$BM$32)</f>
        <v>0</v>
      </c>
      <c r="F23" s="114">
        <f>LOOKUP(F$8,Финансирование!$E$8:$BM$8,Финансирование!$E$32:$BM$32)</f>
        <v>0</v>
      </c>
      <c r="G23" s="114">
        <f>LOOKUP(G$8,Финансирование!$E$8:$BM$8,Финансирование!$E$32:$BM$32)</f>
        <v>0</v>
      </c>
      <c r="H23" s="114">
        <f>LOOKUP(H$8,Финансирование!$E$8:$BM$8,Финансирование!$E$32:$BM$32)</f>
        <v>0</v>
      </c>
      <c r="I23" s="114">
        <f>LOOKUP(I$8,Финансирование!$E$8:$BM$8,Финансирование!$E$32:$BM$32)</f>
        <v>0</v>
      </c>
      <c r="J23" s="114">
        <f>LOOKUP(J$8,Финансирование!$E$8:$BM$8,Финансирование!$E$32:$BM$32)</f>
        <v>0</v>
      </c>
      <c r="K23" s="114">
        <f>LOOKUP(K$8,Финансирование!$E$8:$BM$8,Финансирование!$E$32:$BM$32)</f>
        <v>0</v>
      </c>
      <c r="L23" s="114">
        <f>LOOKUP(L$8,Финансирование!$E$8:$BM$8,Финансирование!$E$32:$BM$32)</f>
        <v>0</v>
      </c>
      <c r="M23" s="114">
        <f>LOOKUP(M$8,Финансирование!$E$8:$BM$8,Финансирование!$E$32:$BM$32)</f>
        <v>0</v>
      </c>
      <c r="N23" s="114">
        <f>LOOKUP(N$8,Финансирование!$E$8:$BM$8,Финансирование!$E$32:$BM$32)</f>
        <v>0</v>
      </c>
      <c r="O23" s="114">
        <f>LOOKUP(O$8,Финансирование!$E$8:$BM$8,Финансирование!$E$32:$BM$32)</f>
        <v>0</v>
      </c>
      <c r="P23" s="114">
        <f>LOOKUP(P$8,Финансирование!$E$8:$BM$8,Финансирование!$E$32:$BM$32)</f>
        <v>0</v>
      </c>
      <c r="Q23" s="114">
        <f>LOOKUP(Q$8,Финансирование!$E$8:$BM$8,Финансирование!$E$32:$BM$32)</f>
        <v>0</v>
      </c>
      <c r="R23" s="114">
        <f>LOOKUP(R$8,Финансирование!$E$8:$BM$8,Финансирование!$E$32:$BM$32)</f>
        <v>0</v>
      </c>
      <c r="S23" s="114">
        <f>LOOKUP(S$8,Финансирование!$E$8:$BM$8,Финансирование!$E$32:$BM$32)</f>
        <v>0</v>
      </c>
      <c r="T23" s="114">
        <f>LOOKUP(T$8,Финансирование!$E$8:$BM$8,Финансирование!$E$32:$BM$32)</f>
        <v>0</v>
      </c>
      <c r="U23" s="114" t="e">
        <f>LOOKUP(U$8,Финансирование!$E$8:$BM$8,Финансирование!$E$32:$BM$32)</f>
        <v>#N/A</v>
      </c>
      <c r="V23" s="114" t="e">
        <f>LOOKUP(V$8,Финансирование!$E$8:$BM$8,Финансирование!$E$32:$BM$32)</f>
        <v>#N/A</v>
      </c>
      <c r="W23" s="114" t="e">
        <f>LOOKUP(W$8,Финансирование!$E$8:$BM$8,Финансирование!$E$32:$BM$32)</f>
        <v>#N/A</v>
      </c>
      <c r="X23" s="114" t="e">
        <f>LOOKUP(X$8,Финансирование!$E$8:$BM$8,Финансирование!$E$32:$BM$32)</f>
        <v>#N/A</v>
      </c>
      <c r="Y23" s="114" t="e">
        <f>LOOKUP(Y$8,Финансирование!$E$8:$BM$8,Финансирование!$E$32:$BM$32)</f>
        <v>#N/A</v>
      </c>
      <c r="Z23" s="114" t="e">
        <f>LOOKUP(Z$8,Финансирование!$E$8:$BM$8,Финансирование!$E$32:$BM$32)</f>
        <v>#N/A</v>
      </c>
      <c r="AA23" s="114" t="e">
        <f>LOOKUP(AA$8,Финансирование!$E$8:$BM$8,Финансирование!$E$32:$BM$32)</f>
        <v>#N/A</v>
      </c>
      <c r="AB23" s="114" t="e">
        <f>LOOKUP(AB$8,Финансирование!$E$8:$BM$8,Финансирование!$E$32:$BM$32)</f>
        <v>#N/A</v>
      </c>
      <c r="AC23" s="114" t="e">
        <f>LOOKUP(AC$8,Финансирование!$E$8:$BM$8,Финансирование!$E$32:$BM$32)</f>
        <v>#N/A</v>
      </c>
      <c r="AD23" s="114" t="e">
        <f>LOOKUP(AD$8,Финансирование!$E$8:$BM$8,Финансирование!$E$32:$BM$32)</f>
        <v>#N/A</v>
      </c>
      <c r="AE23" s="114" t="e">
        <f>LOOKUP(AE$8,Финансирование!$E$8:$BM$8,Финансирование!$E$32:$BM$32)</f>
        <v>#N/A</v>
      </c>
      <c r="AF23" s="114" t="e">
        <f>LOOKUP(AF$8,Финансирование!$E$8:$BM$8,Финансирование!$E$32:$BM$32)</f>
        <v>#N/A</v>
      </c>
      <c r="AG23" s="114" t="e">
        <f>LOOKUP(AG$8,Финансирование!$E$8:$BM$8,Финансирование!$E$32:$BM$32)</f>
        <v>#N/A</v>
      </c>
      <c r="AH23" s="114" t="e">
        <f>LOOKUP(AH$8,Финансирование!$E$8:$BM$8,Финансирование!$E$32:$BM$32)</f>
        <v>#N/A</v>
      </c>
      <c r="AI23" s="114" t="e">
        <f>LOOKUP(AI$8,Финансирование!$E$8:$BM$8,Финансирование!$E$32:$BM$32)</f>
        <v>#N/A</v>
      </c>
      <c r="AJ23" s="114" t="e">
        <f>LOOKUP(AJ$8,Финансирование!$E$8:$BM$8,Финансирование!$E$32:$BM$32)</f>
        <v>#N/A</v>
      </c>
      <c r="AK23" s="114" t="e">
        <f>LOOKUP(AK$8,Финансирование!$E$8:$BM$8,Финансирование!$E$32:$BM$32)</f>
        <v>#N/A</v>
      </c>
      <c r="AL23" s="114" t="e">
        <f>LOOKUP(AL$8,Финансирование!$E$8:$BM$8,Финансирование!$E$32:$BM$32)</f>
        <v>#N/A</v>
      </c>
      <c r="AM23" s="114" t="e">
        <f>LOOKUP(AM$8,Финансирование!$E$8:$BM$8,Финансирование!$E$32:$BM$32)</f>
        <v>#N/A</v>
      </c>
      <c r="AN23" s="114" t="e">
        <f>LOOKUP(AN$8,Финансирование!$E$8:$BM$8,Финансирование!$E$32:$BM$32)</f>
        <v>#N/A</v>
      </c>
      <c r="AO23" s="114" t="e">
        <f>LOOKUP(AO$8,Финансирование!$E$8:$BM$8,Финансирование!$E$32:$BM$32)</f>
        <v>#N/A</v>
      </c>
      <c r="AP23" s="114" t="e">
        <f>LOOKUP(AP$8,Финансирование!$E$8:$BM$8,Финансирование!$E$32:$BM$32)</f>
        <v>#N/A</v>
      </c>
      <c r="AQ23" s="114" t="e">
        <f>LOOKUP(AQ$8,Финансирование!$E$8:$BM$8,Финансирование!$E$32:$BM$32)</f>
        <v>#N/A</v>
      </c>
      <c r="AR23" s="114" t="e">
        <f>LOOKUP(AR$8,Финансирование!$E$8:$BM$8,Финансирование!$E$32:$BM$32)</f>
        <v>#N/A</v>
      </c>
      <c r="AS23" s="114" t="e">
        <f>LOOKUP(AS$8,Финансирование!$E$8:$BM$8,Финансирование!$E$32:$BM$32)</f>
        <v>#N/A</v>
      </c>
      <c r="AT23" s="114" t="e">
        <f>LOOKUP(AT$8,Финансирование!$E$8:$BM$8,Финансирование!$E$32:$BM$32)</f>
        <v>#N/A</v>
      </c>
      <c r="AU23" s="114" t="e">
        <f>LOOKUP(AU$8,Финансирование!$E$8:$BM$8,Финансирование!$E$32:$BM$32)</f>
        <v>#N/A</v>
      </c>
      <c r="AV23" s="114" t="e">
        <f>LOOKUP(AV$8,Финансирование!$E$8:$BM$8,Финансирование!$E$32:$BM$32)</f>
        <v>#N/A</v>
      </c>
      <c r="AW23" s="114" t="e">
        <f>LOOKUP(AW$8,Финансирование!$E$8:$BM$8,Финансирование!$E$32:$BM$32)</f>
        <v>#N/A</v>
      </c>
      <c r="AX23" s="114" t="e">
        <f>LOOKUP(AX$8,Финансирование!$E$8:$BM$8,Финансирование!$E$32:$BM$32)</f>
        <v>#N/A</v>
      </c>
      <c r="AY23" s="114" t="e">
        <f>LOOKUP(AY$8,Финансирование!$E$8:$BM$8,Финансирование!$E$32:$BM$32)</f>
        <v>#N/A</v>
      </c>
      <c r="AZ23" s="114" t="e">
        <f>LOOKUP(AZ$8,Финансирование!$E$8:$BM$8,Финансирование!$E$32:$BM$32)</f>
        <v>#N/A</v>
      </c>
      <c r="BA23" s="114" t="e">
        <f>LOOKUP(BA$8,Финансирование!$E$8:$BM$8,Финансирование!$E$32:$BM$32)</f>
        <v>#N/A</v>
      </c>
      <c r="BB23" s="114" t="e">
        <f>LOOKUP(BB$8,Финансирование!$E$8:$BM$8,Финансирование!$E$32:$BM$32)</f>
        <v>#N/A</v>
      </c>
      <c r="BC23" s="114" t="e">
        <f>LOOKUP(BC$8,Финансирование!$E$8:$BM$8,Финансирование!$E$32:$BM$32)</f>
        <v>#N/A</v>
      </c>
      <c r="BD23" s="114" t="e">
        <f>LOOKUP(BD$8,Финансирование!$E$8:$BM$8,Финансирование!$E$32:$BM$32)</f>
        <v>#N/A</v>
      </c>
      <c r="BE23" s="114" t="e">
        <f>LOOKUP(BE$8,Финансирование!$E$8:$BM$8,Финансирование!$E$32:$BM$32)</f>
        <v>#N/A</v>
      </c>
      <c r="BF23" s="114" t="e">
        <f>LOOKUP(BF$8,Финансирование!$E$8:$BM$8,Финансирование!$E$32:$BM$32)</f>
        <v>#N/A</v>
      </c>
      <c r="BG23" s="114" t="e">
        <f>LOOKUP(BG$8,Финансирование!$E$8:$BM$8,Финансирование!$E$32:$BM$32)</f>
        <v>#N/A</v>
      </c>
      <c r="BH23" s="114" t="e">
        <f>LOOKUP(BH$8,Финансирование!$E$8:$BM$8,Финансирование!$E$32:$BM$32)</f>
        <v>#N/A</v>
      </c>
      <c r="BI23" s="114" t="e">
        <f>LOOKUP(BI$8,Финансирование!$E$8:$BM$8,Финансирование!$E$32:$BM$32)</f>
        <v>#N/A</v>
      </c>
      <c r="BJ23" s="114" t="e">
        <f>LOOKUP(BJ$8,Финансирование!$E$8:$BM$8,Финансирование!$E$32:$BM$32)</f>
        <v>#N/A</v>
      </c>
      <c r="BK23" s="114" t="e">
        <f>LOOKUP(BK$8,Финансирование!$E$8:$BM$8,Финансирование!$E$32:$BM$32)</f>
        <v>#N/A</v>
      </c>
      <c r="BL23" s="114" t="e">
        <f>LOOKUP(BL$8,Финансирование!$E$8:$BM$8,Финансирование!$E$32:$BM$32)</f>
        <v>#N/A</v>
      </c>
      <c r="BM23" s="114" t="e">
        <f>LOOKUP(BM$8,Финансирование!$E$8:$BM$8,Финансирование!$E$32:$BM$32)</f>
        <v>#N/A</v>
      </c>
    </row>
    <row r="24" spans="2:65" ht="15" customHeight="1">
      <c r="B24" s="112" t="str">
        <f>IF(ISBLANK(Предпосылки!$C$209),"Кредит/заём с графиком (Проект)",Предпосылки!$C$209&amp;" (Проект)")</f>
        <v>Кредит/заём с графиком (Проект)</v>
      </c>
      <c r="C24" s="113" t="str">
        <f t="shared" si="38"/>
        <v>тыс. руб.</v>
      </c>
      <c r="D24" s="114"/>
      <c r="E24" s="114">
        <f>LOOKUP(E$8,Финансирование!$E$8:$BM$8,Финансирование!$E$47:$BM$47)</f>
        <v>0</v>
      </c>
      <c r="F24" s="114">
        <f>LOOKUP(F$8,Финансирование!$E$8:$BM$8,Финансирование!$E$47:$BM$47)</f>
        <v>0</v>
      </c>
      <c r="G24" s="114">
        <f>LOOKUP(G$8,Финансирование!$E$8:$BM$8,Финансирование!$E$47:$BM$47)</f>
        <v>0</v>
      </c>
      <c r="H24" s="114">
        <f>LOOKUP(H$8,Финансирование!$E$8:$BM$8,Финансирование!$E$47:$BM$47)</f>
        <v>0</v>
      </c>
      <c r="I24" s="114">
        <f>LOOKUP(I$8,Финансирование!$E$8:$BM$8,Финансирование!$E$47:$BM$47)</f>
        <v>0</v>
      </c>
      <c r="J24" s="114">
        <f>LOOKUP(J$8,Финансирование!$E$8:$BM$8,Финансирование!$E$47:$BM$47)</f>
        <v>0</v>
      </c>
      <c r="K24" s="114">
        <f>LOOKUP(K$8,Финансирование!$E$8:$BM$8,Финансирование!$E$47:$BM$47)</f>
        <v>0</v>
      </c>
      <c r="L24" s="114">
        <f>LOOKUP(L$8,Финансирование!$E$8:$BM$8,Финансирование!$E$47:$BM$47)</f>
        <v>0</v>
      </c>
      <c r="M24" s="114">
        <f>LOOKUP(M$8,Финансирование!$E$8:$BM$8,Финансирование!$E$47:$BM$47)</f>
        <v>0</v>
      </c>
      <c r="N24" s="114">
        <f>LOOKUP(N$8,Финансирование!$E$8:$BM$8,Финансирование!$E$47:$BM$47)</f>
        <v>0</v>
      </c>
      <c r="O24" s="114">
        <f>LOOKUP(O$8,Финансирование!$E$8:$BM$8,Финансирование!$E$47:$BM$47)</f>
        <v>0</v>
      </c>
      <c r="P24" s="114">
        <f>LOOKUP(P$8,Финансирование!$E$8:$BM$8,Финансирование!$E$47:$BM$47)</f>
        <v>0</v>
      </c>
      <c r="Q24" s="114">
        <f>LOOKUP(Q$8,Финансирование!$E$8:$BM$8,Финансирование!$E$47:$BM$47)</f>
        <v>0</v>
      </c>
      <c r="R24" s="114">
        <f>LOOKUP(R$8,Финансирование!$E$8:$BM$8,Финансирование!$E$47:$BM$47)</f>
        <v>0</v>
      </c>
      <c r="S24" s="114">
        <f>LOOKUP(S$8,Финансирование!$E$8:$BM$8,Финансирование!$E$47:$BM$47)</f>
        <v>0</v>
      </c>
      <c r="T24" s="114">
        <f>LOOKUP(T$8,Финансирование!$E$8:$BM$8,Финансирование!$E$47:$BM$47)</f>
        <v>0</v>
      </c>
      <c r="U24" s="114" t="e">
        <f>LOOKUP(U$8,Финансирование!$E$8:$BM$8,Финансирование!$E$47:$BM$47)</f>
        <v>#N/A</v>
      </c>
      <c r="V24" s="114" t="e">
        <f>LOOKUP(V$8,Финансирование!$E$8:$BM$8,Финансирование!$E$47:$BM$47)</f>
        <v>#N/A</v>
      </c>
      <c r="W24" s="114" t="e">
        <f>LOOKUP(W$8,Финансирование!$E$8:$BM$8,Финансирование!$E$47:$BM$47)</f>
        <v>#N/A</v>
      </c>
      <c r="X24" s="114" t="e">
        <f>LOOKUP(X$8,Финансирование!$E$8:$BM$8,Финансирование!$E$47:$BM$47)</f>
        <v>#N/A</v>
      </c>
      <c r="Y24" s="114" t="e">
        <f>LOOKUP(Y$8,Финансирование!$E$8:$BM$8,Финансирование!$E$47:$BM$47)</f>
        <v>#N/A</v>
      </c>
      <c r="Z24" s="114" t="e">
        <f>LOOKUP(Z$8,Финансирование!$E$8:$BM$8,Финансирование!$E$47:$BM$47)</f>
        <v>#N/A</v>
      </c>
      <c r="AA24" s="114" t="e">
        <f>LOOKUP(AA$8,Финансирование!$E$8:$BM$8,Финансирование!$E$47:$BM$47)</f>
        <v>#N/A</v>
      </c>
      <c r="AB24" s="114" t="e">
        <f>LOOKUP(AB$8,Финансирование!$E$8:$BM$8,Финансирование!$E$47:$BM$47)</f>
        <v>#N/A</v>
      </c>
      <c r="AC24" s="114" t="e">
        <f>LOOKUP(AC$8,Финансирование!$E$8:$BM$8,Финансирование!$E$47:$BM$47)</f>
        <v>#N/A</v>
      </c>
      <c r="AD24" s="114" t="e">
        <f>LOOKUP(AD$8,Финансирование!$E$8:$BM$8,Финансирование!$E$47:$BM$47)</f>
        <v>#N/A</v>
      </c>
      <c r="AE24" s="114" t="e">
        <f>LOOKUP(AE$8,Финансирование!$E$8:$BM$8,Финансирование!$E$47:$BM$47)</f>
        <v>#N/A</v>
      </c>
      <c r="AF24" s="114" t="e">
        <f>LOOKUP(AF$8,Финансирование!$E$8:$BM$8,Финансирование!$E$47:$BM$47)</f>
        <v>#N/A</v>
      </c>
      <c r="AG24" s="114" t="e">
        <f>LOOKUP(AG$8,Финансирование!$E$8:$BM$8,Финансирование!$E$47:$BM$47)</f>
        <v>#N/A</v>
      </c>
      <c r="AH24" s="114" t="e">
        <f>LOOKUP(AH$8,Финансирование!$E$8:$BM$8,Финансирование!$E$47:$BM$47)</f>
        <v>#N/A</v>
      </c>
      <c r="AI24" s="114" t="e">
        <f>LOOKUP(AI$8,Финансирование!$E$8:$BM$8,Финансирование!$E$47:$BM$47)</f>
        <v>#N/A</v>
      </c>
      <c r="AJ24" s="114" t="e">
        <f>LOOKUP(AJ$8,Финансирование!$E$8:$BM$8,Финансирование!$E$47:$BM$47)</f>
        <v>#N/A</v>
      </c>
      <c r="AK24" s="114" t="e">
        <f>LOOKUP(AK$8,Финансирование!$E$8:$BM$8,Финансирование!$E$47:$BM$47)</f>
        <v>#N/A</v>
      </c>
      <c r="AL24" s="114" t="e">
        <f>LOOKUP(AL$8,Финансирование!$E$8:$BM$8,Финансирование!$E$47:$BM$47)</f>
        <v>#N/A</v>
      </c>
      <c r="AM24" s="114" t="e">
        <f>LOOKUP(AM$8,Финансирование!$E$8:$BM$8,Финансирование!$E$47:$BM$47)</f>
        <v>#N/A</v>
      </c>
      <c r="AN24" s="114" t="e">
        <f>LOOKUP(AN$8,Финансирование!$E$8:$BM$8,Финансирование!$E$47:$BM$47)</f>
        <v>#N/A</v>
      </c>
      <c r="AO24" s="114" t="e">
        <f>LOOKUP(AO$8,Финансирование!$E$8:$BM$8,Финансирование!$E$47:$BM$47)</f>
        <v>#N/A</v>
      </c>
      <c r="AP24" s="114" t="e">
        <f>LOOKUP(AP$8,Финансирование!$E$8:$BM$8,Финансирование!$E$47:$BM$47)</f>
        <v>#N/A</v>
      </c>
      <c r="AQ24" s="114" t="e">
        <f>LOOKUP(AQ$8,Финансирование!$E$8:$BM$8,Финансирование!$E$47:$BM$47)</f>
        <v>#N/A</v>
      </c>
      <c r="AR24" s="114" t="e">
        <f>LOOKUP(AR$8,Финансирование!$E$8:$BM$8,Финансирование!$E$47:$BM$47)</f>
        <v>#N/A</v>
      </c>
      <c r="AS24" s="114" t="e">
        <f>LOOKUP(AS$8,Финансирование!$E$8:$BM$8,Финансирование!$E$47:$BM$47)</f>
        <v>#N/A</v>
      </c>
      <c r="AT24" s="114" t="e">
        <f>LOOKUP(AT$8,Финансирование!$E$8:$BM$8,Финансирование!$E$47:$BM$47)</f>
        <v>#N/A</v>
      </c>
      <c r="AU24" s="114" t="e">
        <f>LOOKUP(AU$8,Финансирование!$E$8:$BM$8,Финансирование!$E$47:$BM$47)</f>
        <v>#N/A</v>
      </c>
      <c r="AV24" s="114" t="e">
        <f>LOOKUP(AV$8,Финансирование!$E$8:$BM$8,Финансирование!$E$47:$BM$47)</f>
        <v>#N/A</v>
      </c>
      <c r="AW24" s="114" t="e">
        <f>LOOKUP(AW$8,Финансирование!$E$8:$BM$8,Финансирование!$E$47:$BM$47)</f>
        <v>#N/A</v>
      </c>
      <c r="AX24" s="114" t="e">
        <f>LOOKUP(AX$8,Финансирование!$E$8:$BM$8,Финансирование!$E$47:$BM$47)</f>
        <v>#N/A</v>
      </c>
      <c r="AY24" s="114" t="e">
        <f>LOOKUP(AY$8,Финансирование!$E$8:$BM$8,Финансирование!$E$47:$BM$47)</f>
        <v>#N/A</v>
      </c>
      <c r="AZ24" s="114" t="e">
        <f>LOOKUP(AZ$8,Финансирование!$E$8:$BM$8,Финансирование!$E$47:$BM$47)</f>
        <v>#N/A</v>
      </c>
      <c r="BA24" s="114" t="e">
        <f>LOOKUP(BA$8,Финансирование!$E$8:$BM$8,Финансирование!$E$47:$BM$47)</f>
        <v>#N/A</v>
      </c>
      <c r="BB24" s="114" t="e">
        <f>LOOKUP(BB$8,Финансирование!$E$8:$BM$8,Финансирование!$E$47:$BM$47)</f>
        <v>#N/A</v>
      </c>
      <c r="BC24" s="114" t="e">
        <f>LOOKUP(BC$8,Финансирование!$E$8:$BM$8,Финансирование!$E$47:$BM$47)</f>
        <v>#N/A</v>
      </c>
      <c r="BD24" s="114" t="e">
        <f>LOOKUP(BD$8,Финансирование!$E$8:$BM$8,Финансирование!$E$47:$BM$47)</f>
        <v>#N/A</v>
      </c>
      <c r="BE24" s="114" t="e">
        <f>LOOKUP(BE$8,Финансирование!$E$8:$BM$8,Финансирование!$E$47:$BM$47)</f>
        <v>#N/A</v>
      </c>
      <c r="BF24" s="114" t="e">
        <f>LOOKUP(BF$8,Финансирование!$E$8:$BM$8,Финансирование!$E$47:$BM$47)</f>
        <v>#N/A</v>
      </c>
      <c r="BG24" s="114" t="e">
        <f>LOOKUP(BG$8,Финансирование!$E$8:$BM$8,Финансирование!$E$47:$BM$47)</f>
        <v>#N/A</v>
      </c>
      <c r="BH24" s="114" t="e">
        <f>LOOKUP(BH$8,Финансирование!$E$8:$BM$8,Финансирование!$E$47:$BM$47)</f>
        <v>#N/A</v>
      </c>
      <c r="BI24" s="114" t="e">
        <f>LOOKUP(BI$8,Финансирование!$E$8:$BM$8,Финансирование!$E$47:$BM$47)</f>
        <v>#N/A</v>
      </c>
      <c r="BJ24" s="114" t="e">
        <f>LOOKUP(BJ$8,Финансирование!$E$8:$BM$8,Финансирование!$E$47:$BM$47)</f>
        <v>#N/A</v>
      </c>
      <c r="BK24" s="114" t="e">
        <f>LOOKUP(BK$8,Финансирование!$E$8:$BM$8,Финансирование!$E$47:$BM$47)</f>
        <v>#N/A</v>
      </c>
      <c r="BL24" s="114" t="e">
        <f>LOOKUP(BL$8,Финансирование!$E$8:$BM$8,Финансирование!$E$47:$BM$47)</f>
        <v>#N/A</v>
      </c>
      <c r="BM24" s="114" t="e">
        <f>LOOKUP(BM$8,Финансирование!$E$8:$BM$8,Финансирование!$E$47:$BM$47)</f>
        <v>#N/A</v>
      </c>
    </row>
    <row r="25" spans="2:65" ht="15" customHeight="1">
      <c r="B25" s="112" t="s">
        <v>232</v>
      </c>
      <c r="C25" s="113" t="str">
        <f t="shared" si="38"/>
        <v>тыс. руб.</v>
      </c>
      <c r="D25" s="114"/>
      <c r="E25" s="114">
        <f>SUM('Годовая отчетность'!E$130,'Годовая отчетность'!E$137)-E22-E23-E24</f>
        <v>-100000</v>
      </c>
      <c r="F25" s="114">
        <f>SUM('Годовая отчетность'!F$130,'Годовая отчетность'!F$137)-F22-F23-F24</f>
        <v>-100000</v>
      </c>
      <c r="G25" s="114">
        <f>SUM('Годовая отчетность'!G$130,'Годовая отчетность'!G$137)-G22-G23-G24</f>
        <v>-100000</v>
      </c>
      <c r="H25" s="114">
        <f>SUM('Годовая отчетность'!H$130,'Годовая отчетность'!H$137)-H22-H23-H24</f>
        <v>-100000</v>
      </c>
      <c r="I25" s="114">
        <f>SUM('Годовая отчетность'!I$130,'Годовая отчетность'!I$137)-I22-I23-I24</f>
        <v>-50000</v>
      </c>
      <c r="J25" s="114">
        <f>SUM('Годовая отчетность'!J$130,'Годовая отчетность'!J$137)-J22-J23-J24</f>
        <v>0</v>
      </c>
      <c r="K25" s="114">
        <f>SUM('Годовая отчетность'!K$130,'Годовая отчетность'!K$137)-K22-K23-K24</f>
        <v>0</v>
      </c>
      <c r="L25" s="114">
        <f>SUM('Годовая отчетность'!L$130,'Годовая отчетность'!L$137)-L22-L23-L24</f>
        <v>0</v>
      </c>
      <c r="M25" s="114">
        <f>SUM('Годовая отчетность'!M$130,'Годовая отчетность'!M$137)-M22-M23-M24</f>
        <v>0</v>
      </c>
      <c r="N25" s="114">
        <f>SUM('Годовая отчетность'!N$130,'Годовая отчетность'!N$137)-N22-N23-N24</f>
        <v>0</v>
      </c>
      <c r="O25" s="114">
        <f>SUM('Годовая отчетность'!O$130,'Годовая отчетность'!O$137)-O22-O23-O24</f>
        <v>0</v>
      </c>
      <c r="P25" s="114">
        <f>SUM('Годовая отчетность'!P$130,'Годовая отчетность'!P$137)-P22-P23-P24</f>
        <v>0</v>
      </c>
      <c r="Q25" s="114">
        <f>SUM('Годовая отчетность'!Q$130,'Годовая отчетность'!Q$137)-Q22-Q23-Q24</f>
        <v>0</v>
      </c>
      <c r="R25" s="114">
        <f>SUM('Годовая отчетность'!R$130,'Годовая отчетность'!R$137)-R22-R23-R24</f>
        <v>0</v>
      </c>
      <c r="S25" s="114">
        <f>SUM('Годовая отчетность'!S$130,'Годовая отчетность'!S$137)-S22-S23-S24</f>
        <v>0</v>
      </c>
      <c r="T25" s="114">
        <f>SUM('Годовая отчетность'!T$130,'Годовая отчетность'!T$137)-T22-T23-T24</f>
        <v>0</v>
      </c>
      <c r="U25" s="114" t="e">
        <f>SUM('Годовая отчетность'!U$130,'Годовая отчетность'!U$137)-U22-U23-U24</f>
        <v>#N/A</v>
      </c>
      <c r="V25" s="114" t="e">
        <f>SUM('Годовая отчетность'!V$130,'Годовая отчетность'!V$137)-V22-V23-V24</f>
        <v>#N/A</v>
      </c>
      <c r="W25" s="114" t="e">
        <f>SUM('Годовая отчетность'!W$130,'Годовая отчетность'!W$137)-W22-W23-W24</f>
        <v>#N/A</v>
      </c>
      <c r="X25" s="114" t="e">
        <f>SUM('Годовая отчетность'!X$130,'Годовая отчетность'!X$137)-X22-X23-X24</f>
        <v>#N/A</v>
      </c>
      <c r="Y25" s="114" t="e">
        <f>SUM('Годовая отчетность'!Y$130,'Годовая отчетность'!Y$137)-Y22-Y23-Y24</f>
        <v>#N/A</v>
      </c>
      <c r="Z25" s="114" t="e">
        <f>SUM('Годовая отчетность'!Z$130,'Годовая отчетность'!Z$137)-Z22-Z23-Z24</f>
        <v>#N/A</v>
      </c>
      <c r="AA25" s="114" t="e">
        <f>SUM('Годовая отчетность'!AA$130,'Годовая отчетность'!AA$137)-AA22-AA23-AA24</f>
        <v>#N/A</v>
      </c>
      <c r="AB25" s="114" t="e">
        <f>SUM('Годовая отчетность'!AB$130,'Годовая отчетность'!AB$137)-AB22-AB23-AB24</f>
        <v>#N/A</v>
      </c>
      <c r="AC25" s="114" t="e">
        <f>SUM('Годовая отчетность'!AC$130,'Годовая отчетность'!AC$137)-AC22-AC23-AC24</f>
        <v>#N/A</v>
      </c>
      <c r="AD25" s="114" t="e">
        <f>SUM('Годовая отчетность'!AD$130,'Годовая отчетность'!AD$137)-AD22-AD23-AD24</f>
        <v>#N/A</v>
      </c>
      <c r="AE25" s="114" t="e">
        <f>SUM('Годовая отчетность'!AE$130,'Годовая отчетность'!AE$137)-AE22-AE23-AE24</f>
        <v>#N/A</v>
      </c>
      <c r="AF25" s="114" t="e">
        <f>SUM('Годовая отчетность'!AF$130,'Годовая отчетность'!AF$137)-AF22-AF23-AF24</f>
        <v>#N/A</v>
      </c>
      <c r="AG25" s="114" t="e">
        <f>SUM('Годовая отчетность'!AG$130,'Годовая отчетность'!AG$137)-AG22-AG23-AG24</f>
        <v>#N/A</v>
      </c>
      <c r="AH25" s="114" t="e">
        <f>SUM('Годовая отчетность'!AH$130,'Годовая отчетность'!AH$137)-AH22-AH23-AH24</f>
        <v>#N/A</v>
      </c>
      <c r="AI25" s="114" t="e">
        <f>SUM('Годовая отчетность'!AI$130,'Годовая отчетность'!AI$137)-AI22-AI23-AI24</f>
        <v>#N/A</v>
      </c>
      <c r="AJ25" s="114" t="e">
        <f>SUM('Годовая отчетность'!AJ$130,'Годовая отчетность'!AJ$137)-AJ22-AJ23-AJ24</f>
        <v>#N/A</v>
      </c>
      <c r="AK25" s="114" t="e">
        <f>SUM('Годовая отчетность'!AK$130,'Годовая отчетность'!AK$137)-AK22-AK23-AK24</f>
        <v>#N/A</v>
      </c>
      <c r="AL25" s="114" t="e">
        <f>SUM('Годовая отчетность'!AL$130,'Годовая отчетность'!AL$137)-AL22-AL23-AL24</f>
        <v>#N/A</v>
      </c>
      <c r="AM25" s="114" t="e">
        <f>SUM('Годовая отчетность'!AM$130,'Годовая отчетность'!AM$137)-AM22-AM23-AM24</f>
        <v>#N/A</v>
      </c>
      <c r="AN25" s="114" t="e">
        <f>SUM('Годовая отчетность'!AN$130,'Годовая отчетность'!AN$137)-AN22-AN23-AN24</f>
        <v>#N/A</v>
      </c>
      <c r="AO25" s="114" t="e">
        <f>SUM('Годовая отчетность'!AO$130,'Годовая отчетность'!AO$137)-AO22-AO23-AO24</f>
        <v>#N/A</v>
      </c>
      <c r="AP25" s="114" t="e">
        <f>SUM('Годовая отчетность'!AP$130,'Годовая отчетность'!AP$137)-AP22-AP23-AP24</f>
        <v>#N/A</v>
      </c>
      <c r="AQ25" s="114" t="e">
        <f>SUM('Годовая отчетность'!AQ$130,'Годовая отчетность'!AQ$137)-AQ22-AQ23-AQ24</f>
        <v>#N/A</v>
      </c>
      <c r="AR25" s="114" t="e">
        <f>SUM('Годовая отчетность'!AR$130,'Годовая отчетность'!AR$137)-AR22-AR23-AR24</f>
        <v>#N/A</v>
      </c>
      <c r="AS25" s="114" t="e">
        <f>SUM('Годовая отчетность'!AS$130,'Годовая отчетность'!AS$137)-AS22-AS23-AS24</f>
        <v>#N/A</v>
      </c>
      <c r="AT25" s="114" t="e">
        <f>SUM('Годовая отчетность'!AT$130,'Годовая отчетность'!AT$137)-AT22-AT23-AT24</f>
        <v>#N/A</v>
      </c>
      <c r="AU25" s="114" t="e">
        <f>SUM('Годовая отчетность'!AU$130,'Годовая отчетность'!AU$137)-AU22-AU23-AU24</f>
        <v>#N/A</v>
      </c>
      <c r="AV25" s="114" t="e">
        <f>SUM('Годовая отчетность'!AV$130,'Годовая отчетность'!AV$137)-AV22-AV23-AV24</f>
        <v>#N/A</v>
      </c>
      <c r="AW25" s="114" t="e">
        <f>SUM('Годовая отчетность'!AW$130,'Годовая отчетность'!AW$137)-AW22-AW23-AW24</f>
        <v>#N/A</v>
      </c>
      <c r="AX25" s="114" t="e">
        <f>SUM('Годовая отчетность'!AX$130,'Годовая отчетность'!AX$137)-AX22-AX23-AX24</f>
        <v>#N/A</v>
      </c>
      <c r="AY25" s="114" t="e">
        <f>SUM('Годовая отчетность'!AY$130,'Годовая отчетность'!AY$137)-AY22-AY23-AY24</f>
        <v>#N/A</v>
      </c>
      <c r="AZ25" s="114" t="e">
        <f>SUM('Годовая отчетность'!AZ$130,'Годовая отчетность'!AZ$137)-AZ22-AZ23-AZ24</f>
        <v>#N/A</v>
      </c>
      <c r="BA25" s="114" t="e">
        <f>SUM('Годовая отчетность'!BA$130,'Годовая отчетность'!BA$137)-BA22-BA23-BA24</f>
        <v>#N/A</v>
      </c>
      <c r="BB25" s="114" t="e">
        <f>SUM('Годовая отчетность'!BB$130,'Годовая отчетность'!BB$137)-BB22-BB23-BB24</f>
        <v>#N/A</v>
      </c>
      <c r="BC25" s="114" t="e">
        <f>SUM('Годовая отчетность'!BC$130,'Годовая отчетность'!BC$137)-BC22-BC23-BC24</f>
        <v>#N/A</v>
      </c>
      <c r="BD25" s="114" t="e">
        <f>SUM('Годовая отчетность'!BD$130,'Годовая отчетность'!BD$137)-BD22-BD23-BD24</f>
        <v>#N/A</v>
      </c>
      <c r="BE25" s="114" t="e">
        <f>SUM('Годовая отчетность'!BE$130,'Годовая отчетность'!BE$137)-BE22-BE23-BE24</f>
        <v>#N/A</v>
      </c>
      <c r="BF25" s="114" t="e">
        <f>SUM('Годовая отчетность'!BF$130,'Годовая отчетность'!BF$137)-BF22-BF23-BF24</f>
        <v>#N/A</v>
      </c>
      <c r="BG25" s="114" t="e">
        <f>SUM('Годовая отчетность'!BG$130,'Годовая отчетность'!BG$137)-BG22-BG23-BG24</f>
        <v>#N/A</v>
      </c>
      <c r="BH25" s="114" t="e">
        <f>SUM('Годовая отчетность'!BH$130,'Годовая отчетность'!BH$137)-BH22-BH23-BH24</f>
        <v>#N/A</v>
      </c>
      <c r="BI25" s="114" t="e">
        <f>SUM('Годовая отчетность'!BI$130,'Годовая отчетность'!BI$137)-BI22-BI23-BI24</f>
        <v>#N/A</v>
      </c>
      <c r="BJ25" s="114" t="e">
        <f>SUM('Годовая отчетность'!BJ$130,'Годовая отчетность'!BJ$137)-BJ22-BJ23-BJ24</f>
        <v>#N/A</v>
      </c>
      <c r="BK25" s="114" t="e">
        <f>SUM('Годовая отчетность'!BK$130,'Годовая отчетность'!BK$137)-BK22-BK23-BK24</f>
        <v>#N/A</v>
      </c>
      <c r="BL25" s="114" t="e">
        <f>SUM('Годовая отчетность'!BL$130,'Годовая отчетность'!BL$137)-BL22-BL23-BL24</f>
        <v>#N/A</v>
      </c>
      <c r="BM25" s="114" t="e">
        <f>SUM('Годовая отчетность'!BM$130,'Годовая отчетность'!BM$137)-BM22-BM23-BM24</f>
        <v>#N/A</v>
      </c>
    </row>
    <row r="26" spans="2:65" ht="15" customHeight="1">
      <c r="B26" s="259" t="s">
        <v>12</v>
      </c>
      <c r="C26" s="260" t="str">
        <f t="shared" si="38"/>
        <v>тыс. руб.</v>
      </c>
      <c r="D26" s="248"/>
      <c r="E26" s="248">
        <f t="shared" ref="E26:AE26" si="39">SUM(E22:E25)</f>
        <v>0</v>
      </c>
      <c r="F26" s="248">
        <f t="shared" si="39"/>
        <v>0</v>
      </c>
      <c r="G26" s="248">
        <f t="shared" si="39"/>
        <v>0</v>
      </c>
      <c r="H26" s="248">
        <f t="shared" si="39"/>
        <v>0</v>
      </c>
      <c r="I26" s="248">
        <f t="shared" si="39"/>
        <v>0</v>
      </c>
      <c r="J26" s="248">
        <f t="shared" si="39"/>
        <v>0</v>
      </c>
      <c r="K26" s="248">
        <f t="shared" si="39"/>
        <v>0</v>
      </c>
      <c r="L26" s="248">
        <f t="shared" si="39"/>
        <v>0</v>
      </c>
      <c r="M26" s="248">
        <f t="shared" si="39"/>
        <v>0</v>
      </c>
      <c r="N26" s="248">
        <f t="shared" si="39"/>
        <v>0</v>
      </c>
      <c r="O26" s="248">
        <f t="shared" si="39"/>
        <v>0</v>
      </c>
      <c r="P26" s="248">
        <f t="shared" si="39"/>
        <v>0</v>
      </c>
      <c r="Q26" s="248">
        <f t="shared" si="39"/>
        <v>0</v>
      </c>
      <c r="R26" s="248">
        <f t="shared" si="39"/>
        <v>0</v>
      </c>
      <c r="S26" s="248">
        <f t="shared" si="39"/>
        <v>0</v>
      </c>
      <c r="T26" s="248">
        <f t="shared" si="39"/>
        <v>0</v>
      </c>
      <c r="U26" s="248" t="e">
        <f t="shared" si="39"/>
        <v>#N/A</v>
      </c>
      <c r="V26" s="248" t="e">
        <f t="shared" si="39"/>
        <v>#N/A</v>
      </c>
      <c r="W26" s="248" t="e">
        <f t="shared" si="39"/>
        <v>#N/A</v>
      </c>
      <c r="X26" s="248" t="e">
        <f t="shared" si="39"/>
        <v>#N/A</v>
      </c>
      <c r="Y26" s="248" t="e">
        <f t="shared" si="39"/>
        <v>#N/A</v>
      </c>
      <c r="Z26" s="248" t="e">
        <f t="shared" si="39"/>
        <v>#N/A</v>
      </c>
      <c r="AA26" s="248" t="e">
        <f t="shared" si="39"/>
        <v>#N/A</v>
      </c>
      <c r="AB26" s="248" t="e">
        <f t="shared" si="39"/>
        <v>#N/A</v>
      </c>
      <c r="AC26" s="248" t="e">
        <f t="shared" si="39"/>
        <v>#N/A</v>
      </c>
      <c r="AD26" s="248" t="e">
        <f t="shared" si="39"/>
        <v>#N/A</v>
      </c>
      <c r="AE26" s="248" t="e">
        <f t="shared" si="39"/>
        <v>#N/A</v>
      </c>
      <c r="AF26" s="248" t="e">
        <f t="shared" ref="AF26:BM26" si="40">SUM(AF22:AF25)</f>
        <v>#N/A</v>
      </c>
      <c r="AG26" s="248" t="e">
        <f t="shared" si="40"/>
        <v>#N/A</v>
      </c>
      <c r="AH26" s="248" t="e">
        <f t="shared" si="40"/>
        <v>#N/A</v>
      </c>
      <c r="AI26" s="248" t="e">
        <f t="shared" si="40"/>
        <v>#N/A</v>
      </c>
      <c r="AJ26" s="248" t="e">
        <f t="shared" si="40"/>
        <v>#N/A</v>
      </c>
      <c r="AK26" s="248" t="e">
        <f t="shared" si="40"/>
        <v>#N/A</v>
      </c>
      <c r="AL26" s="248" t="e">
        <f t="shared" si="40"/>
        <v>#N/A</v>
      </c>
      <c r="AM26" s="248" t="e">
        <f t="shared" si="40"/>
        <v>#N/A</v>
      </c>
      <c r="AN26" s="248" t="e">
        <f t="shared" si="40"/>
        <v>#N/A</v>
      </c>
      <c r="AO26" s="248" t="e">
        <f t="shared" si="40"/>
        <v>#N/A</v>
      </c>
      <c r="AP26" s="248" t="e">
        <f t="shared" si="40"/>
        <v>#N/A</v>
      </c>
      <c r="AQ26" s="248" t="e">
        <f t="shared" si="40"/>
        <v>#N/A</v>
      </c>
      <c r="AR26" s="248" t="e">
        <f t="shared" si="40"/>
        <v>#N/A</v>
      </c>
      <c r="AS26" s="248" t="e">
        <f t="shared" si="40"/>
        <v>#N/A</v>
      </c>
      <c r="AT26" s="248" t="e">
        <f t="shared" si="40"/>
        <v>#N/A</v>
      </c>
      <c r="AU26" s="248" t="e">
        <f t="shared" si="40"/>
        <v>#N/A</v>
      </c>
      <c r="AV26" s="248" t="e">
        <f t="shared" si="40"/>
        <v>#N/A</v>
      </c>
      <c r="AW26" s="248" t="e">
        <f t="shared" si="40"/>
        <v>#N/A</v>
      </c>
      <c r="AX26" s="248" t="e">
        <f t="shared" si="40"/>
        <v>#N/A</v>
      </c>
      <c r="AY26" s="248" t="e">
        <f t="shared" si="40"/>
        <v>#N/A</v>
      </c>
      <c r="AZ26" s="248" t="e">
        <f t="shared" si="40"/>
        <v>#N/A</v>
      </c>
      <c r="BA26" s="248" t="e">
        <f t="shared" si="40"/>
        <v>#N/A</v>
      </c>
      <c r="BB26" s="248" t="e">
        <f t="shared" si="40"/>
        <v>#N/A</v>
      </c>
      <c r="BC26" s="248" t="e">
        <f t="shared" si="40"/>
        <v>#N/A</v>
      </c>
      <c r="BD26" s="248" t="e">
        <f t="shared" si="40"/>
        <v>#N/A</v>
      </c>
      <c r="BE26" s="248" t="e">
        <f t="shared" si="40"/>
        <v>#N/A</v>
      </c>
      <c r="BF26" s="248" t="e">
        <f t="shared" si="40"/>
        <v>#N/A</v>
      </c>
      <c r="BG26" s="248" t="e">
        <f t="shared" si="40"/>
        <v>#N/A</v>
      </c>
      <c r="BH26" s="248" t="e">
        <f t="shared" si="40"/>
        <v>#N/A</v>
      </c>
      <c r="BI26" s="248" t="e">
        <f t="shared" si="40"/>
        <v>#N/A</v>
      </c>
      <c r="BJ26" s="248" t="e">
        <f t="shared" si="40"/>
        <v>#N/A</v>
      </c>
      <c r="BK26" s="248" t="e">
        <f t="shared" si="40"/>
        <v>#N/A</v>
      </c>
      <c r="BL26" s="248" t="e">
        <f t="shared" si="40"/>
        <v>#N/A</v>
      </c>
      <c r="BM26" s="248" t="e">
        <f t="shared" si="40"/>
        <v>#N/A</v>
      </c>
    </row>
    <row r="27" spans="2:65" ht="15" customHeight="1">
      <c r="B27" s="37"/>
      <c r="C27" s="37"/>
      <c r="D27" s="37"/>
      <c r="E27" s="37"/>
      <c r="F27" s="37"/>
      <c r="G27" s="37"/>
      <c r="H27" s="37"/>
      <c r="I27" s="37"/>
      <c r="J27" s="37"/>
      <c r="K27" s="37"/>
      <c r="L27" s="37"/>
      <c r="M27" s="37"/>
      <c r="N27" s="37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37"/>
      <c r="Z27" s="37"/>
      <c r="AA27" s="37"/>
      <c r="AB27" s="37"/>
      <c r="AC27" s="37"/>
      <c r="AD27" s="37"/>
      <c r="AE27" s="37"/>
      <c r="AF27" s="37"/>
      <c r="AG27" s="37"/>
      <c r="AH27" s="37"/>
      <c r="AI27" s="37"/>
      <c r="AJ27" s="37"/>
      <c r="AK27" s="37"/>
      <c r="AL27" s="37"/>
      <c r="AM27" s="37"/>
      <c r="AN27" s="37"/>
      <c r="AO27" s="37"/>
      <c r="AP27" s="37"/>
      <c r="AQ27" s="37"/>
      <c r="AR27" s="37"/>
      <c r="AS27" s="37"/>
      <c r="AT27" s="37"/>
      <c r="AU27" s="37"/>
      <c r="AV27" s="37"/>
      <c r="AW27" s="37"/>
      <c r="AX27" s="37"/>
      <c r="AY27" s="37"/>
      <c r="AZ27" s="37"/>
      <c r="BA27" s="37"/>
      <c r="BB27" s="37"/>
      <c r="BC27" s="37"/>
      <c r="BD27" s="37"/>
      <c r="BE27" s="37"/>
      <c r="BF27" s="37"/>
      <c r="BG27" s="37"/>
      <c r="BH27" s="37"/>
      <c r="BI27" s="37"/>
      <c r="BJ27" s="37"/>
      <c r="BK27" s="37"/>
      <c r="BL27" s="37"/>
      <c r="BM27" s="37"/>
    </row>
    <row r="28" spans="2:65" ht="15" customHeight="1">
      <c r="B28" s="118" t="s">
        <v>130</v>
      </c>
      <c r="C28" s="37"/>
      <c r="D28" s="37"/>
      <c r="E28" s="37"/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  <c r="AL28" s="37"/>
      <c r="AM28" s="37"/>
      <c r="AN28" s="37"/>
      <c r="AO28" s="37"/>
      <c r="AP28" s="37"/>
      <c r="AQ28" s="37"/>
      <c r="AR28" s="37"/>
      <c r="AS28" s="37"/>
      <c r="AT28" s="37"/>
      <c r="AU28" s="37"/>
      <c r="AV28" s="37"/>
      <c r="AW28" s="37"/>
      <c r="AX28" s="37"/>
      <c r="AY28" s="37"/>
      <c r="AZ28" s="37"/>
      <c r="BA28" s="37"/>
      <c r="BB28" s="37"/>
      <c r="BC28" s="37"/>
      <c r="BD28" s="37"/>
      <c r="BE28" s="37"/>
      <c r="BF28" s="37"/>
      <c r="BG28" s="37"/>
      <c r="BH28" s="37"/>
      <c r="BI28" s="37"/>
      <c r="BJ28" s="37"/>
      <c r="BK28" s="37"/>
      <c r="BL28" s="37"/>
      <c r="BM28" s="37"/>
    </row>
    <row r="29" spans="2:65" ht="15" customHeight="1">
      <c r="B29" s="259" t="s">
        <v>130</v>
      </c>
      <c r="C29" s="260" t="str">
        <f>Единица_измерения</f>
        <v>тыс. руб.</v>
      </c>
      <c r="D29" s="248"/>
      <c r="E29" s="248">
        <f ca="1">'Годовая отчетность'!E32+IF(E$6=1,IFERROR(OFFSET(Предпосылки!F$292,,,,1-LEFT('Квартальная отчетность'!$E$11,1)),0))</f>
        <v>0</v>
      </c>
      <c r="F29" s="248">
        <f ca="1">'Годовая отчетность'!F32+IF(F$6=1,IFERROR(OFFSET(Предпосылки!G$292,,,,1-LEFT('Квартальная отчетность'!$E$11,1)),0))</f>
        <v>0</v>
      </c>
      <c r="G29" s="248">
        <f ca="1">'Годовая отчетность'!G32+IF(G$6=1,IFERROR(OFFSET(Предпосылки!H$292,,,,1-LEFT('Квартальная отчетность'!$E$11,1)),0))</f>
        <v>0</v>
      </c>
      <c r="H29" s="248">
        <f ca="1">'Годовая отчетность'!H32+IF(H$6=1,IFERROR(OFFSET(Предпосылки!I$292,,,,1-LEFT('Квартальная отчетность'!$E$11,1)),0))</f>
        <v>0</v>
      </c>
      <c r="I29" s="248">
        <f ca="1">'Годовая отчетность'!I32+IF(I$6=1,IFERROR(OFFSET(Предпосылки!J$292,,,,1-LEFT('Квартальная отчетность'!$E$11,1)),0))</f>
        <v>0</v>
      </c>
      <c r="J29" s="248">
        <f ca="1">'Годовая отчетность'!J32+IF(J$6=1,IFERROR(OFFSET(Предпосылки!K$292,,,,1-LEFT('Квартальная отчетность'!$E$11,1)),0))</f>
        <v>0</v>
      </c>
      <c r="K29" s="248">
        <f ca="1">'Годовая отчетность'!K32+IF(K$6=1,IFERROR(OFFSET(Предпосылки!L$292,,,,1-LEFT('Квартальная отчетность'!$E$11,1)),0))</f>
        <v>0</v>
      </c>
      <c r="L29" s="248">
        <f ca="1">'Годовая отчетность'!L32+IF(L$6=1,IFERROR(OFFSET(Предпосылки!M$292,,,,1-LEFT('Квартальная отчетность'!$E$11,1)),0))</f>
        <v>0</v>
      </c>
      <c r="M29" s="248">
        <f ca="1">'Годовая отчетность'!M32+IF(M$6=1,IFERROR(OFFSET(Предпосылки!N$292,,,,1-LEFT('Квартальная отчетность'!$E$11,1)),0))</f>
        <v>0</v>
      </c>
      <c r="N29" s="248">
        <f ca="1">'Годовая отчетность'!N32+IF(N$6=1,IFERROR(OFFSET(Предпосылки!O$292,,,,1-LEFT('Квартальная отчетность'!$E$11,1)),0))</f>
        <v>0</v>
      </c>
      <c r="O29" s="248">
        <f ca="1">'Годовая отчетность'!O32+IF(O$6=1,IFERROR(OFFSET(Предпосылки!P$292,,,,1-LEFT('Квартальная отчетность'!$E$11,1)),0))</f>
        <v>0</v>
      </c>
      <c r="P29" s="248">
        <f ca="1">'Годовая отчетность'!P32+IF(P$6=1,IFERROR(OFFSET(Предпосылки!Q$292,,,,1-LEFT('Квартальная отчетность'!$E$11,1)),0))</f>
        <v>0</v>
      </c>
      <c r="Q29" s="248">
        <f ca="1">'Годовая отчетность'!Q32+IF(Q$6=1,IFERROR(OFFSET(Предпосылки!R$292,,,,1-LEFT('Квартальная отчетность'!$E$11,1)),0))</f>
        <v>0</v>
      </c>
      <c r="R29" s="248">
        <f ca="1">'Годовая отчетность'!R32+IF(R$6=1,IFERROR(OFFSET(Предпосылки!S$292,,,,1-LEFT('Квартальная отчетность'!$E$11,1)),0))</f>
        <v>0</v>
      </c>
      <c r="S29" s="248">
        <f ca="1">'Годовая отчетность'!S32+IF(S$6=1,IFERROR(OFFSET(Предпосылки!T$292,,,,1-LEFT('Квартальная отчетность'!$E$11,1)),0))</f>
        <v>0</v>
      </c>
      <c r="T29" s="248">
        <f ca="1">'Годовая отчетность'!T32+IF(T$6=1,IFERROR(OFFSET(Предпосылки!U$292,,,,1-LEFT('Квартальная отчетность'!$E$11,1)),0))</f>
        <v>0</v>
      </c>
      <c r="U29" s="248">
        <f>SUM('Квартальная отчетность'!U29,-'Квартальная отчетность'!U26,-'Квартальная отчетность'!U25,'Квартальная отчетность'!U37)</f>
        <v>0</v>
      </c>
      <c r="V29" s="248">
        <f>SUM('Квартальная отчетность'!V29,-'Квартальная отчетность'!V26,-'Квартальная отчетность'!V25,'Квартальная отчетность'!V37)</f>
        <v>0</v>
      </c>
      <c r="W29" s="248">
        <f>SUM('Квартальная отчетность'!W29,-'Квартальная отчетность'!W26,-'Квартальная отчетность'!W25,'Квартальная отчетность'!W37)</f>
        <v>0</v>
      </c>
      <c r="X29" s="248">
        <f>SUM('Квартальная отчетность'!X29,-'Квартальная отчетность'!X26,-'Квартальная отчетность'!X25,'Квартальная отчетность'!X37)</f>
        <v>0</v>
      </c>
      <c r="Y29" s="248">
        <f>SUM('Квартальная отчетность'!Y29,-'Квартальная отчетность'!Y26,-'Квартальная отчетность'!Y25,'Квартальная отчетность'!Y37)</f>
        <v>0</v>
      </c>
      <c r="Z29" s="248">
        <f>SUM('Квартальная отчетность'!Z29,-'Квартальная отчетность'!Z26,-'Квартальная отчетность'!Z25,'Квартальная отчетность'!Z37)</f>
        <v>0</v>
      </c>
      <c r="AA29" s="248">
        <f>SUM('Квартальная отчетность'!AA29,-'Квартальная отчетность'!AA26,-'Квартальная отчетность'!AA25,'Квартальная отчетность'!AA37)</f>
        <v>0</v>
      </c>
      <c r="AB29" s="248">
        <f>SUM('Квартальная отчетность'!AB29,-'Квартальная отчетность'!AB26,-'Квартальная отчетность'!AB25,'Квартальная отчетность'!AB37)</f>
        <v>0</v>
      </c>
      <c r="AC29" s="248">
        <f>SUM('Квартальная отчетность'!AC29,-'Квартальная отчетность'!AC26,-'Квартальная отчетность'!AC25,'Квартальная отчетность'!AC37)</f>
        <v>0</v>
      </c>
      <c r="AD29" s="248">
        <f>SUM('Квартальная отчетность'!AD29,-'Квартальная отчетность'!AD26,-'Квартальная отчетность'!AD25,'Квартальная отчетность'!AD37)</f>
        <v>0</v>
      </c>
      <c r="AE29" s="248">
        <f>SUM('Квартальная отчетность'!AE29,-'Квартальная отчетность'!AE26,-'Квартальная отчетность'!AE25,'Квартальная отчетность'!AE37)</f>
        <v>0</v>
      </c>
      <c r="AF29" s="248">
        <f>SUM('Квартальная отчетность'!AF29,-'Квартальная отчетность'!AF26,-'Квартальная отчетность'!AF25,'Квартальная отчетность'!AF37)</f>
        <v>0</v>
      </c>
      <c r="AG29" s="248">
        <f>SUM('Квартальная отчетность'!AG29,-'Квартальная отчетность'!AG26,-'Квартальная отчетность'!AG25,'Квартальная отчетность'!AG37)</f>
        <v>0</v>
      </c>
      <c r="AH29" s="248">
        <f>SUM('Квартальная отчетность'!AH29,-'Квартальная отчетность'!AH26,-'Квартальная отчетность'!AH25,'Квартальная отчетность'!AH37)</f>
        <v>0</v>
      </c>
      <c r="AI29" s="248">
        <f>SUM('Квартальная отчетность'!AI29,-'Квартальная отчетность'!AI26,-'Квартальная отчетность'!AI25,'Квартальная отчетность'!AI37)</f>
        <v>0</v>
      </c>
      <c r="AJ29" s="248">
        <f>SUM('Квартальная отчетность'!AJ29,-'Квартальная отчетность'!AJ26,-'Квартальная отчетность'!AJ25,'Квартальная отчетность'!AJ37)</f>
        <v>0</v>
      </c>
      <c r="AK29" s="248">
        <f>SUM('Квартальная отчетность'!AK29,-'Квартальная отчетность'!AK26,-'Квартальная отчетность'!AK25,'Квартальная отчетность'!AK37)</f>
        <v>0</v>
      </c>
      <c r="AL29" s="248">
        <f>SUM('Квартальная отчетность'!AL29,-'Квартальная отчетность'!AL26,-'Квартальная отчетность'!AL25,'Квартальная отчетность'!AL37)</f>
        <v>0</v>
      </c>
      <c r="AM29" s="248">
        <f>SUM('Квартальная отчетность'!AM29,-'Квартальная отчетность'!AM26,-'Квартальная отчетность'!AM25,'Квартальная отчетность'!AM37)</f>
        <v>0</v>
      </c>
      <c r="AN29" s="248">
        <f>SUM('Квартальная отчетность'!AN29,-'Квартальная отчетность'!AN26,-'Квартальная отчетность'!AN25,'Квартальная отчетность'!AN37)</f>
        <v>0</v>
      </c>
      <c r="AO29" s="248">
        <f>SUM('Квартальная отчетность'!AO29,-'Квартальная отчетность'!AO26,-'Квартальная отчетность'!AO25,'Квартальная отчетность'!AO37)</f>
        <v>0</v>
      </c>
      <c r="AP29" s="248">
        <f>SUM('Квартальная отчетность'!AP29,-'Квартальная отчетность'!AP26,-'Квартальная отчетность'!AP25,'Квартальная отчетность'!AP37)</f>
        <v>0</v>
      </c>
      <c r="AQ29" s="248">
        <f>SUM('Квартальная отчетность'!AQ29,-'Квартальная отчетность'!AQ26,-'Квартальная отчетность'!AQ25,'Квартальная отчетность'!AQ37)</f>
        <v>0</v>
      </c>
      <c r="AR29" s="248">
        <f>SUM('Квартальная отчетность'!AR29,-'Квартальная отчетность'!AR26,-'Квартальная отчетность'!AR25,'Квартальная отчетность'!AR37)</f>
        <v>0</v>
      </c>
      <c r="AS29" s="248">
        <f>SUM('Квартальная отчетность'!AS29,-'Квартальная отчетность'!AS26,-'Квартальная отчетность'!AS25,'Квартальная отчетность'!AS37)</f>
        <v>0</v>
      </c>
      <c r="AT29" s="248">
        <f>SUM('Квартальная отчетность'!AT29,-'Квартальная отчетность'!AT26,-'Квартальная отчетность'!AT25,'Квартальная отчетность'!AT37)</f>
        <v>0</v>
      </c>
      <c r="AU29" s="248">
        <f>SUM('Квартальная отчетность'!AU29,-'Квартальная отчетность'!AU26,-'Квартальная отчетность'!AU25,'Квартальная отчетность'!AU37)</f>
        <v>0</v>
      </c>
      <c r="AV29" s="248">
        <f>SUM('Квартальная отчетность'!AV29,-'Квартальная отчетность'!AV26,-'Квартальная отчетность'!AV25,'Квартальная отчетность'!AV37)</f>
        <v>0</v>
      </c>
      <c r="AW29" s="248">
        <f>SUM('Квартальная отчетность'!AW29,-'Квартальная отчетность'!AW26,-'Квартальная отчетность'!AW25,'Квартальная отчетность'!AW37)</f>
        <v>0</v>
      </c>
      <c r="AX29" s="248">
        <f>SUM('Квартальная отчетность'!AX29,-'Квартальная отчетность'!AX26,-'Квартальная отчетность'!AX25,'Квартальная отчетность'!AX37)</f>
        <v>0</v>
      </c>
      <c r="AY29" s="248">
        <f>SUM('Квартальная отчетность'!AY29,-'Квартальная отчетность'!AY26,-'Квартальная отчетность'!AY25,'Квартальная отчетность'!AY37)</f>
        <v>0</v>
      </c>
      <c r="AZ29" s="248">
        <f>SUM('Квартальная отчетность'!AZ29,-'Квартальная отчетность'!AZ26,-'Квартальная отчетность'!AZ25,'Квартальная отчетность'!AZ37)</f>
        <v>0</v>
      </c>
      <c r="BA29" s="248">
        <f>SUM('Квартальная отчетность'!BA29,-'Квартальная отчетность'!BA26,-'Квартальная отчетность'!BA25,'Квартальная отчетность'!BA37)</f>
        <v>0</v>
      </c>
      <c r="BB29" s="248">
        <f>SUM('Квартальная отчетность'!BB29,-'Квартальная отчетность'!BB26,-'Квартальная отчетность'!BB25,'Квартальная отчетность'!BB37)</f>
        <v>0</v>
      </c>
      <c r="BC29" s="248">
        <f>SUM('Квартальная отчетность'!BC29,-'Квартальная отчетность'!BC26,-'Квартальная отчетность'!BC25,'Квартальная отчетность'!BC37)</f>
        <v>0</v>
      </c>
      <c r="BD29" s="248">
        <f>SUM('Квартальная отчетность'!BD29,-'Квартальная отчетность'!BD26,-'Квартальная отчетность'!BD25,'Квартальная отчетность'!BD37)</f>
        <v>0</v>
      </c>
      <c r="BE29" s="248">
        <f>SUM('Квартальная отчетность'!BE29,-'Квартальная отчетность'!BE26,-'Квартальная отчетность'!BE25,'Квартальная отчетность'!BE37)</f>
        <v>0</v>
      </c>
      <c r="BF29" s="248">
        <f>SUM('Квартальная отчетность'!BF29,-'Квартальная отчетность'!BF26,-'Квартальная отчетность'!BF25,'Квартальная отчетность'!BF37)</f>
        <v>0</v>
      </c>
      <c r="BG29" s="248">
        <f>SUM('Квартальная отчетность'!BG29,-'Квартальная отчетность'!BG26,-'Квартальная отчетность'!BG25,'Квартальная отчетность'!BG37)</f>
        <v>0</v>
      </c>
      <c r="BH29" s="248">
        <f>SUM('Квартальная отчетность'!BH29,-'Квартальная отчетность'!BH26,-'Квартальная отчетность'!BH25,'Квартальная отчетность'!BH37)</f>
        <v>0</v>
      </c>
      <c r="BI29" s="248">
        <f>SUM('Квартальная отчетность'!BI29,-'Квартальная отчетность'!BI26,-'Квартальная отчетность'!BI25,'Квартальная отчетность'!BI37)</f>
        <v>0</v>
      </c>
      <c r="BJ29" s="248">
        <f>SUM('Квартальная отчетность'!BJ29,-'Квартальная отчетность'!BJ26,-'Квартальная отчетность'!BJ25,'Квартальная отчетность'!BJ37)</f>
        <v>0</v>
      </c>
      <c r="BK29" s="248">
        <f>SUM('Квартальная отчетность'!BK29,-'Квартальная отчетность'!BK26,-'Квартальная отчетность'!BK25,'Квартальная отчетность'!BK37)</f>
        <v>0</v>
      </c>
      <c r="BL29" s="248">
        <f>SUM('Квартальная отчетность'!BL29,-'Квартальная отчетность'!BL26,-'Квартальная отчетность'!BL25,'Квартальная отчетность'!BL37)</f>
        <v>0</v>
      </c>
      <c r="BM29" s="248">
        <f>SUM('Квартальная отчетность'!BM29,-'Квартальная отчетность'!BM26,-'Квартальная отчетность'!BM25,'Квартальная отчетность'!BM37)</f>
        <v>0</v>
      </c>
    </row>
    <row r="30" spans="2:65" ht="15" customHeight="1">
      <c r="B30" s="37"/>
      <c r="C30" s="37"/>
      <c r="D30" s="37"/>
      <c r="E30" s="37"/>
      <c r="F30" s="37"/>
      <c r="G30" s="37"/>
      <c r="H30" s="37"/>
      <c r="I30" s="37"/>
      <c r="J30" s="37"/>
      <c r="K30" s="37"/>
      <c r="L30" s="37"/>
      <c r="M30" s="37"/>
      <c r="N30" s="37"/>
      <c r="O30" s="37"/>
      <c r="P30" s="37"/>
      <c r="Q30" s="37"/>
      <c r="R30" s="37"/>
      <c r="S30" s="37"/>
      <c r="T30" s="37"/>
      <c r="U30" s="37"/>
      <c r="V30" s="37"/>
      <c r="W30" s="37"/>
      <c r="X30" s="37"/>
      <c r="Y30" s="37"/>
      <c r="Z30" s="37"/>
      <c r="AA30" s="37"/>
      <c r="AB30" s="37"/>
      <c r="AC30" s="37"/>
      <c r="AD30" s="37"/>
      <c r="AE30" s="37"/>
      <c r="AF30" s="37"/>
      <c r="AG30" s="37"/>
      <c r="AH30" s="37"/>
      <c r="AI30" s="37"/>
      <c r="AJ30" s="37"/>
      <c r="AK30" s="37"/>
      <c r="AL30" s="37"/>
      <c r="AM30" s="37"/>
      <c r="AN30" s="37"/>
      <c r="AO30" s="37"/>
      <c r="AP30" s="37"/>
      <c r="AQ30" s="37"/>
      <c r="AR30" s="37"/>
      <c r="AS30" s="37"/>
      <c r="AT30" s="37"/>
      <c r="AU30" s="37"/>
      <c r="AV30" s="37"/>
      <c r="AW30" s="37"/>
      <c r="AX30" s="37"/>
      <c r="AY30" s="37"/>
      <c r="AZ30" s="37"/>
      <c r="BA30" s="37"/>
      <c r="BB30" s="37"/>
      <c r="BC30" s="37"/>
      <c r="BD30" s="37"/>
      <c r="BE30" s="37"/>
      <c r="BF30" s="37"/>
      <c r="BG30" s="37"/>
      <c r="BH30" s="37"/>
      <c r="BI30" s="37"/>
      <c r="BJ30" s="37"/>
      <c r="BK30" s="37"/>
      <c r="BL30" s="37"/>
      <c r="BM30" s="37"/>
    </row>
    <row r="31" spans="2:65" ht="15" customHeight="1">
      <c r="B31" s="118" t="s">
        <v>139</v>
      </c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  <c r="AE31" s="37"/>
      <c r="AF31" s="37"/>
      <c r="AG31" s="37"/>
      <c r="AH31" s="37"/>
      <c r="AI31" s="37"/>
      <c r="AJ31" s="37"/>
      <c r="AK31" s="37"/>
      <c r="AL31" s="37"/>
      <c r="AM31" s="37"/>
      <c r="AN31" s="37"/>
      <c r="AO31" s="37"/>
      <c r="AP31" s="37"/>
      <c r="AQ31" s="37"/>
      <c r="AR31" s="37"/>
      <c r="AS31" s="37"/>
      <c r="AT31" s="37"/>
      <c r="AU31" s="37"/>
      <c r="AV31" s="37"/>
      <c r="AW31" s="37"/>
      <c r="AX31" s="37"/>
      <c r="AY31" s="37"/>
      <c r="AZ31" s="37"/>
      <c r="BA31" s="37"/>
      <c r="BB31" s="37"/>
      <c r="BC31" s="37"/>
      <c r="BD31" s="37"/>
      <c r="BE31" s="37"/>
      <c r="BF31" s="37"/>
      <c r="BG31" s="37"/>
      <c r="BH31" s="37"/>
      <c r="BI31" s="37"/>
      <c r="BJ31" s="37"/>
      <c r="BK31" s="37"/>
      <c r="BL31" s="37"/>
      <c r="BM31" s="37"/>
    </row>
    <row r="32" spans="2:65" ht="15" customHeight="1">
      <c r="B32" s="112" t="s">
        <v>140</v>
      </c>
      <c r="C32" s="113" t="str">
        <f>Единица_измерения</f>
        <v>тыс. руб.</v>
      </c>
      <c r="D32" s="114"/>
      <c r="E32" s="114">
        <f t="shared" ref="E32:AJ32" si="41">E26</f>
        <v>0</v>
      </c>
      <c r="F32" s="114">
        <f t="shared" si="41"/>
        <v>0</v>
      </c>
      <c r="G32" s="114">
        <f t="shared" si="41"/>
        <v>0</v>
      </c>
      <c r="H32" s="114">
        <f t="shared" si="41"/>
        <v>0</v>
      </c>
      <c r="I32" s="114">
        <f t="shared" si="41"/>
        <v>0</v>
      </c>
      <c r="J32" s="114">
        <f t="shared" si="41"/>
        <v>0</v>
      </c>
      <c r="K32" s="114">
        <f t="shared" si="41"/>
        <v>0</v>
      </c>
      <c r="L32" s="114">
        <f t="shared" si="41"/>
        <v>0</v>
      </c>
      <c r="M32" s="114">
        <f t="shared" si="41"/>
        <v>0</v>
      </c>
      <c r="N32" s="114">
        <f t="shared" si="41"/>
        <v>0</v>
      </c>
      <c r="O32" s="114">
        <f t="shared" si="41"/>
        <v>0</v>
      </c>
      <c r="P32" s="114">
        <f t="shared" si="41"/>
        <v>0</v>
      </c>
      <c r="Q32" s="114">
        <f t="shared" si="41"/>
        <v>0</v>
      </c>
      <c r="R32" s="114">
        <f t="shared" si="41"/>
        <v>0</v>
      </c>
      <c r="S32" s="114">
        <f t="shared" si="41"/>
        <v>0</v>
      </c>
      <c r="T32" s="114">
        <f t="shared" si="41"/>
        <v>0</v>
      </c>
      <c r="U32" s="114" t="e">
        <f t="shared" si="41"/>
        <v>#N/A</v>
      </c>
      <c r="V32" s="114" t="e">
        <f t="shared" si="41"/>
        <v>#N/A</v>
      </c>
      <c r="W32" s="114" t="e">
        <f t="shared" si="41"/>
        <v>#N/A</v>
      </c>
      <c r="X32" s="114" t="e">
        <f t="shared" si="41"/>
        <v>#N/A</v>
      </c>
      <c r="Y32" s="114" t="e">
        <f t="shared" si="41"/>
        <v>#N/A</v>
      </c>
      <c r="Z32" s="114" t="e">
        <f t="shared" si="41"/>
        <v>#N/A</v>
      </c>
      <c r="AA32" s="114" t="e">
        <f t="shared" si="41"/>
        <v>#N/A</v>
      </c>
      <c r="AB32" s="114" t="e">
        <f t="shared" si="41"/>
        <v>#N/A</v>
      </c>
      <c r="AC32" s="114" t="e">
        <f t="shared" si="41"/>
        <v>#N/A</v>
      </c>
      <c r="AD32" s="114" t="e">
        <f t="shared" si="41"/>
        <v>#N/A</v>
      </c>
      <c r="AE32" s="114" t="e">
        <f t="shared" si="41"/>
        <v>#N/A</v>
      </c>
      <c r="AF32" s="114" t="e">
        <f t="shared" si="41"/>
        <v>#N/A</v>
      </c>
      <c r="AG32" s="114" t="e">
        <f t="shared" si="41"/>
        <v>#N/A</v>
      </c>
      <c r="AH32" s="114" t="e">
        <f t="shared" si="41"/>
        <v>#N/A</v>
      </c>
      <c r="AI32" s="114" t="e">
        <f t="shared" si="41"/>
        <v>#N/A</v>
      </c>
      <c r="AJ32" s="114" t="e">
        <f t="shared" si="41"/>
        <v>#N/A</v>
      </c>
      <c r="AK32" s="114" t="e">
        <f t="shared" ref="AK32:BM32" si="42">AK26</f>
        <v>#N/A</v>
      </c>
      <c r="AL32" s="114" t="e">
        <f t="shared" si="42"/>
        <v>#N/A</v>
      </c>
      <c r="AM32" s="114" t="e">
        <f t="shared" si="42"/>
        <v>#N/A</v>
      </c>
      <c r="AN32" s="114" t="e">
        <f t="shared" si="42"/>
        <v>#N/A</v>
      </c>
      <c r="AO32" s="114" t="e">
        <f t="shared" si="42"/>
        <v>#N/A</v>
      </c>
      <c r="AP32" s="114" t="e">
        <f t="shared" si="42"/>
        <v>#N/A</v>
      </c>
      <c r="AQ32" s="114" t="e">
        <f t="shared" si="42"/>
        <v>#N/A</v>
      </c>
      <c r="AR32" s="114" t="e">
        <f t="shared" si="42"/>
        <v>#N/A</v>
      </c>
      <c r="AS32" s="114" t="e">
        <f t="shared" si="42"/>
        <v>#N/A</v>
      </c>
      <c r="AT32" s="114" t="e">
        <f t="shared" si="42"/>
        <v>#N/A</v>
      </c>
      <c r="AU32" s="114" t="e">
        <f t="shared" si="42"/>
        <v>#N/A</v>
      </c>
      <c r="AV32" s="114" t="e">
        <f t="shared" si="42"/>
        <v>#N/A</v>
      </c>
      <c r="AW32" s="114" t="e">
        <f t="shared" si="42"/>
        <v>#N/A</v>
      </c>
      <c r="AX32" s="114" t="e">
        <f t="shared" si="42"/>
        <v>#N/A</v>
      </c>
      <c r="AY32" s="114" t="e">
        <f t="shared" si="42"/>
        <v>#N/A</v>
      </c>
      <c r="AZ32" s="114" t="e">
        <f t="shared" si="42"/>
        <v>#N/A</v>
      </c>
      <c r="BA32" s="114" t="e">
        <f t="shared" si="42"/>
        <v>#N/A</v>
      </c>
      <c r="BB32" s="114" t="e">
        <f t="shared" si="42"/>
        <v>#N/A</v>
      </c>
      <c r="BC32" s="114" t="e">
        <f t="shared" si="42"/>
        <v>#N/A</v>
      </c>
      <c r="BD32" s="114" t="e">
        <f t="shared" si="42"/>
        <v>#N/A</v>
      </c>
      <c r="BE32" s="114" t="e">
        <f t="shared" si="42"/>
        <v>#N/A</v>
      </c>
      <c r="BF32" s="114" t="e">
        <f t="shared" si="42"/>
        <v>#N/A</v>
      </c>
      <c r="BG32" s="114" t="e">
        <f t="shared" si="42"/>
        <v>#N/A</v>
      </c>
      <c r="BH32" s="114" t="e">
        <f t="shared" si="42"/>
        <v>#N/A</v>
      </c>
      <c r="BI32" s="114" t="e">
        <f t="shared" si="42"/>
        <v>#N/A</v>
      </c>
      <c r="BJ32" s="114" t="e">
        <f t="shared" si="42"/>
        <v>#N/A</v>
      </c>
      <c r="BK32" s="114" t="e">
        <f t="shared" si="42"/>
        <v>#N/A</v>
      </c>
      <c r="BL32" s="114" t="e">
        <f t="shared" si="42"/>
        <v>#N/A</v>
      </c>
      <c r="BM32" s="114" t="e">
        <f t="shared" si="42"/>
        <v>#N/A</v>
      </c>
    </row>
    <row r="33" spans="2:65" ht="15" customHeight="1">
      <c r="B33" s="112" t="s">
        <v>292</v>
      </c>
      <c r="C33" s="113" t="str">
        <f>Единица_измерения</f>
        <v>тыс. руб.</v>
      </c>
      <c r="D33" s="114"/>
      <c r="E33" s="114">
        <f t="shared" ref="E33:AJ33" ca="1" si="43">E29</f>
        <v>0</v>
      </c>
      <c r="F33" s="114">
        <f t="shared" ca="1" si="43"/>
        <v>0</v>
      </c>
      <c r="G33" s="114">
        <f t="shared" ca="1" si="43"/>
        <v>0</v>
      </c>
      <c r="H33" s="114">
        <f t="shared" ca="1" si="43"/>
        <v>0</v>
      </c>
      <c r="I33" s="114">
        <f t="shared" ca="1" si="43"/>
        <v>0</v>
      </c>
      <c r="J33" s="114">
        <f t="shared" ca="1" si="43"/>
        <v>0</v>
      </c>
      <c r="K33" s="114">
        <f t="shared" ca="1" si="43"/>
        <v>0</v>
      </c>
      <c r="L33" s="114">
        <f t="shared" ca="1" si="43"/>
        <v>0</v>
      </c>
      <c r="M33" s="114">
        <f t="shared" ca="1" si="43"/>
        <v>0</v>
      </c>
      <c r="N33" s="114">
        <f t="shared" ca="1" si="43"/>
        <v>0</v>
      </c>
      <c r="O33" s="114">
        <f t="shared" ca="1" si="43"/>
        <v>0</v>
      </c>
      <c r="P33" s="114">
        <f t="shared" ca="1" si="43"/>
        <v>0</v>
      </c>
      <c r="Q33" s="114">
        <f t="shared" ca="1" si="43"/>
        <v>0</v>
      </c>
      <c r="R33" s="114">
        <f t="shared" ca="1" si="43"/>
        <v>0</v>
      </c>
      <c r="S33" s="114">
        <f t="shared" ca="1" si="43"/>
        <v>0</v>
      </c>
      <c r="T33" s="114">
        <f t="shared" ca="1" si="43"/>
        <v>0</v>
      </c>
      <c r="U33" s="114">
        <f t="shared" si="43"/>
        <v>0</v>
      </c>
      <c r="V33" s="114">
        <f t="shared" si="43"/>
        <v>0</v>
      </c>
      <c r="W33" s="114">
        <f t="shared" si="43"/>
        <v>0</v>
      </c>
      <c r="X33" s="114">
        <f t="shared" si="43"/>
        <v>0</v>
      </c>
      <c r="Y33" s="114">
        <f t="shared" si="43"/>
        <v>0</v>
      </c>
      <c r="Z33" s="114">
        <f t="shared" si="43"/>
        <v>0</v>
      </c>
      <c r="AA33" s="114">
        <f t="shared" si="43"/>
        <v>0</v>
      </c>
      <c r="AB33" s="114">
        <f t="shared" si="43"/>
        <v>0</v>
      </c>
      <c r="AC33" s="114">
        <f t="shared" si="43"/>
        <v>0</v>
      </c>
      <c r="AD33" s="114">
        <f t="shared" si="43"/>
        <v>0</v>
      </c>
      <c r="AE33" s="114">
        <f t="shared" si="43"/>
        <v>0</v>
      </c>
      <c r="AF33" s="114">
        <f t="shared" si="43"/>
        <v>0</v>
      </c>
      <c r="AG33" s="114">
        <f t="shared" si="43"/>
        <v>0</v>
      </c>
      <c r="AH33" s="114">
        <f t="shared" si="43"/>
        <v>0</v>
      </c>
      <c r="AI33" s="114">
        <f t="shared" si="43"/>
        <v>0</v>
      </c>
      <c r="AJ33" s="114">
        <f t="shared" si="43"/>
        <v>0</v>
      </c>
      <c r="AK33" s="114">
        <f t="shared" ref="AK33:BM33" si="44">AK29</f>
        <v>0</v>
      </c>
      <c r="AL33" s="114">
        <f t="shared" si="44"/>
        <v>0</v>
      </c>
      <c r="AM33" s="114">
        <f t="shared" si="44"/>
        <v>0</v>
      </c>
      <c r="AN33" s="114">
        <f t="shared" si="44"/>
        <v>0</v>
      </c>
      <c r="AO33" s="114">
        <f t="shared" si="44"/>
        <v>0</v>
      </c>
      <c r="AP33" s="114">
        <f t="shared" si="44"/>
        <v>0</v>
      </c>
      <c r="AQ33" s="114">
        <f t="shared" si="44"/>
        <v>0</v>
      </c>
      <c r="AR33" s="114">
        <f t="shared" si="44"/>
        <v>0</v>
      </c>
      <c r="AS33" s="114">
        <f t="shared" si="44"/>
        <v>0</v>
      </c>
      <c r="AT33" s="114">
        <f t="shared" si="44"/>
        <v>0</v>
      </c>
      <c r="AU33" s="114">
        <f t="shared" si="44"/>
        <v>0</v>
      </c>
      <c r="AV33" s="114">
        <f t="shared" si="44"/>
        <v>0</v>
      </c>
      <c r="AW33" s="114">
        <f t="shared" si="44"/>
        <v>0</v>
      </c>
      <c r="AX33" s="114">
        <f t="shared" si="44"/>
        <v>0</v>
      </c>
      <c r="AY33" s="114">
        <f t="shared" si="44"/>
        <v>0</v>
      </c>
      <c r="AZ33" s="114">
        <f t="shared" si="44"/>
        <v>0</v>
      </c>
      <c r="BA33" s="114">
        <f t="shared" si="44"/>
        <v>0</v>
      </c>
      <c r="BB33" s="114">
        <f t="shared" si="44"/>
        <v>0</v>
      </c>
      <c r="BC33" s="114">
        <f t="shared" si="44"/>
        <v>0</v>
      </c>
      <c r="BD33" s="114">
        <f t="shared" si="44"/>
        <v>0</v>
      </c>
      <c r="BE33" s="114">
        <f t="shared" si="44"/>
        <v>0</v>
      </c>
      <c r="BF33" s="114">
        <f t="shared" si="44"/>
        <v>0</v>
      </c>
      <c r="BG33" s="114">
        <f t="shared" si="44"/>
        <v>0</v>
      </c>
      <c r="BH33" s="114">
        <f t="shared" si="44"/>
        <v>0</v>
      </c>
      <c r="BI33" s="114">
        <f t="shared" si="44"/>
        <v>0</v>
      </c>
      <c r="BJ33" s="114">
        <f t="shared" si="44"/>
        <v>0</v>
      </c>
      <c r="BK33" s="114">
        <f t="shared" si="44"/>
        <v>0</v>
      </c>
      <c r="BL33" s="114">
        <f t="shared" si="44"/>
        <v>0</v>
      </c>
      <c r="BM33" s="114">
        <f t="shared" si="44"/>
        <v>0</v>
      </c>
    </row>
    <row r="34" spans="2:65" ht="15" customHeight="1">
      <c r="B34" s="259" t="s">
        <v>139</v>
      </c>
      <c r="C34" s="260" t="s">
        <v>146</v>
      </c>
      <c r="D34" s="256"/>
      <c r="E34" s="256" t="str">
        <f t="shared" ref="E34:AG34" si="45">IFERROR(IF(E32=0,"-",E32/MAX(0,E33)),0)</f>
        <v>-</v>
      </c>
      <c r="F34" s="256" t="str">
        <f t="shared" si="45"/>
        <v>-</v>
      </c>
      <c r="G34" s="256" t="str">
        <f t="shared" si="45"/>
        <v>-</v>
      </c>
      <c r="H34" s="256" t="str">
        <f t="shared" si="45"/>
        <v>-</v>
      </c>
      <c r="I34" s="256" t="str">
        <f t="shared" si="45"/>
        <v>-</v>
      </c>
      <c r="J34" s="256" t="str">
        <f t="shared" si="45"/>
        <v>-</v>
      </c>
      <c r="K34" s="256" t="str">
        <f t="shared" si="45"/>
        <v>-</v>
      </c>
      <c r="L34" s="256" t="str">
        <f t="shared" si="45"/>
        <v>-</v>
      </c>
      <c r="M34" s="256" t="str">
        <f t="shared" si="45"/>
        <v>-</v>
      </c>
      <c r="N34" s="256" t="str">
        <f t="shared" si="45"/>
        <v>-</v>
      </c>
      <c r="O34" s="256" t="str">
        <f t="shared" si="45"/>
        <v>-</v>
      </c>
      <c r="P34" s="256" t="str">
        <f t="shared" si="45"/>
        <v>-</v>
      </c>
      <c r="Q34" s="256" t="str">
        <f t="shared" si="45"/>
        <v>-</v>
      </c>
      <c r="R34" s="256" t="str">
        <f t="shared" si="45"/>
        <v>-</v>
      </c>
      <c r="S34" s="256" t="str">
        <f t="shared" si="45"/>
        <v>-</v>
      </c>
      <c r="T34" s="256" t="str">
        <f t="shared" si="45"/>
        <v>-</v>
      </c>
      <c r="U34" s="256">
        <f t="shared" si="45"/>
        <v>0</v>
      </c>
      <c r="V34" s="256">
        <f t="shared" si="45"/>
        <v>0</v>
      </c>
      <c r="W34" s="256">
        <f t="shared" si="45"/>
        <v>0</v>
      </c>
      <c r="X34" s="256">
        <f t="shared" si="45"/>
        <v>0</v>
      </c>
      <c r="Y34" s="256">
        <f t="shared" si="45"/>
        <v>0</v>
      </c>
      <c r="Z34" s="256">
        <f t="shared" si="45"/>
        <v>0</v>
      </c>
      <c r="AA34" s="256">
        <f t="shared" si="45"/>
        <v>0</v>
      </c>
      <c r="AB34" s="256">
        <f t="shared" si="45"/>
        <v>0</v>
      </c>
      <c r="AC34" s="256">
        <f t="shared" si="45"/>
        <v>0</v>
      </c>
      <c r="AD34" s="256">
        <f t="shared" si="45"/>
        <v>0</v>
      </c>
      <c r="AE34" s="256">
        <f t="shared" si="45"/>
        <v>0</v>
      </c>
      <c r="AF34" s="256">
        <f t="shared" si="45"/>
        <v>0</v>
      </c>
      <c r="AG34" s="256">
        <f t="shared" si="45"/>
        <v>0</v>
      </c>
      <c r="AH34" s="256">
        <f t="shared" ref="AH34:BM34" si="46">IFERROR(IF(AH32=0,"-",AH32/MAX(0,AH33)),0)</f>
        <v>0</v>
      </c>
      <c r="AI34" s="256">
        <f t="shared" si="46"/>
        <v>0</v>
      </c>
      <c r="AJ34" s="256">
        <f t="shared" si="46"/>
        <v>0</v>
      </c>
      <c r="AK34" s="256">
        <f t="shared" si="46"/>
        <v>0</v>
      </c>
      <c r="AL34" s="256">
        <f t="shared" si="46"/>
        <v>0</v>
      </c>
      <c r="AM34" s="256">
        <f t="shared" si="46"/>
        <v>0</v>
      </c>
      <c r="AN34" s="256">
        <f t="shared" si="46"/>
        <v>0</v>
      </c>
      <c r="AO34" s="256">
        <f t="shared" si="46"/>
        <v>0</v>
      </c>
      <c r="AP34" s="256">
        <f t="shared" si="46"/>
        <v>0</v>
      </c>
      <c r="AQ34" s="256">
        <f t="shared" si="46"/>
        <v>0</v>
      </c>
      <c r="AR34" s="256">
        <f t="shared" si="46"/>
        <v>0</v>
      </c>
      <c r="AS34" s="256">
        <f t="shared" si="46"/>
        <v>0</v>
      </c>
      <c r="AT34" s="256">
        <f t="shared" si="46"/>
        <v>0</v>
      </c>
      <c r="AU34" s="256">
        <f t="shared" si="46"/>
        <v>0</v>
      </c>
      <c r="AV34" s="256">
        <f t="shared" si="46"/>
        <v>0</v>
      </c>
      <c r="AW34" s="256">
        <f t="shared" si="46"/>
        <v>0</v>
      </c>
      <c r="AX34" s="256">
        <f t="shared" si="46"/>
        <v>0</v>
      </c>
      <c r="AY34" s="256">
        <f t="shared" si="46"/>
        <v>0</v>
      </c>
      <c r="AZ34" s="256">
        <f t="shared" si="46"/>
        <v>0</v>
      </c>
      <c r="BA34" s="256">
        <f t="shared" si="46"/>
        <v>0</v>
      </c>
      <c r="BB34" s="256">
        <f t="shared" si="46"/>
        <v>0</v>
      </c>
      <c r="BC34" s="256">
        <f t="shared" si="46"/>
        <v>0</v>
      </c>
      <c r="BD34" s="256">
        <f t="shared" si="46"/>
        <v>0</v>
      </c>
      <c r="BE34" s="256">
        <f t="shared" si="46"/>
        <v>0</v>
      </c>
      <c r="BF34" s="256">
        <f t="shared" si="46"/>
        <v>0</v>
      </c>
      <c r="BG34" s="256">
        <f t="shared" si="46"/>
        <v>0</v>
      </c>
      <c r="BH34" s="256">
        <f t="shared" si="46"/>
        <v>0</v>
      </c>
      <c r="BI34" s="256">
        <f t="shared" si="46"/>
        <v>0</v>
      </c>
      <c r="BJ34" s="256">
        <f t="shared" si="46"/>
        <v>0</v>
      </c>
      <c r="BK34" s="256">
        <f t="shared" si="46"/>
        <v>0</v>
      </c>
      <c r="BL34" s="256">
        <f t="shared" si="46"/>
        <v>0</v>
      </c>
      <c r="BM34" s="256">
        <f t="shared" si="46"/>
        <v>0</v>
      </c>
    </row>
    <row r="35" spans="2:65" ht="15" customHeight="1">
      <c r="B35" s="37"/>
      <c r="C35" s="37"/>
      <c r="D35" s="37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37"/>
      <c r="AJ35" s="37"/>
      <c r="AK35" s="37"/>
      <c r="AL35" s="37"/>
      <c r="AM35" s="37"/>
      <c r="AN35" s="37"/>
      <c r="AO35" s="37"/>
      <c r="AP35" s="37"/>
      <c r="AQ35" s="37"/>
      <c r="AR35" s="37"/>
      <c r="AS35" s="37"/>
      <c r="AT35" s="37"/>
      <c r="AU35" s="37"/>
      <c r="AV35" s="37"/>
      <c r="AW35" s="37"/>
      <c r="AX35" s="37"/>
      <c r="AY35" s="37"/>
      <c r="AZ35" s="37"/>
      <c r="BA35" s="37"/>
      <c r="BB35" s="37"/>
      <c r="BC35" s="37"/>
      <c r="BD35" s="37"/>
      <c r="BE35" s="37"/>
      <c r="BF35" s="37"/>
      <c r="BG35" s="37"/>
      <c r="BH35" s="37"/>
      <c r="BI35" s="37"/>
      <c r="BJ35" s="37"/>
      <c r="BK35" s="37"/>
      <c r="BL35" s="37"/>
      <c r="BM35" s="37"/>
    </row>
    <row r="36" spans="2:65" ht="15" customHeight="1">
      <c r="B36" s="118" t="s">
        <v>290</v>
      </c>
      <c r="C36" s="37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7"/>
      <c r="AR36" s="37"/>
      <c r="AS36" s="37"/>
      <c r="AT36" s="37"/>
      <c r="AU36" s="37"/>
      <c r="AV36" s="37"/>
      <c r="AW36" s="37"/>
      <c r="AX36" s="37"/>
      <c r="AY36" s="37"/>
      <c r="AZ36" s="37"/>
      <c r="BA36" s="37"/>
      <c r="BB36" s="37"/>
      <c r="BC36" s="37"/>
      <c r="BD36" s="37"/>
      <c r="BE36" s="37"/>
      <c r="BF36" s="37"/>
      <c r="BG36" s="37"/>
      <c r="BH36" s="37"/>
      <c r="BI36" s="37"/>
      <c r="BJ36" s="37"/>
      <c r="BK36" s="37"/>
      <c r="BL36" s="37"/>
      <c r="BM36" s="37"/>
    </row>
    <row r="37" spans="2:65" ht="15" customHeight="1">
      <c r="B37" s="112" t="s">
        <v>140</v>
      </c>
      <c r="C37" s="113" t="str">
        <f>Единица_измерения</f>
        <v>тыс. руб.</v>
      </c>
      <c r="D37" s="114"/>
      <c r="E37" s="114">
        <f t="shared" ref="E37:AJ37" si="47">E26</f>
        <v>0</v>
      </c>
      <c r="F37" s="114">
        <f t="shared" si="47"/>
        <v>0</v>
      </c>
      <c r="G37" s="114">
        <f t="shared" si="47"/>
        <v>0</v>
      </c>
      <c r="H37" s="114">
        <f t="shared" si="47"/>
        <v>0</v>
      </c>
      <c r="I37" s="114">
        <f t="shared" si="47"/>
        <v>0</v>
      </c>
      <c r="J37" s="114">
        <f t="shared" si="47"/>
        <v>0</v>
      </c>
      <c r="K37" s="114">
        <f t="shared" si="47"/>
        <v>0</v>
      </c>
      <c r="L37" s="114">
        <f t="shared" si="47"/>
        <v>0</v>
      </c>
      <c r="M37" s="114">
        <f t="shared" si="47"/>
        <v>0</v>
      </c>
      <c r="N37" s="114">
        <f t="shared" si="47"/>
        <v>0</v>
      </c>
      <c r="O37" s="114">
        <f t="shared" si="47"/>
        <v>0</v>
      </c>
      <c r="P37" s="114">
        <f t="shared" si="47"/>
        <v>0</v>
      </c>
      <c r="Q37" s="114">
        <f t="shared" si="47"/>
        <v>0</v>
      </c>
      <c r="R37" s="114">
        <f t="shared" si="47"/>
        <v>0</v>
      </c>
      <c r="S37" s="114">
        <f t="shared" si="47"/>
        <v>0</v>
      </c>
      <c r="T37" s="114">
        <f t="shared" si="47"/>
        <v>0</v>
      </c>
      <c r="U37" s="114" t="e">
        <f t="shared" si="47"/>
        <v>#N/A</v>
      </c>
      <c r="V37" s="114" t="e">
        <f t="shared" si="47"/>
        <v>#N/A</v>
      </c>
      <c r="W37" s="114" t="e">
        <f t="shared" si="47"/>
        <v>#N/A</v>
      </c>
      <c r="X37" s="114" t="e">
        <f t="shared" si="47"/>
        <v>#N/A</v>
      </c>
      <c r="Y37" s="114" t="e">
        <f t="shared" si="47"/>
        <v>#N/A</v>
      </c>
      <c r="Z37" s="114" t="e">
        <f t="shared" si="47"/>
        <v>#N/A</v>
      </c>
      <c r="AA37" s="114" t="e">
        <f t="shared" si="47"/>
        <v>#N/A</v>
      </c>
      <c r="AB37" s="114" t="e">
        <f t="shared" si="47"/>
        <v>#N/A</v>
      </c>
      <c r="AC37" s="114" t="e">
        <f t="shared" si="47"/>
        <v>#N/A</v>
      </c>
      <c r="AD37" s="114" t="e">
        <f t="shared" si="47"/>
        <v>#N/A</v>
      </c>
      <c r="AE37" s="114" t="e">
        <f t="shared" si="47"/>
        <v>#N/A</v>
      </c>
      <c r="AF37" s="114" t="e">
        <f t="shared" si="47"/>
        <v>#N/A</v>
      </c>
      <c r="AG37" s="114" t="e">
        <f t="shared" si="47"/>
        <v>#N/A</v>
      </c>
      <c r="AH37" s="114" t="e">
        <f t="shared" si="47"/>
        <v>#N/A</v>
      </c>
      <c r="AI37" s="114" t="e">
        <f t="shared" si="47"/>
        <v>#N/A</v>
      </c>
      <c r="AJ37" s="114" t="e">
        <f t="shared" si="47"/>
        <v>#N/A</v>
      </c>
      <c r="AK37" s="114" t="e">
        <f t="shared" ref="AK37:BM37" si="48">AK26</f>
        <v>#N/A</v>
      </c>
      <c r="AL37" s="114" t="e">
        <f t="shared" si="48"/>
        <v>#N/A</v>
      </c>
      <c r="AM37" s="114" t="e">
        <f t="shared" si="48"/>
        <v>#N/A</v>
      </c>
      <c r="AN37" s="114" t="e">
        <f t="shared" si="48"/>
        <v>#N/A</v>
      </c>
      <c r="AO37" s="114" t="e">
        <f t="shared" si="48"/>
        <v>#N/A</v>
      </c>
      <c r="AP37" s="114" t="e">
        <f t="shared" si="48"/>
        <v>#N/A</v>
      </c>
      <c r="AQ37" s="114" t="e">
        <f t="shared" si="48"/>
        <v>#N/A</v>
      </c>
      <c r="AR37" s="114" t="e">
        <f t="shared" si="48"/>
        <v>#N/A</v>
      </c>
      <c r="AS37" s="114" t="e">
        <f t="shared" si="48"/>
        <v>#N/A</v>
      </c>
      <c r="AT37" s="114" t="e">
        <f t="shared" si="48"/>
        <v>#N/A</v>
      </c>
      <c r="AU37" s="114" t="e">
        <f t="shared" si="48"/>
        <v>#N/A</v>
      </c>
      <c r="AV37" s="114" t="e">
        <f t="shared" si="48"/>
        <v>#N/A</v>
      </c>
      <c r="AW37" s="114" t="e">
        <f t="shared" si="48"/>
        <v>#N/A</v>
      </c>
      <c r="AX37" s="114" t="e">
        <f t="shared" si="48"/>
        <v>#N/A</v>
      </c>
      <c r="AY37" s="114" t="e">
        <f t="shared" si="48"/>
        <v>#N/A</v>
      </c>
      <c r="AZ37" s="114" t="e">
        <f t="shared" si="48"/>
        <v>#N/A</v>
      </c>
      <c r="BA37" s="114" t="e">
        <f t="shared" si="48"/>
        <v>#N/A</v>
      </c>
      <c r="BB37" s="114" t="e">
        <f t="shared" si="48"/>
        <v>#N/A</v>
      </c>
      <c r="BC37" s="114" t="e">
        <f t="shared" si="48"/>
        <v>#N/A</v>
      </c>
      <c r="BD37" s="114" t="e">
        <f t="shared" si="48"/>
        <v>#N/A</v>
      </c>
      <c r="BE37" s="114" t="e">
        <f t="shared" si="48"/>
        <v>#N/A</v>
      </c>
      <c r="BF37" s="114" t="e">
        <f t="shared" si="48"/>
        <v>#N/A</v>
      </c>
      <c r="BG37" s="114" t="e">
        <f t="shared" si="48"/>
        <v>#N/A</v>
      </c>
      <c r="BH37" s="114" t="e">
        <f t="shared" si="48"/>
        <v>#N/A</v>
      </c>
      <c r="BI37" s="114" t="e">
        <f t="shared" si="48"/>
        <v>#N/A</v>
      </c>
      <c r="BJ37" s="114" t="e">
        <f t="shared" si="48"/>
        <v>#N/A</v>
      </c>
      <c r="BK37" s="114" t="e">
        <f t="shared" si="48"/>
        <v>#N/A</v>
      </c>
      <c r="BL37" s="114" t="e">
        <f t="shared" si="48"/>
        <v>#N/A</v>
      </c>
      <c r="BM37" s="114" t="e">
        <f t="shared" si="48"/>
        <v>#N/A</v>
      </c>
    </row>
    <row r="38" spans="2:65" ht="15" customHeight="1">
      <c r="B38" s="112" t="s">
        <v>291</v>
      </c>
      <c r="C38" s="113" t="str">
        <f>Единица_измерения</f>
        <v>тыс. руб.</v>
      </c>
      <c r="D38" s="114"/>
      <c r="E38" s="114">
        <f>-'Годовая отчетность'!E114</f>
        <v>0</v>
      </c>
      <c r="F38" s="114">
        <f>-'Годовая отчетность'!F114</f>
        <v>0</v>
      </c>
      <c r="G38" s="114">
        <f>-'Годовая отчетность'!G114</f>
        <v>0</v>
      </c>
      <c r="H38" s="114">
        <f>-'Годовая отчетность'!H114</f>
        <v>0</v>
      </c>
      <c r="I38" s="114">
        <f>-'Годовая отчетность'!I114</f>
        <v>0</v>
      </c>
      <c r="J38" s="114">
        <f>-'Годовая отчетность'!J114</f>
        <v>0</v>
      </c>
      <c r="K38" s="114">
        <f>-'Годовая отчетность'!K114</f>
        <v>0</v>
      </c>
      <c r="L38" s="114">
        <f>-'Годовая отчетность'!L114</f>
        <v>0</v>
      </c>
      <c r="M38" s="114">
        <f>-'Годовая отчетность'!M114</f>
        <v>0</v>
      </c>
      <c r="N38" s="114">
        <f>-'Годовая отчетность'!N114</f>
        <v>0</v>
      </c>
      <c r="O38" s="114">
        <f>-'Годовая отчетность'!O114</f>
        <v>0</v>
      </c>
      <c r="P38" s="114">
        <f>-'Годовая отчетность'!P114</f>
        <v>0</v>
      </c>
      <c r="Q38" s="114">
        <f>-'Годовая отчетность'!Q114</f>
        <v>0</v>
      </c>
      <c r="R38" s="114">
        <f>-'Годовая отчетность'!R114</f>
        <v>0</v>
      </c>
      <c r="S38" s="114">
        <f>-'Годовая отчетность'!S114</f>
        <v>0</v>
      </c>
      <c r="T38" s="114">
        <f>-'Годовая отчетность'!T114</f>
        <v>0</v>
      </c>
      <c r="U38" s="114">
        <f>-'Годовая отчетность'!U114</f>
        <v>0</v>
      </c>
      <c r="V38" s="114">
        <f>-'Годовая отчетность'!V114</f>
        <v>0</v>
      </c>
      <c r="W38" s="114">
        <f>-'Годовая отчетность'!W114</f>
        <v>0</v>
      </c>
      <c r="X38" s="114">
        <f>-'Годовая отчетность'!X114</f>
        <v>0</v>
      </c>
      <c r="Y38" s="114">
        <f>-'Годовая отчетность'!Y114</f>
        <v>0</v>
      </c>
      <c r="Z38" s="114">
        <f>-'Годовая отчетность'!Z114</f>
        <v>0</v>
      </c>
      <c r="AA38" s="114">
        <f>-'Годовая отчетность'!AA114</f>
        <v>0</v>
      </c>
      <c r="AB38" s="114">
        <f>-'Годовая отчетность'!AB114</f>
        <v>0</v>
      </c>
      <c r="AC38" s="114">
        <f>-'Годовая отчетность'!AC114</f>
        <v>0</v>
      </c>
      <c r="AD38" s="114">
        <f>-'Годовая отчетность'!AD114</f>
        <v>0</v>
      </c>
      <c r="AE38" s="114">
        <f>-'Годовая отчетность'!AE114</f>
        <v>0</v>
      </c>
      <c r="AF38" s="114">
        <f>-'Годовая отчетность'!AF114</f>
        <v>0</v>
      </c>
      <c r="AG38" s="114">
        <f>-'Годовая отчетность'!AG114</f>
        <v>0</v>
      </c>
      <c r="AH38" s="114">
        <f>-'Годовая отчетность'!AH114</f>
        <v>0</v>
      </c>
      <c r="AI38" s="114">
        <f>-'Годовая отчетность'!AI114</f>
        <v>0</v>
      </c>
      <c r="AJ38" s="114">
        <f>-'Годовая отчетность'!AJ114</f>
        <v>0</v>
      </c>
      <c r="AK38" s="114">
        <f>-'Годовая отчетность'!AK114</f>
        <v>0</v>
      </c>
      <c r="AL38" s="114">
        <f>-'Годовая отчетность'!AL114</f>
        <v>0</v>
      </c>
      <c r="AM38" s="114">
        <f>-'Годовая отчетность'!AM114</f>
        <v>0</v>
      </c>
      <c r="AN38" s="114">
        <f>-'Годовая отчетность'!AN114</f>
        <v>0</v>
      </c>
      <c r="AO38" s="114">
        <f>-'Годовая отчетность'!AO114</f>
        <v>0</v>
      </c>
      <c r="AP38" s="114">
        <f>-'Годовая отчетность'!AP114</f>
        <v>0</v>
      </c>
      <c r="AQ38" s="114">
        <f>-'Годовая отчетность'!AQ114</f>
        <v>0</v>
      </c>
      <c r="AR38" s="114">
        <f>-'Годовая отчетность'!AR114</f>
        <v>0</v>
      </c>
      <c r="AS38" s="114">
        <f>-'Годовая отчетность'!AS114</f>
        <v>0</v>
      </c>
      <c r="AT38" s="114">
        <f>-'Годовая отчетность'!AT114</f>
        <v>0</v>
      </c>
      <c r="AU38" s="114">
        <f>-'Годовая отчетность'!AU114</f>
        <v>0</v>
      </c>
      <c r="AV38" s="114">
        <f>-'Годовая отчетность'!AV114</f>
        <v>0</v>
      </c>
      <c r="AW38" s="114">
        <f>-'Годовая отчетность'!AW114</f>
        <v>0</v>
      </c>
      <c r="AX38" s="114">
        <f>-'Годовая отчетность'!AX114</f>
        <v>0</v>
      </c>
      <c r="AY38" s="114">
        <f>-'Годовая отчетность'!AY114</f>
        <v>0</v>
      </c>
      <c r="AZ38" s="114">
        <f>-'Годовая отчетность'!AZ114</f>
        <v>0</v>
      </c>
      <c r="BA38" s="114">
        <f>-'Годовая отчетность'!BA114</f>
        <v>0</v>
      </c>
      <c r="BB38" s="114">
        <f>-'Годовая отчетность'!BB114</f>
        <v>0</v>
      </c>
      <c r="BC38" s="114">
        <f>-'Годовая отчетность'!BC114</f>
        <v>0</v>
      </c>
      <c r="BD38" s="114">
        <f>-'Годовая отчетность'!BD114</f>
        <v>0</v>
      </c>
      <c r="BE38" s="114">
        <f>-'Годовая отчетность'!BE114</f>
        <v>0</v>
      </c>
      <c r="BF38" s="114">
        <f>-'Годовая отчетность'!BF114</f>
        <v>0</v>
      </c>
      <c r="BG38" s="114">
        <f>-'Годовая отчетность'!BG114</f>
        <v>0</v>
      </c>
      <c r="BH38" s="114">
        <f>-'Годовая отчетность'!BH114</f>
        <v>0</v>
      </c>
      <c r="BI38" s="114">
        <f>-'Годовая отчетность'!BI114</f>
        <v>0</v>
      </c>
      <c r="BJ38" s="114">
        <f>-'Годовая отчетность'!BJ114</f>
        <v>0</v>
      </c>
      <c r="BK38" s="114">
        <f>-'Годовая отчетность'!BK114</f>
        <v>0</v>
      </c>
      <c r="BL38" s="114">
        <f>-'Годовая отчетность'!BL114</f>
        <v>0</v>
      </c>
      <c r="BM38" s="114">
        <f>-'Годовая отчетность'!BM114</f>
        <v>0</v>
      </c>
    </row>
    <row r="39" spans="2:65" ht="15" customHeight="1">
      <c r="B39" s="259" t="s">
        <v>12</v>
      </c>
      <c r="C39" s="260" t="str">
        <f>Единица_измерения</f>
        <v>тыс. руб.</v>
      </c>
      <c r="D39" s="248"/>
      <c r="E39" s="248">
        <f t="shared" ref="E39:AG39" si="49">IF(SUM(E37:E38)&lt;0,0,SUM(E37:E38))</f>
        <v>0</v>
      </c>
      <c r="F39" s="248">
        <f t="shared" si="49"/>
        <v>0</v>
      </c>
      <c r="G39" s="248">
        <f t="shared" si="49"/>
        <v>0</v>
      </c>
      <c r="H39" s="248">
        <f t="shared" si="49"/>
        <v>0</v>
      </c>
      <c r="I39" s="248">
        <f t="shared" si="49"/>
        <v>0</v>
      </c>
      <c r="J39" s="248">
        <f t="shared" si="49"/>
        <v>0</v>
      </c>
      <c r="K39" s="248">
        <f t="shared" si="49"/>
        <v>0</v>
      </c>
      <c r="L39" s="248">
        <f t="shared" si="49"/>
        <v>0</v>
      </c>
      <c r="M39" s="248">
        <f t="shared" si="49"/>
        <v>0</v>
      </c>
      <c r="N39" s="248">
        <f t="shared" si="49"/>
        <v>0</v>
      </c>
      <c r="O39" s="248">
        <f t="shared" si="49"/>
        <v>0</v>
      </c>
      <c r="P39" s="248">
        <f t="shared" si="49"/>
        <v>0</v>
      </c>
      <c r="Q39" s="248">
        <f t="shared" si="49"/>
        <v>0</v>
      </c>
      <c r="R39" s="248">
        <f t="shared" si="49"/>
        <v>0</v>
      </c>
      <c r="S39" s="248">
        <f t="shared" si="49"/>
        <v>0</v>
      </c>
      <c r="T39" s="248">
        <f t="shared" si="49"/>
        <v>0</v>
      </c>
      <c r="U39" s="248" t="e">
        <f t="shared" si="49"/>
        <v>#N/A</v>
      </c>
      <c r="V39" s="248" t="e">
        <f t="shared" si="49"/>
        <v>#N/A</v>
      </c>
      <c r="W39" s="248" t="e">
        <f t="shared" si="49"/>
        <v>#N/A</v>
      </c>
      <c r="X39" s="248" t="e">
        <f t="shared" si="49"/>
        <v>#N/A</v>
      </c>
      <c r="Y39" s="248" t="e">
        <f t="shared" si="49"/>
        <v>#N/A</v>
      </c>
      <c r="Z39" s="248" t="e">
        <f t="shared" si="49"/>
        <v>#N/A</v>
      </c>
      <c r="AA39" s="248" t="e">
        <f t="shared" si="49"/>
        <v>#N/A</v>
      </c>
      <c r="AB39" s="248" t="e">
        <f t="shared" si="49"/>
        <v>#N/A</v>
      </c>
      <c r="AC39" s="248" t="e">
        <f t="shared" si="49"/>
        <v>#N/A</v>
      </c>
      <c r="AD39" s="248" t="e">
        <f t="shared" si="49"/>
        <v>#N/A</v>
      </c>
      <c r="AE39" s="248" t="e">
        <f t="shared" si="49"/>
        <v>#N/A</v>
      </c>
      <c r="AF39" s="248" t="e">
        <f t="shared" si="49"/>
        <v>#N/A</v>
      </c>
      <c r="AG39" s="248" t="e">
        <f t="shared" si="49"/>
        <v>#N/A</v>
      </c>
      <c r="AH39" s="248" t="e">
        <f t="shared" ref="AH39:BM39" si="50">IF(SUM(AH37:AH38)&lt;0,0,SUM(AH37:AH38))</f>
        <v>#N/A</v>
      </c>
      <c r="AI39" s="248" t="e">
        <f t="shared" si="50"/>
        <v>#N/A</v>
      </c>
      <c r="AJ39" s="248" t="e">
        <f t="shared" si="50"/>
        <v>#N/A</v>
      </c>
      <c r="AK39" s="248" t="e">
        <f t="shared" si="50"/>
        <v>#N/A</v>
      </c>
      <c r="AL39" s="248" t="e">
        <f t="shared" si="50"/>
        <v>#N/A</v>
      </c>
      <c r="AM39" s="248" t="e">
        <f t="shared" si="50"/>
        <v>#N/A</v>
      </c>
      <c r="AN39" s="248" t="e">
        <f t="shared" si="50"/>
        <v>#N/A</v>
      </c>
      <c r="AO39" s="248" t="e">
        <f t="shared" si="50"/>
        <v>#N/A</v>
      </c>
      <c r="AP39" s="248" t="e">
        <f t="shared" si="50"/>
        <v>#N/A</v>
      </c>
      <c r="AQ39" s="248" t="e">
        <f t="shared" si="50"/>
        <v>#N/A</v>
      </c>
      <c r="AR39" s="248" t="e">
        <f t="shared" si="50"/>
        <v>#N/A</v>
      </c>
      <c r="AS39" s="248" t="e">
        <f t="shared" si="50"/>
        <v>#N/A</v>
      </c>
      <c r="AT39" s="248" t="e">
        <f t="shared" si="50"/>
        <v>#N/A</v>
      </c>
      <c r="AU39" s="248" t="e">
        <f t="shared" si="50"/>
        <v>#N/A</v>
      </c>
      <c r="AV39" s="248" t="e">
        <f t="shared" si="50"/>
        <v>#N/A</v>
      </c>
      <c r="AW39" s="248" t="e">
        <f t="shared" si="50"/>
        <v>#N/A</v>
      </c>
      <c r="AX39" s="248" t="e">
        <f t="shared" si="50"/>
        <v>#N/A</v>
      </c>
      <c r="AY39" s="248" t="e">
        <f t="shared" si="50"/>
        <v>#N/A</v>
      </c>
      <c r="AZ39" s="248" t="e">
        <f t="shared" si="50"/>
        <v>#N/A</v>
      </c>
      <c r="BA39" s="248" t="e">
        <f t="shared" si="50"/>
        <v>#N/A</v>
      </c>
      <c r="BB39" s="248" t="e">
        <f t="shared" si="50"/>
        <v>#N/A</v>
      </c>
      <c r="BC39" s="248" t="e">
        <f t="shared" si="50"/>
        <v>#N/A</v>
      </c>
      <c r="BD39" s="248" t="e">
        <f t="shared" si="50"/>
        <v>#N/A</v>
      </c>
      <c r="BE39" s="248" t="e">
        <f t="shared" si="50"/>
        <v>#N/A</v>
      </c>
      <c r="BF39" s="248" t="e">
        <f t="shared" si="50"/>
        <v>#N/A</v>
      </c>
      <c r="BG39" s="248" t="e">
        <f t="shared" si="50"/>
        <v>#N/A</v>
      </c>
      <c r="BH39" s="248" t="e">
        <f t="shared" si="50"/>
        <v>#N/A</v>
      </c>
      <c r="BI39" s="248" t="e">
        <f t="shared" si="50"/>
        <v>#N/A</v>
      </c>
      <c r="BJ39" s="248" t="e">
        <f t="shared" si="50"/>
        <v>#N/A</v>
      </c>
      <c r="BK39" s="248" t="e">
        <f t="shared" si="50"/>
        <v>#N/A</v>
      </c>
      <c r="BL39" s="248" t="e">
        <f t="shared" si="50"/>
        <v>#N/A</v>
      </c>
      <c r="BM39" s="248" t="e">
        <f t="shared" si="50"/>
        <v>#N/A</v>
      </c>
    </row>
    <row r="40" spans="2:65" ht="15" customHeight="1">
      <c r="B40" s="37"/>
      <c r="C40" s="37"/>
      <c r="D40" s="37"/>
      <c r="E40" s="37"/>
      <c r="F40" s="37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37"/>
      <c r="U40" s="37"/>
      <c r="V40" s="37"/>
      <c r="W40" s="37"/>
      <c r="X40" s="37"/>
      <c r="Y40" s="37"/>
      <c r="Z40" s="37"/>
      <c r="AA40" s="37"/>
      <c r="AB40" s="37"/>
      <c r="AC40" s="37"/>
      <c r="AD40" s="37"/>
      <c r="AE40" s="37"/>
      <c r="AF40" s="37"/>
      <c r="AG40" s="37"/>
      <c r="AH40" s="37"/>
      <c r="AI40" s="37"/>
      <c r="AJ40" s="37"/>
      <c r="AK40" s="37"/>
      <c r="AL40" s="37"/>
      <c r="AM40" s="37"/>
      <c r="AN40" s="37"/>
      <c r="AO40" s="37"/>
      <c r="AP40" s="37"/>
      <c r="AQ40" s="37"/>
      <c r="AR40" s="37"/>
      <c r="AS40" s="37"/>
      <c r="AT40" s="37"/>
      <c r="AU40" s="37"/>
      <c r="AV40" s="37"/>
      <c r="AW40" s="37"/>
      <c r="AX40" s="37"/>
      <c r="AY40" s="37"/>
      <c r="AZ40" s="37"/>
      <c r="BA40" s="37"/>
      <c r="BB40" s="37"/>
      <c r="BC40" s="37"/>
      <c r="BD40" s="37"/>
      <c r="BE40" s="37"/>
      <c r="BF40" s="37"/>
      <c r="BG40" s="37"/>
      <c r="BH40" s="37"/>
      <c r="BI40" s="37"/>
      <c r="BJ40" s="37"/>
      <c r="BK40" s="37"/>
      <c r="BL40" s="37"/>
      <c r="BM40" s="37"/>
    </row>
    <row r="41" spans="2:65" ht="15" customHeight="1">
      <c r="B41" s="118" t="s">
        <v>141</v>
      </c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7"/>
      <c r="Z41" s="37"/>
      <c r="AA41" s="37"/>
      <c r="AB41" s="37"/>
      <c r="AC41" s="37"/>
      <c r="AD41" s="37"/>
      <c r="AE41" s="37"/>
      <c r="AF41" s="37"/>
      <c r="AG41" s="37"/>
      <c r="AH41" s="37"/>
      <c r="AI41" s="37"/>
      <c r="AJ41" s="37"/>
      <c r="AK41" s="37"/>
      <c r="AL41" s="37"/>
      <c r="AM41" s="37"/>
      <c r="AN41" s="37"/>
      <c r="AO41" s="37"/>
      <c r="AP41" s="37"/>
      <c r="AQ41" s="37"/>
      <c r="AR41" s="37"/>
      <c r="AS41" s="37"/>
      <c r="AT41" s="37"/>
      <c r="AU41" s="37"/>
      <c r="AV41" s="37"/>
      <c r="AW41" s="37"/>
      <c r="AX41" s="37"/>
      <c r="AY41" s="37"/>
      <c r="AZ41" s="37"/>
      <c r="BA41" s="37"/>
      <c r="BB41" s="37"/>
      <c r="BC41" s="37"/>
      <c r="BD41" s="37"/>
      <c r="BE41" s="37"/>
      <c r="BF41" s="37"/>
      <c r="BG41" s="37"/>
      <c r="BH41" s="37"/>
      <c r="BI41" s="37"/>
      <c r="BJ41" s="37"/>
      <c r="BK41" s="37"/>
      <c r="BL41" s="37"/>
      <c r="BM41" s="37"/>
    </row>
    <row r="42" spans="2:65" ht="15" customHeight="1">
      <c r="B42" s="112" t="s">
        <v>290</v>
      </c>
      <c r="C42" s="113" t="str">
        <f>Единица_измерения</f>
        <v>тыс. руб.</v>
      </c>
      <c r="D42" s="114"/>
      <c r="E42" s="114">
        <f t="shared" ref="E42:AG42" si="51">E39</f>
        <v>0</v>
      </c>
      <c r="F42" s="114">
        <f t="shared" si="51"/>
        <v>0</v>
      </c>
      <c r="G42" s="114">
        <f t="shared" si="51"/>
        <v>0</v>
      </c>
      <c r="H42" s="114">
        <f t="shared" si="51"/>
        <v>0</v>
      </c>
      <c r="I42" s="114">
        <f t="shared" si="51"/>
        <v>0</v>
      </c>
      <c r="J42" s="114">
        <f t="shared" si="51"/>
        <v>0</v>
      </c>
      <c r="K42" s="114">
        <f t="shared" si="51"/>
        <v>0</v>
      </c>
      <c r="L42" s="114">
        <f t="shared" si="51"/>
        <v>0</v>
      </c>
      <c r="M42" s="114">
        <f t="shared" si="51"/>
        <v>0</v>
      </c>
      <c r="N42" s="114">
        <f t="shared" si="51"/>
        <v>0</v>
      </c>
      <c r="O42" s="114">
        <f t="shared" si="51"/>
        <v>0</v>
      </c>
      <c r="P42" s="114">
        <f t="shared" si="51"/>
        <v>0</v>
      </c>
      <c r="Q42" s="114">
        <f t="shared" si="51"/>
        <v>0</v>
      </c>
      <c r="R42" s="114">
        <f t="shared" si="51"/>
        <v>0</v>
      </c>
      <c r="S42" s="114">
        <f t="shared" si="51"/>
        <v>0</v>
      </c>
      <c r="T42" s="114">
        <f t="shared" si="51"/>
        <v>0</v>
      </c>
      <c r="U42" s="114" t="e">
        <f t="shared" si="51"/>
        <v>#N/A</v>
      </c>
      <c r="V42" s="114" t="e">
        <f t="shared" si="51"/>
        <v>#N/A</v>
      </c>
      <c r="W42" s="114" t="e">
        <f t="shared" si="51"/>
        <v>#N/A</v>
      </c>
      <c r="X42" s="114" t="e">
        <f t="shared" si="51"/>
        <v>#N/A</v>
      </c>
      <c r="Y42" s="114" t="e">
        <f t="shared" si="51"/>
        <v>#N/A</v>
      </c>
      <c r="Z42" s="114" t="e">
        <f t="shared" si="51"/>
        <v>#N/A</v>
      </c>
      <c r="AA42" s="114" t="e">
        <f t="shared" si="51"/>
        <v>#N/A</v>
      </c>
      <c r="AB42" s="114" t="e">
        <f t="shared" si="51"/>
        <v>#N/A</v>
      </c>
      <c r="AC42" s="114" t="e">
        <f t="shared" si="51"/>
        <v>#N/A</v>
      </c>
      <c r="AD42" s="114" t="e">
        <f t="shared" si="51"/>
        <v>#N/A</v>
      </c>
      <c r="AE42" s="114" t="e">
        <f t="shared" si="51"/>
        <v>#N/A</v>
      </c>
      <c r="AF42" s="114" t="e">
        <f t="shared" si="51"/>
        <v>#N/A</v>
      </c>
      <c r="AG42" s="114" t="e">
        <f t="shared" si="51"/>
        <v>#N/A</v>
      </c>
      <c r="AH42" s="114" t="e">
        <f t="shared" ref="AH42:BM42" si="52">AH39</f>
        <v>#N/A</v>
      </c>
      <c r="AI42" s="114" t="e">
        <f t="shared" si="52"/>
        <v>#N/A</v>
      </c>
      <c r="AJ42" s="114" t="e">
        <f t="shared" si="52"/>
        <v>#N/A</v>
      </c>
      <c r="AK42" s="114" t="e">
        <f t="shared" si="52"/>
        <v>#N/A</v>
      </c>
      <c r="AL42" s="114" t="e">
        <f t="shared" si="52"/>
        <v>#N/A</v>
      </c>
      <c r="AM42" s="114" t="e">
        <f t="shared" si="52"/>
        <v>#N/A</v>
      </c>
      <c r="AN42" s="114" t="e">
        <f t="shared" si="52"/>
        <v>#N/A</v>
      </c>
      <c r="AO42" s="114" t="e">
        <f t="shared" si="52"/>
        <v>#N/A</v>
      </c>
      <c r="AP42" s="114" t="e">
        <f t="shared" si="52"/>
        <v>#N/A</v>
      </c>
      <c r="AQ42" s="114" t="e">
        <f t="shared" si="52"/>
        <v>#N/A</v>
      </c>
      <c r="AR42" s="114" t="e">
        <f t="shared" si="52"/>
        <v>#N/A</v>
      </c>
      <c r="AS42" s="114" t="e">
        <f t="shared" si="52"/>
        <v>#N/A</v>
      </c>
      <c r="AT42" s="114" t="e">
        <f t="shared" si="52"/>
        <v>#N/A</v>
      </c>
      <c r="AU42" s="114" t="e">
        <f t="shared" si="52"/>
        <v>#N/A</v>
      </c>
      <c r="AV42" s="114" t="e">
        <f t="shared" si="52"/>
        <v>#N/A</v>
      </c>
      <c r="AW42" s="114" t="e">
        <f t="shared" si="52"/>
        <v>#N/A</v>
      </c>
      <c r="AX42" s="114" t="e">
        <f t="shared" si="52"/>
        <v>#N/A</v>
      </c>
      <c r="AY42" s="114" t="e">
        <f t="shared" si="52"/>
        <v>#N/A</v>
      </c>
      <c r="AZ42" s="114" t="e">
        <f t="shared" si="52"/>
        <v>#N/A</v>
      </c>
      <c r="BA42" s="114" t="e">
        <f t="shared" si="52"/>
        <v>#N/A</v>
      </c>
      <c r="BB42" s="114" t="e">
        <f t="shared" si="52"/>
        <v>#N/A</v>
      </c>
      <c r="BC42" s="114" t="e">
        <f t="shared" si="52"/>
        <v>#N/A</v>
      </c>
      <c r="BD42" s="114" t="e">
        <f t="shared" si="52"/>
        <v>#N/A</v>
      </c>
      <c r="BE42" s="114" t="e">
        <f t="shared" si="52"/>
        <v>#N/A</v>
      </c>
      <c r="BF42" s="114" t="e">
        <f t="shared" si="52"/>
        <v>#N/A</v>
      </c>
      <c r="BG42" s="114" t="e">
        <f t="shared" si="52"/>
        <v>#N/A</v>
      </c>
      <c r="BH42" s="114" t="e">
        <f t="shared" si="52"/>
        <v>#N/A</v>
      </c>
      <c r="BI42" s="114" t="e">
        <f t="shared" si="52"/>
        <v>#N/A</v>
      </c>
      <c r="BJ42" s="114" t="e">
        <f t="shared" si="52"/>
        <v>#N/A</v>
      </c>
      <c r="BK42" s="114" t="e">
        <f t="shared" si="52"/>
        <v>#N/A</v>
      </c>
      <c r="BL42" s="114" t="e">
        <f t="shared" si="52"/>
        <v>#N/A</v>
      </c>
      <c r="BM42" s="114" t="e">
        <f t="shared" si="52"/>
        <v>#N/A</v>
      </c>
    </row>
    <row r="43" spans="2:65" ht="15" customHeight="1">
      <c r="B43" s="112" t="s">
        <v>292</v>
      </c>
      <c r="C43" s="113" t="str">
        <f>Единица_измерения</f>
        <v>тыс. руб.</v>
      </c>
      <c r="D43" s="114"/>
      <c r="E43" s="114">
        <f t="shared" ref="E43:AJ43" ca="1" si="53">E29</f>
        <v>0</v>
      </c>
      <c r="F43" s="114">
        <f t="shared" ca="1" si="53"/>
        <v>0</v>
      </c>
      <c r="G43" s="114">
        <f t="shared" ca="1" si="53"/>
        <v>0</v>
      </c>
      <c r="H43" s="114">
        <f t="shared" ca="1" si="53"/>
        <v>0</v>
      </c>
      <c r="I43" s="114">
        <f t="shared" ca="1" si="53"/>
        <v>0</v>
      </c>
      <c r="J43" s="114">
        <f t="shared" ca="1" si="53"/>
        <v>0</v>
      </c>
      <c r="K43" s="114">
        <f t="shared" ca="1" si="53"/>
        <v>0</v>
      </c>
      <c r="L43" s="114">
        <f t="shared" ca="1" si="53"/>
        <v>0</v>
      </c>
      <c r="M43" s="114">
        <f t="shared" ca="1" si="53"/>
        <v>0</v>
      </c>
      <c r="N43" s="114">
        <f t="shared" ca="1" si="53"/>
        <v>0</v>
      </c>
      <c r="O43" s="114">
        <f t="shared" ca="1" si="53"/>
        <v>0</v>
      </c>
      <c r="P43" s="114">
        <f t="shared" ca="1" si="53"/>
        <v>0</v>
      </c>
      <c r="Q43" s="114">
        <f t="shared" ca="1" si="53"/>
        <v>0</v>
      </c>
      <c r="R43" s="114">
        <f t="shared" ca="1" si="53"/>
        <v>0</v>
      </c>
      <c r="S43" s="114">
        <f t="shared" ca="1" si="53"/>
        <v>0</v>
      </c>
      <c r="T43" s="114">
        <f t="shared" ca="1" si="53"/>
        <v>0</v>
      </c>
      <c r="U43" s="114">
        <f t="shared" si="53"/>
        <v>0</v>
      </c>
      <c r="V43" s="114">
        <f t="shared" si="53"/>
        <v>0</v>
      </c>
      <c r="W43" s="114">
        <f t="shared" si="53"/>
        <v>0</v>
      </c>
      <c r="X43" s="114">
        <f t="shared" si="53"/>
        <v>0</v>
      </c>
      <c r="Y43" s="114">
        <f t="shared" si="53"/>
        <v>0</v>
      </c>
      <c r="Z43" s="114">
        <f t="shared" si="53"/>
        <v>0</v>
      </c>
      <c r="AA43" s="114">
        <f t="shared" si="53"/>
        <v>0</v>
      </c>
      <c r="AB43" s="114">
        <f t="shared" si="53"/>
        <v>0</v>
      </c>
      <c r="AC43" s="114">
        <f t="shared" si="53"/>
        <v>0</v>
      </c>
      <c r="AD43" s="114">
        <f t="shared" si="53"/>
        <v>0</v>
      </c>
      <c r="AE43" s="114">
        <f t="shared" si="53"/>
        <v>0</v>
      </c>
      <c r="AF43" s="114">
        <f t="shared" si="53"/>
        <v>0</v>
      </c>
      <c r="AG43" s="114">
        <f t="shared" si="53"/>
        <v>0</v>
      </c>
      <c r="AH43" s="114">
        <f t="shared" si="53"/>
        <v>0</v>
      </c>
      <c r="AI43" s="114">
        <f t="shared" si="53"/>
        <v>0</v>
      </c>
      <c r="AJ43" s="114">
        <f t="shared" si="53"/>
        <v>0</v>
      </c>
      <c r="AK43" s="114">
        <f t="shared" ref="AK43:BM43" si="54">AK29</f>
        <v>0</v>
      </c>
      <c r="AL43" s="114">
        <f t="shared" si="54"/>
        <v>0</v>
      </c>
      <c r="AM43" s="114">
        <f t="shared" si="54"/>
        <v>0</v>
      </c>
      <c r="AN43" s="114">
        <f t="shared" si="54"/>
        <v>0</v>
      </c>
      <c r="AO43" s="114">
        <f t="shared" si="54"/>
        <v>0</v>
      </c>
      <c r="AP43" s="114">
        <f t="shared" si="54"/>
        <v>0</v>
      </c>
      <c r="AQ43" s="114">
        <f t="shared" si="54"/>
        <v>0</v>
      </c>
      <c r="AR43" s="114">
        <f t="shared" si="54"/>
        <v>0</v>
      </c>
      <c r="AS43" s="114">
        <f t="shared" si="54"/>
        <v>0</v>
      </c>
      <c r="AT43" s="114">
        <f t="shared" si="54"/>
        <v>0</v>
      </c>
      <c r="AU43" s="114">
        <f t="shared" si="54"/>
        <v>0</v>
      </c>
      <c r="AV43" s="114">
        <f t="shared" si="54"/>
        <v>0</v>
      </c>
      <c r="AW43" s="114">
        <f t="shared" si="54"/>
        <v>0</v>
      </c>
      <c r="AX43" s="114">
        <f t="shared" si="54"/>
        <v>0</v>
      </c>
      <c r="AY43" s="114">
        <f t="shared" si="54"/>
        <v>0</v>
      </c>
      <c r="AZ43" s="114">
        <f t="shared" si="54"/>
        <v>0</v>
      </c>
      <c r="BA43" s="114">
        <f t="shared" si="54"/>
        <v>0</v>
      </c>
      <c r="BB43" s="114">
        <f t="shared" si="54"/>
        <v>0</v>
      </c>
      <c r="BC43" s="114">
        <f t="shared" si="54"/>
        <v>0</v>
      </c>
      <c r="BD43" s="114">
        <f t="shared" si="54"/>
        <v>0</v>
      </c>
      <c r="BE43" s="114">
        <f t="shared" si="54"/>
        <v>0</v>
      </c>
      <c r="BF43" s="114">
        <f t="shared" si="54"/>
        <v>0</v>
      </c>
      <c r="BG43" s="114">
        <f t="shared" si="54"/>
        <v>0</v>
      </c>
      <c r="BH43" s="114">
        <f t="shared" si="54"/>
        <v>0</v>
      </c>
      <c r="BI43" s="114">
        <f t="shared" si="54"/>
        <v>0</v>
      </c>
      <c r="BJ43" s="114">
        <f t="shared" si="54"/>
        <v>0</v>
      </c>
      <c r="BK43" s="114">
        <f t="shared" si="54"/>
        <v>0</v>
      </c>
      <c r="BL43" s="114">
        <f t="shared" si="54"/>
        <v>0</v>
      </c>
      <c r="BM43" s="114">
        <f t="shared" si="54"/>
        <v>0</v>
      </c>
    </row>
    <row r="44" spans="2:65" ht="15" customHeight="1">
      <c r="B44" s="259" t="s">
        <v>537</v>
      </c>
      <c r="C44" s="260" t="s">
        <v>146</v>
      </c>
      <c r="D44" s="256"/>
      <c r="E44" s="256" t="str">
        <f t="shared" ref="E44:AG44" si="55">IFERROR(IF(E42=0,"-",E42/MAX(0,E43)),0)</f>
        <v>-</v>
      </c>
      <c r="F44" s="256" t="str">
        <f t="shared" si="55"/>
        <v>-</v>
      </c>
      <c r="G44" s="256" t="str">
        <f t="shared" si="55"/>
        <v>-</v>
      </c>
      <c r="H44" s="256" t="str">
        <f t="shared" si="55"/>
        <v>-</v>
      </c>
      <c r="I44" s="256" t="str">
        <f t="shared" si="55"/>
        <v>-</v>
      </c>
      <c r="J44" s="256" t="str">
        <f t="shared" si="55"/>
        <v>-</v>
      </c>
      <c r="K44" s="256" t="str">
        <f t="shared" si="55"/>
        <v>-</v>
      </c>
      <c r="L44" s="256" t="str">
        <f t="shared" si="55"/>
        <v>-</v>
      </c>
      <c r="M44" s="256" t="str">
        <f t="shared" si="55"/>
        <v>-</v>
      </c>
      <c r="N44" s="256" t="str">
        <f t="shared" si="55"/>
        <v>-</v>
      </c>
      <c r="O44" s="256" t="str">
        <f t="shared" si="55"/>
        <v>-</v>
      </c>
      <c r="P44" s="256" t="str">
        <f t="shared" si="55"/>
        <v>-</v>
      </c>
      <c r="Q44" s="256" t="str">
        <f t="shared" si="55"/>
        <v>-</v>
      </c>
      <c r="R44" s="256" t="str">
        <f t="shared" si="55"/>
        <v>-</v>
      </c>
      <c r="S44" s="256" t="str">
        <f t="shared" si="55"/>
        <v>-</v>
      </c>
      <c r="T44" s="256" t="str">
        <f t="shared" si="55"/>
        <v>-</v>
      </c>
      <c r="U44" s="256">
        <f t="shared" si="55"/>
        <v>0</v>
      </c>
      <c r="V44" s="256">
        <f t="shared" si="55"/>
        <v>0</v>
      </c>
      <c r="W44" s="256">
        <f t="shared" si="55"/>
        <v>0</v>
      </c>
      <c r="X44" s="256">
        <f t="shared" si="55"/>
        <v>0</v>
      </c>
      <c r="Y44" s="256">
        <f t="shared" si="55"/>
        <v>0</v>
      </c>
      <c r="Z44" s="256">
        <f t="shared" si="55"/>
        <v>0</v>
      </c>
      <c r="AA44" s="256">
        <f t="shared" si="55"/>
        <v>0</v>
      </c>
      <c r="AB44" s="256">
        <f t="shared" si="55"/>
        <v>0</v>
      </c>
      <c r="AC44" s="256">
        <f t="shared" si="55"/>
        <v>0</v>
      </c>
      <c r="AD44" s="256">
        <f t="shared" si="55"/>
        <v>0</v>
      </c>
      <c r="AE44" s="256">
        <f t="shared" si="55"/>
        <v>0</v>
      </c>
      <c r="AF44" s="256">
        <f t="shared" si="55"/>
        <v>0</v>
      </c>
      <c r="AG44" s="256">
        <f t="shared" si="55"/>
        <v>0</v>
      </c>
      <c r="AH44" s="256">
        <f t="shared" ref="AH44:BM44" si="56">IFERROR(IF(AH42=0,"-",AH42/MAX(0,AH43)),0)</f>
        <v>0</v>
      </c>
      <c r="AI44" s="256">
        <f t="shared" si="56"/>
        <v>0</v>
      </c>
      <c r="AJ44" s="256">
        <f t="shared" si="56"/>
        <v>0</v>
      </c>
      <c r="AK44" s="256">
        <f t="shared" si="56"/>
        <v>0</v>
      </c>
      <c r="AL44" s="256">
        <f t="shared" si="56"/>
        <v>0</v>
      </c>
      <c r="AM44" s="256">
        <f t="shared" si="56"/>
        <v>0</v>
      </c>
      <c r="AN44" s="256">
        <f t="shared" si="56"/>
        <v>0</v>
      </c>
      <c r="AO44" s="256">
        <f t="shared" si="56"/>
        <v>0</v>
      </c>
      <c r="AP44" s="256">
        <f t="shared" si="56"/>
        <v>0</v>
      </c>
      <c r="AQ44" s="256">
        <f t="shared" si="56"/>
        <v>0</v>
      </c>
      <c r="AR44" s="256">
        <f t="shared" si="56"/>
        <v>0</v>
      </c>
      <c r="AS44" s="256">
        <f t="shared" si="56"/>
        <v>0</v>
      </c>
      <c r="AT44" s="256">
        <f t="shared" si="56"/>
        <v>0</v>
      </c>
      <c r="AU44" s="256">
        <f t="shared" si="56"/>
        <v>0</v>
      </c>
      <c r="AV44" s="256">
        <f t="shared" si="56"/>
        <v>0</v>
      </c>
      <c r="AW44" s="256">
        <f t="shared" si="56"/>
        <v>0</v>
      </c>
      <c r="AX44" s="256">
        <f t="shared" si="56"/>
        <v>0</v>
      </c>
      <c r="AY44" s="256">
        <f t="shared" si="56"/>
        <v>0</v>
      </c>
      <c r="AZ44" s="256">
        <f t="shared" si="56"/>
        <v>0</v>
      </c>
      <c r="BA44" s="256">
        <f t="shared" si="56"/>
        <v>0</v>
      </c>
      <c r="BB44" s="256">
        <f t="shared" si="56"/>
        <v>0</v>
      </c>
      <c r="BC44" s="256">
        <f t="shared" si="56"/>
        <v>0</v>
      </c>
      <c r="BD44" s="256">
        <f t="shared" si="56"/>
        <v>0</v>
      </c>
      <c r="BE44" s="256">
        <f t="shared" si="56"/>
        <v>0</v>
      </c>
      <c r="BF44" s="256">
        <f t="shared" si="56"/>
        <v>0</v>
      </c>
      <c r="BG44" s="256">
        <f t="shared" si="56"/>
        <v>0</v>
      </c>
      <c r="BH44" s="256">
        <f t="shared" si="56"/>
        <v>0</v>
      </c>
      <c r="BI44" s="256">
        <f t="shared" si="56"/>
        <v>0</v>
      </c>
      <c r="BJ44" s="256">
        <f t="shared" si="56"/>
        <v>0</v>
      </c>
      <c r="BK44" s="256">
        <f t="shared" si="56"/>
        <v>0</v>
      </c>
      <c r="BL44" s="256">
        <f t="shared" si="56"/>
        <v>0</v>
      </c>
      <c r="BM44" s="256">
        <f t="shared" si="56"/>
        <v>0</v>
      </c>
    </row>
    <row r="45" spans="2:65" ht="15" customHeight="1">
      <c r="B45" s="37"/>
      <c r="C45" s="37"/>
      <c r="D45" s="37"/>
      <c r="E45" s="37"/>
      <c r="F45" s="37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37"/>
      <c r="U45" s="37"/>
      <c r="V45" s="37"/>
      <c r="W45" s="37"/>
      <c r="X45" s="37"/>
      <c r="Y45" s="37"/>
      <c r="Z45" s="37"/>
      <c r="AA45" s="37"/>
      <c r="AB45" s="37"/>
      <c r="AC45" s="37"/>
      <c r="AD45" s="37"/>
      <c r="AE45" s="37"/>
      <c r="AF45" s="37"/>
      <c r="AG45" s="37"/>
      <c r="AH45" s="37"/>
      <c r="AI45" s="37"/>
      <c r="AJ45" s="37"/>
      <c r="AK45" s="37"/>
      <c r="AL45" s="37"/>
      <c r="AM45" s="37"/>
      <c r="AN45" s="37"/>
      <c r="AO45" s="37"/>
      <c r="AP45" s="37"/>
      <c r="AQ45" s="37"/>
      <c r="AR45" s="37"/>
      <c r="AS45" s="37"/>
      <c r="AT45" s="37"/>
      <c r="AU45" s="37"/>
      <c r="AV45" s="37"/>
      <c r="AW45" s="37"/>
      <c r="AX45" s="37"/>
      <c r="AY45" s="37"/>
      <c r="AZ45" s="37"/>
      <c r="BA45" s="37"/>
      <c r="BB45" s="37"/>
      <c r="BC45" s="37"/>
      <c r="BD45" s="37"/>
      <c r="BE45" s="37"/>
      <c r="BF45" s="37"/>
      <c r="BG45" s="37"/>
      <c r="BH45" s="37"/>
      <c r="BI45" s="37"/>
      <c r="BJ45" s="37"/>
      <c r="BK45" s="37"/>
      <c r="BL45" s="37"/>
      <c r="BM45" s="37"/>
    </row>
    <row r="46" spans="2:65" ht="15" customHeight="1">
      <c r="B46" s="118" t="s">
        <v>133</v>
      </c>
      <c r="C46" s="37"/>
      <c r="D46" s="37"/>
      <c r="E46" s="37"/>
      <c r="F46" s="37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  <c r="AF46" s="37"/>
      <c r="AG46" s="37"/>
      <c r="AH46" s="37"/>
      <c r="AI46" s="37"/>
      <c r="AJ46" s="37"/>
      <c r="AK46" s="37"/>
      <c r="AL46" s="37"/>
      <c r="AM46" s="37"/>
      <c r="AN46" s="37"/>
      <c r="AO46" s="37"/>
      <c r="AP46" s="37"/>
      <c r="AQ46" s="37"/>
      <c r="AR46" s="37"/>
      <c r="AS46" s="37"/>
      <c r="AT46" s="37"/>
      <c r="AU46" s="37"/>
      <c r="AV46" s="37"/>
      <c r="AW46" s="37"/>
      <c r="AX46" s="37"/>
      <c r="AY46" s="37"/>
      <c r="AZ46" s="37"/>
      <c r="BA46" s="37"/>
      <c r="BB46" s="37"/>
      <c r="BC46" s="37"/>
      <c r="BD46" s="37"/>
      <c r="BE46" s="37"/>
      <c r="BF46" s="37"/>
      <c r="BG46" s="37"/>
      <c r="BH46" s="37"/>
      <c r="BI46" s="37"/>
      <c r="BJ46" s="37"/>
      <c r="BK46" s="37"/>
      <c r="BL46" s="37"/>
      <c r="BM46" s="37"/>
    </row>
    <row r="47" spans="2:65" ht="15" customHeight="1">
      <c r="B47" s="112" t="s">
        <v>371</v>
      </c>
      <c r="C47" s="113" t="str">
        <f t="shared" ref="C47:C52" si="57">Единица_измерения</f>
        <v>тыс. руб.</v>
      </c>
      <c r="D47" s="114"/>
      <c r="E47" s="114">
        <f ca="1">'Годовая отчетность'!E52+IF(E$6=1,IFERROR(OFFSET(Предпосылки!F$314,,,,1-LEFT('Квартальная отчетность'!$E$11,1)),0))</f>
        <v>0</v>
      </c>
      <c r="F47" s="114">
        <f ca="1">'Годовая отчетность'!F52+IF(F$6=1,IFERROR(OFFSET(Предпосылки!G$314,,,,1-LEFT('Квартальная отчетность'!$E$11,1)),0))</f>
        <v>0</v>
      </c>
      <c r="G47" s="114">
        <f ca="1">'Годовая отчетность'!G52+IF(G$6=1,IFERROR(OFFSET(Предпосылки!H$314,,,,1-LEFT('Квартальная отчетность'!$E$11,1)),0))</f>
        <v>0</v>
      </c>
      <c r="H47" s="114">
        <f ca="1">'Годовая отчетность'!H52+IF(H$6=1,IFERROR(OFFSET(Предпосылки!I$314,,,,1-LEFT('Квартальная отчетность'!$E$11,1)),0))</f>
        <v>0</v>
      </c>
      <c r="I47" s="114">
        <f ca="1">'Годовая отчетность'!I52+IF(I$6=1,IFERROR(OFFSET(Предпосылки!J$314,,,,1-LEFT('Квартальная отчетность'!$E$11,1)),0))</f>
        <v>0</v>
      </c>
      <c r="J47" s="114">
        <f ca="1">'Годовая отчетность'!J52+IF(J$6=1,IFERROR(OFFSET(Предпосылки!K$314,,,,1-LEFT('Квартальная отчетность'!$E$11,1)),0))</f>
        <v>0</v>
      </c>
      <c r="K47" s="114">
        <f ca="1">'Годовая отчетность'!K52+IF(K$6=1,IFERROR(OFFSET(Предпосылки!L$314,,,,1-LEFT('Квартальная отчетность'!$E$11,1)),0))</f>
        <v>0</v>
      </c>
      <c r="L47" s="114">
        <f ca="1">'Годовая отчетность'!L52+IF(L$6=1,IFERROR(OFFSET(Предпосылки!M$314,,,,1-LEFT('Квартальная отчетность'!$E$11,1)),0))</f>
        <v>0</v>
      </c>
      <c r="M47" s="114">
        <f ca="1">'Годовая отчетность'!M52+IF(M$6=1,IFERROR(OFFSET(Предпосылки!N$314,,,,1-LEFT('Квартальная отчетность'!$E$11,1)),0))</f>
        <v>0</v>
      </c>
      <c r="N47" s="114">
        <f ca="1">'Годовая отчетность'!N52+IF(N$6=1,IFERROR(OFFSET(Предпосылки!O$314,,,,1-LEFT('Квартальная отчетность'!$E$11,1)),0))</f>
        <v>0</v>
      </c>
      <c r="O47" s="114">
        <f ca="1">'Годовая отчетность'!O52+IF(O$6=1,IFERROR(OFFSET(Предпосылки!P$314,,,,1-LEFT('Квартальная отчетность'!$E$11,1)),0))</f>
        <v>0</v>
      </c>
      <c r="P47" s="114">
        <f ca="1">'Годовая отчетность'!P52+IF(P$6=1,IFERROR(OFFSET(Предпосылки!Q$314,,,,1-LEFT('Квартальная отчетность'!$E$11,1)),0))</f>
        <v>0</v>
      </c>
      <c r="Q47" s="114">
        <f ca="1">'Годовая отчетность'!Q52+IF(Q$6=1,IFERROR(OFFSET(Предпосылки!R$314,,,,1-LEFT('Квартальная отчетность'!$E$11,1)),0))</f>
        <v>0</v>
      </c>
      <c r="R47" s="114">
        <f ca="1">'Годовая отчетность'!R52+IF(R$6=1,IFERROR(OFFSET(Предпосылки!S$314,,,,1-LEFT('Квартальная отчетность'!$E$11,1)),0))</f>
        <v>0</v>
      </c>
      <c r="S47" s="114">
        <f ca="1">'Годовая отчетность'!S52+IF(S$6=1,IFERROR(OFFSET(Предпосылки!T$314,,,,1-LEFT('Квартальная отчетность'!$E$11,1)),0))</f>
        <v>0</v>
      </c>
      <c r="T47" s="114">
        <f ca="1">'Годовая отчетность'!T52+IF(T$6=1,IFERROR(OFFSET(Предпосылки!U$314,,,,1-LEFT('Квартальная отчетность'!$E$11,1)),0))</f>
        <v>0</v>
      </c>
      <c r="U47" s="114">
        <f>'Годовая отчетность'!U52</f>
        <v>0</v>
      </c>
      <c r="V47" s="114">
        <f>'Годовая отчетность'!V52</f>
        <v>0</v>
      </c>
      <c r="W47" s="114">
        <f>'Годовая отчетность'!W52</f>
        <v>0</v>
      </c>
      <c r="X47" s="114">
        <f>'Годовая отчетность'!X52</f>
        <v>0</v>
      </c>
      <c r="Y47" s="114">
        <f>'Годовая отчетность'!Y52</f>
        <v>0</v>
      </c>
      <c r="Z47" s="114">
        <f>'Годовая отчетность'!Z52</f>
        <v>0</v>
      </c>
      <c r="AA47" s="114">
        <f>'Годовая отчетность'!AA52</f>
        <v>0</v>
      </c>
      <c r="AB47" s="114">
        <f>'Годовая отчетность'!AB52</f>
        <v>0</v>
      </c>
      <c r="AC47" s="114">
        <f>'Годовая отчетность'!AC52</f>
        <v>0</v>
      </c>
      <c r="AD47" s="114">
        <f>'Годовая отчетность'!AD52</f>
        <v>0</v>
      </c>
      <c r="AE47" s="114">
        <f>'Годовая отчетность'!AE52</f>
        <v>0</v>
      </c>
      <c r="AF47" s="114">
        <f>'Годовая отчетность'!AF52</f>
        <v>0</v>
      </c>
      <c r="AG47" s="114">
        <f>'Годовая отчетность'!AG52</f>
        <v>0</v>
      </c>
      <c r="AH47" s="114">
        <f>'Годовая отчетность'!AH52</f>
        <v>0</v>
      </c>
      <c r="AI47" s="114">
        <f>'Годовая отчетность'!AI52</f>
        <v>0</v>
      </c>
      <c r="AJ47" s="114">
        <f>'Годовая отчетность'!AJ52</f>
        <v>0</v>
      </c>
      <c r="AK47" s="114">
        <f>'Годовая отчетность'!AK52</f>
        <v>0</v>
      </c>
      <c r="AL47" s="114">
        <f>'Годовая отчетность'!AL52</f>
        <v>0</v>
      </c>
      <c r="AM47" s="114">
        <f>'Годовая отчетность'!AM52</f>
        <v>0</v>
      </c>
      <c r="AN47" s="114">
        <f>'Годовая отчетность'!AN52</f>
        <v>0</v>
      </c>
      <c r="AO47" s="114">
        <f>'Годовая отчетность'!AO52</f>
        <v>0</v>
      </c>
      <c r="AP47" s="114">
        <f>'Годовая отчетность'!AP52</f>
        <v>0</v>
      </c>
      <c r="AQ47" s="114">
        <f>'Годовая отчетность'!AQ52</f>
        <v>0</v>
      </c>
      <c r="AR47" s="114">
        <f>'Годовая отчетность'!AR52</f>
        <v>0</v>
      </c>
      <c r="AS47" s="114">
        <f>'Годовая отчетность'!AS52</f>
        <v>0</v>
      </c>
      <c r="AT47" s="114">
        <f>'Годовая отчетность'!AT52</f>
        <v>0</v>
      </c>
      <c r="AU47" s="114">
        <f>'Годовая отчетность'!AU52</f>
        <v>0</v>
      </c>
      <c r="AV47" s="114">
        <f>'Годовая отчетность'!AV52</f>
        <v>0</v>
      </c>
      <c r="AW47" s="114">
        <f>'Годовая отчетность'!AW52</f>
        <v>0</v>
      </c>
      <c r="AX47" s="114">
        <f>'Годовая отчетность'!AX52</f>
        <v>0</v>
      </c>
      <c r="AY47" s="114">
        <f>'Годовая отчетность'!AY52</f>
        <v>0</v>
      </c>
      <c r="AZ47" s="114">
        <f>'Годовая отчетность'!AZ52</f>
        <v>0</v>
      </c>
      <c r="BA47" s="114">
        <f>'Годовая отчетность'!BA52</f>
        <v>0</v>
      </c>
      <c r="BB47" s="114">
        <f>'Годовая отчетность'!BB52</f>
        <v>0</v>
      </c>
      <c r="BC47" s="114">
        <f>'Годовая отчетность'!BC52</f>
        <v>0</v>
      </c>
      <c r="BD47" s="114">
        <f>'Годовая отчетность'!BD52</f>
        <v>0</v>
      </c>
      <c r="BE47" s="114">
        <f>'Годовая отчетность'!BE52</f>
        <v>0</v>
      </c>
      <c r="BF47" s="114">
        <f>'Годовая отчетность'!BF52</f>
        <v>0</v>
      </c>
      <c r="BG47" s="114">
        <f>'Годовая отчетность'!BG52</f>
        <v>0</v>
      </c>
      <c r="BH47" s="114">
        <f>'Годовая отчетность'!BH52</f>
        <v>0</v>
      </c>
      <c r="BI47" s="114">
        <f>'Годовая отчетность'!BI52</f>
        <v>0</v>
      </c>
      <c r="BJ47" s="114">
        <f>'Годовая отчетность'!BJ52</f>
        <v>0</v>
      </c>
      <c r="BK47" s="114">
        <f>'Годовая отчетность'!BK52</f>
        <v>0</v>
      </c>
      <c r="BL47" s="114">
        <f>'Годовая отчетность'!BL52</f>
        <v>0</v>
      </c>
      <c r="BM47" s="114">
        <f>'Годовая отчетность'!BM52</f>
        <v>0</v>
      </c>
    </row>
    <row r="48" spans="2:65" ht="15" customHeight="1">
      <c r="B48" s="78" t="s">
        <v>372</v>
      </c>
      <c r="C48" s="113" t="str">
        <f t="shared" si="57"/>
        <v>тыс. руб.</v>
      </c>
      <c r="D48" s="114"/>
      <c r="E48" s="114">
        <f ca="1">'Годовая отчетность'!E70+IF(E$6=1,IFERROR(OFFSET(Предпосылки!F$315,,,,1-LEFT('Квартальная отчетность'!$E$11,1)),0))</f>
        <v>0</v>
      </c>
      <c r="F48" s="114">
        <f ca="1">'Годовая отчетность'!F70+IF(F$6=1,IFERROR(OFFSET(Предпосылки!G$315,,,,1-LEFT('Квартальная отчетность'!$E$11,1)),0))</f>
        <v>0</v>
      </c>
      <c r="G48" s="114">
        <f ca="1">'Годовая отчетность'!G70+IF(G$6=1,IFERROR(OFFSET(Предпосылки!H$315,,,,1-LEFT('Квартальная отчетность'!$E$11,1)),0))</f>
        <v>0</v>
      </c>
      <c r="H48" s="114">
        <f ca="1">'Годовая отчетность'!H70+IF(H$6=1,IFERROR(OFFSET(Предпосылки!I$315,,,,1-LEFT('Квартальная отчетность'!$E$11,1)),0))</f>
        <v>0</v>
      </c>
      <c r="I48" s="114">
        <f ca="1">'Годовая отчетность'!I70+IF(I$6=1,IFERROR(OFFSET(Предпосылки!J$315,,,,1-LEFT('Квартальная отчетность'!$E$11,1)),0))</f>
        <v>0</v>
      </c>
      <c r="J48" s="114">
        <f ca="1">'Годовая отчетность'!J70+IF(J$6=1,IFERROR(OFFSET(Предпосылки!K$315,,,,1-LEFT('Квартальная отчетность'!$E$11,1)),0))</f>
        <v>0</v>
      </c>
      <c r="K48" s="114">
        <f ca="1">'Годовая отчетность'!K70+IF(K$6=1,IFERROR(OFFSET(Предпосылки!L$315,,,,1-LEFT('Квартальная отчетность'!$E$11,1)),0))</f>
        <v>0</v>
      </c>
      <c r="L48" s="114">
        <f ca="1">'Годовая отчетность'!L70+IF(L$6=1,IFERROR(OFFSET(Предпосылки!M$315,,,,1-LEFT('Квартальная отчетность'!$E$11,1)),0))</f>
        <v>0</v>
      </c>
      <c r="M48" s="114">
        <f ca="1">'Годовая отчетность'!M70+IF(M$6=1,IFERROR(OFFSET(Предпосылки!N$315,,,,1-LEFT('Квартальная отчетность'!$E$11,1)),0))</f>
        <v>0</v>
      </c>
      <c r="N48" s="114">
        <f ca="1">'Годовая отчетность'!N70+IF(N$6=1,IFERROR(OFFSET(Предпосылки!O$315,,,,1-LEFT('Квартальная отчетность'!$E$11,1)),0))</f>
        <v>0</v>
      </c>
      <c r="O48" s="114">
        <f ca="1">'Годовая отчетность'!O70+IF(O$6=1,IFERROR(OFFSET(Предпосылки!P$315,,,,1-LEFT('Квартальная отчетность'!$E$11,1)),0))</f>
        <v>0</v>
      </c>
      <c r="P48" s="114">
        <f ca="1">'Годовая отчетность'!P70+IF(P$6=1,IFERROR(OFFSET(Предпосылки!Q$315,,,,1-LEFT('Квартальная отчетность'!$E$11,1)),0))</f>
        <v>0</v>
      </c>
      <c r="Q48" s="114">
        <f ca="1">'Годовая отчетность'!Q70+IF(Q$6=1,IFERROR(OFFSET(Предпосылки!R$315,,,,1-LEFT('Квартальная отчетность'!$E$11,1)),0))</f>
        <v>0</v>
      </c>
      <c r="R48" s="114">
        <f ca="1">'Годовая отчетность'!R70+IF(R$6=1,IFERROR(OFFSET(Предпосылки!S$315,,,,1-LEFT('Квартальная отчетность'!$E$11,1)),0))</f>
        <v>0</v>
      </c>
      <c r="S48" s="114">
        <f ca="1">'Годовая отчетность'!S70+IF(S$6=1,IFERROR(OFFSET(Предпосылки!T$315,,,,1-LEFT('Квартальная отчетность'!$E$11,1)),0))</f>
        <v>0</v>
      </c>
      <c r="T48" s="114">
        <f ca="1">'Годовая отчетность'!T70+IF(T$6=1,IFERROR(OFFSET(Предпосылки!U$315,,,,1-LEFT('Квартальная отчетность'!$E$11,1)),0))</f>
        <v>0</v>
      </c>
      <c r="U48" s="114">
        <f>'Годовая отчетность'!U70</f>
        <v>0</v>
      </c>
      <c r="V48" s="114">
        <f>'Годовая отчетность'!V70</f>
        <v>0</v>
      </c>
      <c r="W48" s="114">
        <f>'Годовая отчетность'!W70</f>
        <v>0</v>
      </c>
      <c r="X48" s="114">
        <f>'Годовая отчетность'!X70</f>
        <v>0</v>
      </c>
      <c r="Y48" s="114">
        <f>'Годовая отчетность'!Y70</f>
        <v>0</v>
      </c>
      <c r="Z48" s="114">
        <f>'Годовая отчетность'!Z70</f>
        <v>0</v>
      </c>
      <c r="AA48" s="114">
        <f>'Годовая отчетность'!AA70</f>
        <v>0</v>
      </c>
      <c r="AB48" s="114">
        <f>'Годовая отчетность'!AB70</f>
        <v>0</v>
      </c>
      <c r="AC48" s="114">
        <f>'Годовая отчетность'!AC70</f>
        <v>0</v>
      </c>
      <c r="AD48" s="114">
        <f>'Годовая отчетность'!AD70</f>
        <v>0</v>
      </c>
      <c r="AE48" s="114">
        <f>'Годовая отчетность'!AE70</f>
        <v>0</v>
      </c>
      <c r="AF48" s="114">
        <f>'Годовая отчетность'!AF70</f>
        <v>0</v>
      </c>
      <c r="AG48" s="114">
        <f>'Годовая отчетность'!AG70</f>
        <v>0</v>
      </c>
      <c r="AH48" s="114">
        <f>'Годовая отчетность'!AH70</f>
        <v>0</v>
      </c>
      <c r="AI48" s="114">
        <f>'Годовая отчетность'!AI70</f>
        <v>0</v>
      </c>
      <c r="AJ48" s="114">
        <f>'Годовая отчетность'!AJ70</f>
        <v>0</v>
      </c>
      <c r="AK48" s="114">
        <f>'Годовая отчетность'!AK70</f>
        <v>0</v>
      </c>
      <c r="AL48" s="114">
        <f>'Годовая отчетность'!AL70</f>
        <v>0</v>
      </c>
      <c r="AM48" s="114">
        <f>'Годовая отчетность'!AM70</f>
        <v>0</v>
      </c>
      <c r="AN48" s="114">
        <f>'Годовая отчетность'!AN70</f>
        <v>0</v>
      </c>
      <c r="AO48" s="114">
        <f>'Годовая отчетность'!AO70</f>
        <v>0</v>
      </c>
      <c r="AP48" s="114">
        <f>'Годовая отчетность'!AP70</f>
        <v>0</v>
      </c>
      <c r="AQ48" s="114">
        <f>'Годовая отчетность'!AQ70</f>
        <v>0</v>
      </c>
      <c r="AR48" s="114">
        <f>'Годовая отчетность'!AR70</f>
        <v>0</v>
      </c>
      <c r="AS48" s="114">
        <f>'Годовая отчетность'!AS70</f>
        <v>0</v>
      </c>
      <c r="AT48" s="114">
        <f>'Годовая отчетность'!AT70</f>
        <v>0</v>
      </c>
      <c r="AU48" s="114">
        <f>'Годовая отчетность'!AU70</f>
        <v>0</v>
      </c>
      <c r="AV48" s="114">
        <f>'Годовая отчетность'!AV70</f>
        <v>0</v>
      </c>
      <c r="AW48" s="114">
        <f>'Годовая отчетность'!AW70</f>
        <v>0</v>
      </c>
      <c r="AX48" s="114">
        <f>'Годовая отчетность'!AX70</f>
        <v>0</v>
      </c>
      <c r="AY48" s="114">
        <f>'Годовая отчетность'!AY70</f>
        <v>0</v>
      </c>
      <c r="AZ48" s="114">
        <f>'Годовая отчетность'!AZ70</f>
        <v>0</v>
      </c>
      <c r="BA48" s="114">
        <f>'Годовая отчетность'!BA70</f>
        <v>0</v>
      </c>
      <c r="BB48" s="114">
        <f>'Годовая отчетность'!BB70</f>
        <v>0</v>
      </c>
      <c r="BC48" s="114">
        <f>'Годовая отчетность'!BC70</f>
        <v>0</v>
      </c>
      <c r="BD48" s="114">
        <f>'Годовая отчетность'!BD70</f>
        <v>0</v>
      </c>
      <c r="BE48" s="114">
        <f>'Годовая отчетность'!BE70</f>
        <v>0</v>
      </c>
      <c r="BF48" s="114">
        <f>'Годовая отчетность'!BF70</f>
        <v>0</v>
      </c>
      <c r="BG48" s="114">
        <f>'Годовая отчетность'!BG70</f>
        <v>0</v>
      </c>
      <c r="BH48" s="114">
        <f>'Годовая отчетность'!BH70</f>
        <v>0</v>
      </c>
      <c r="BI48" s="114">
        <f>'Годовая отчетность'!BI70</f>
        <v>0</v>
      </c>
      <c r="BJ48" s="114">
        <f>'Годовая отчетность'!BJ70</f>
        <v>0</v>
      </c>
      <c r="BK48" s="114">
        <f>'Годовая отчетность'!BK70</f>
        <v>0</v>
      </c>
      <c r="BL48" s="114">
        <f>'Годовая отчетность'!BL70</f>
        <v>0</v>
      </c>
      <c r="BM48" s="114">
        <f>'Годовая отчетность'!BM70</f>
        <v>0</v>
      </c>
    </row>
    <row r="49" spans="2:65" ht="15" customHeight="1">
      <c r="B49" s="112" t="s">
        <v>438</v>
      </c>
      <c r="C49" s="113" t="str">
        <f t="shared" si="57"/>
        <v>тыс. руб.</v>
      </c>
      <c r="D49" s="114"/>
      <c r="E49" s="114">
        <f ca="1">-'Годовая отчетность'!E47+IF(E$6=1,IFERROR(OFFSET(Предпосылки!F$316,,,,1-LEFT('Квартальная отчетность'!$E$11,1)),0))</f>
        <v>0</v>
      </c>
      <c r="F49" s="114">
        <f ca="1">-'Годовая отчетность'!F47+IF(F$6=1,IFERROR(OFFSET(Предпосылки!G$316,,,,1-LEFT('Квартальная отчетность'!$E$11,1)),0))</f>
        <v>0</v>
      </c>
      <c r="G49" s="114">
        <f ca="1">-'Годовая отчетность'!G47+IF(G$6=1,IFERROR(OFFSET(Предпосылки!H$316,,,,1-LEFT('Квартальная отчетность'!$E$11,1)),0))</f>
        <v>0</v>
      </c>
      <c r="H49" s="114">
        <f ca="1">-'Годовая отчетность'!H47+IF(H$6=1,IFERROR(OFFSET(Предпосылки!I$316,,,,1-LEFT('Квартальная отчетность'!$E$11,1)),0))</f>
        <v>0</v>
      </c>
      <c r="I49" s="114">
        <f ca="1">-'Годовая отчетность'!I47+IF(I$6=1,IFERROR(OFFSET(Предпосылки!J$316,,,,1-LEFT('Квартальная отчетность'!$E$11,1)),0))</f>
        <v>0</v>
      </c>
      <c r="J49" s="114">
        <f ca="1">-'Годовая отчетность'!J47+IF(J$6=1,IFERROR(OFFSET(Предпосылки!K$316,,,,1-LEFT('Квартальная отчетность'!$E$11,1)),0))</f>
        <v>0</v>
      </c>
      <c r="K49" s="114">
        <f ca="1">-'Годовая отчетность'!K47+IF(K$6=1,IFERROR(OFFSET(Предпосылки!L$316,,,,1-LEFT('Квартальная отчетность'!$E$11,1)),0))</f>
        <v>0</v>
      </c>
      <c r="L49" s="114">
        <f ca="1">-'Годовая отчетность'!L47+IF(L$6=1,IFERROR(OFFSET(Предпосылки!M$316,,,,1-LEFT('Квартальная отчетность'!$E$11,1)),0))</f>
        <v>0</v>
      </c>
      <c r="M49" s="114">
        <f ca="1">-'Годовая отчетность'!M47+IF(M$6=1,IFERROR(OFFSET(Предпосылки!N$316,,,,1-LEFT('Квартальная отчетность'!$E$11,1)),0))</f>
        <v>0</v>
      </c>
      <c r="N49" s="114">
        <f ca="1">-'Годовая отчетность'!N47+IF(N$6=1,IFERROR(OFFSET(Предпосылки!O$316,,,,1-LEFT('Квартальная отчетность'!$E$11,1)),0))</f>
        <v>0</v>
      </c>
      <c r="O49" s="114">
        <f ca="1">-'Годовая отчетность'!O47+IF(O$6=1,IFERROR(OFFSET(Предпосылки!P$316,,,,1-LEFT('Квартальная отчетность'!$E$11,1)),0))</f>
        <v>0</v>
      </c>
      <c r="P49" s="114">
        <f ca="1">-'Годовая отчетность'!P47+IF(P$6=1,IFERROR(OFFSET(Предпосылки!Q$316,,,,1-LEFT('Квартальная отчетность'!$E$11,1)),0))</f>
        <v>0</v>
      </c>
      <c r="Q49" s="114">
        <f ca="1">-'Годовая отчетность'!Q47+IF(Q$6=1,IFERROR(OFFSET(Предпосылки!R$316,,,,1-LEFT('Квартальная отчетность'!$E$11,1)),0))</f>
        <v>0</v>
      </c>
      <c r="R49" s="114">
        <f ca="1">-'Годовая отчетность'!R47+IF(R$6=1,IFERROR(OFFSET(Предпосылки!S$316,,,,1-LEFT('Квартальная отчетность'!$E$11,1)),0))</f>
        <v>0</v>
      </c>
      <c r="S49" s="114">
        <f ca="1">-'Годовая отчетность'!S47+IF(S$6=1,IFERROR(OFFSET(Предпосылки!T$316,,,,1-LEFT('Квартальная отчетность'!$E$11,1)),0))</f>
        <v>0</v>
      </c>
      <c r="T49" s="114">
        <f ca="1">-'Годовая отчетность'!T47+IF(T$6=1,IFERROR(OFFSET(Предпосылки!U$316,,,,1-LEFT('Квартальная отчетность'!$E$11,1)),0))</f>
        <v>0</v>
      </c>
      <c r="U49" s="114">
        <f>-'Годовая отчетность'!U47</f>
        <v>0</v>
      </c>
      <c r="V49" s="114">
        <f>-'Годовая отчетность'!V47</f>
        <v>0</v>
      </c>
      <c r="W49" s="114">
        <f>-'Годовая отчетность'!W47</f>
        <v>0</v>
      </c>
      <c r="X49" s="114">
        <f>-'Годовая отчетность'!X47</f>
        <v>0</v>
      </c>
      <c r="Y49" s="114">
        <f>-'Годовая отчетность'!Y47</f>
        <v>0</v>
      </c>
      <c r="Z49" s="114">
        <f>-'Годовая отчетность'!Z47</f>
        <v>0</v>
      </c>
      <c r="AA49" s="114">
        <f>-'Годовая отчетность'!AA47</f>
        <v>0</v>
      </c>
      <c r="AB49" s="114">
        <f>-'Годовая отчетность'!AB47</f>
        <v>0</v>
      </c>
      <c r="AC49" s="114">
        <f>-'Годовая отчетность'!AC47</f>
        <v>0</v>
      </c>
      <c r="AD49" s="114">
        <f>-'Годовая отчетность'!AD47</f>
        <v>0</v>
      </c>
      <c r="AE49" s="114">
        <f>-'Годовая отчетность'!AE47</f>
        <v>0</v>
      </c>
      <c r="AF49" s="114">
        <f>-'Годовая отчетность'!AF47</f>
        <v>0</v>
      </c>
      <c r="AG49" s="114">
        <f>-'Годовая отчетность'!AG47</f>
        <v>0</v>
      </c>
      <c r="AH49" s="114">
        <f>-'Годовая отчетность'!AH47</f>
        <v>0</v>
      </c>
      <c r="AI49" s="114">
        <f>-'Годовая отчетность'!AI47</f>
        <v>0</v>
      </c>
      <c r="AJ49" s="114">
        <f>-'Годовая отчетность'!AJ47</f>
        <v>0</v>
      </c>
      <c r="AK49" s="114">
        <f>-'Годовая отчетность'!AK47</f>
        <v>0</v>
      </c>
      <c r="AL49" s="114">
        <f>-'Годовая отчетность'!AL47</f>
        <v>0</v>
      </c>
      <c r="AM49" s="114">
        <f>-'Годовая отчетность'!AM47</f>
        <v>0</v>
      </c>
      <c r="AN49" s="114">
        <f>-'Годовая отчетность'!AN47</f>
        <v>0</v>
      </c>
      <c r="AO49" s="114">
        <f>-'Годовая отчетность'!AO47</f>
        <v>0</v>
      </c>
      <c r="AP49" s="114">
        <f>-'Годовая отчетность'!AP47</f>
        <v>0</v>
      </c>
      <c r="AQ49" s="114">
        <f>-'Годовая отчетность'!AQ47</f>
        <v>0</v>
      </c>
      <c r="AR49" s="114">
        <f>-'Годовая отчетность'!AR47</f>
        <v>0</v>
      </c>
      <c r="AS49" s="114">
        <f>-'Годовая отчетность'!AS47</f>
        <v>0</v>
      </c>
      <c r="AT49" s="114">
        <f>-'Годовая отчетность'!AT47</f>
        <v>0</v>
      </c>
      <c r="AU49" s="114">
        <f>-'Годовая отчетность'!AU47</f>
        <v>0</v>
      </c>
      <c r="AV49" s="114">
        <f>-'Годовая отчетность'!AV47</f>
        <v>0</v>
      </c>
      <c r="AW49" s="114">
        <f>-'Годовая отчетность'!AW47</f>
        <v>0</v>
      </c>
      <c r="AX49" s="114">
        <f>-'Годовая отчетность'!AX47</f>
        <v>0</v>
      </c>
      <c r="AY49" s="114">
        <f>-'Годовая отчетность'!AY47</f>
        <v>0</v>
      </c>
      <c r="AZ49" s="114">
        <f>-'Годовая отчетность'!AZ47</f>
        <v>0</v>
      </c>
      <c r="BA49" s="114">
        <f>-'Годовая отчетность'!BA47</f>
        <v>0</v>
      </c>
      <c r="BB49" s="114">
        <f>-'Годовая отчетность'!BB47</f>
        <v>0</v>
      </c>
      <c r="BC49" s="114">
        <f>-'Годовая отчетность'!BC47</f>
        <v>0</v>
      </c>
      <c r="BD49" s="114">
        <f>-'Годовая отчетность'!BD47</f>
        <v>0</v>
      </c>
      <c r="BE49" s="114">
        <f>-'Годовая отчетность'!BE47</f>
        <v>0</v>
      </c>
      <c r="BF49" s="114">
        <f>-'Годовая отчетность'!BF47</f>
        <v>0</v>
      </c>
      <c r="BG49" s="114">
        <f>-'Годовая отчетность'!BG47</f>
        <v>0</v>
      </c>
      <c r="BH49" s="114">
        <f>-'Годовая отчетность'!BH47</f>
        <v>0</v>
      </c>
      <c r="BI49" s="114">
        <f>-'Годовая отчетность'!BI47</f>
        <v>0</v>
      </c>
      <c r="BJ49" s="114">
        <f>-'Годовая отчетность'!BJ47</f>
        <v>0</v>
      </c>
      <c r="BK49" s="114">
        <f>-'Годовая отчетность'!BK47</f>
        <v>0</v>
      </c>
      <c r="BL49" s="114">
        <f>-'Годовая отчетность'!BL47</f>
        <v>0</v>
      </c>
      <c r="BM49" s="114">
        <f>-'Годовая отчетность'!BM47</f>
        <v>0</v>
      </c>
    </row>
    <row r="50" spans="2:65" ht="15" customHeight="1">
      <c r="B50" s="112" t="s">
        <v>134</v>
      </c>
      <c r="C50" s="113" t="str">
        <f t="shared" si="57"/>
        <v>тыс. руб.</v>
      </c>
      <c r="D50" s="114"/>
      <c r="E50" s="114">
        <f ca="1">'Годовая отчетность'!E74+IF(E$6=1,IFERROR(OFFSET(Предпосылки!F$317,,,,1-LEFT('Квартальная отчетность'!$E$11,1)),0))</f>
        <v>0</v>
      </c>
      <c r="F50" s="114">
        <f ca="1">'Годовая отчетность'!F74+IF(F$6=1,IFERROR(OFFSET(Предпосылки!G$317,,,,1-LEFT('Квартальная отчетность'!$E$11,1)),0))</f>
        <v>0</v>
      </c>
      <c r="G50" s="114">
        <f ca="1">'Годовая отчетность'!G74+IF(G$6=1,IFERROR(OFFSET(Предпосылки!H$317,,,,1-LEFT('Квартальная отчетность'!$E$11,1)),0))</f>
        <v>0</v>
      </c>
      <c r="H50" s="114">
        <f ca="1">'Годовая отчетность'!H74+IF(H$6=1,IFERROR(OFFSET(Предпосылки!I$317,,,,1-LEFT('Квартальная отчетность'!$E$11,1)),0))</f>
        <v>0</v>
      </c>
      <c r="I50" s="114">
        <f ca="1">'Годовая отчетность'!I74+IF(I$6=1,IFERROR(OFFSET(Предпосылки!J$317,,,,1-LEFT('Квартальная отчетность'!$E$11,1)),0))</f>
        <v>0</v>
      </c>
      <c r="J50" s="114">
        <f ca="1">'Годовая отчетность'!J74+IF(J$6=1,IFERROR(OFFSET(Предпосылки!K$317,,,,1-LEFT('Квартальная отчетность'!$E$11,1)),0))</f>
        <v>0</v>
      </c>
      <c r="K50" s="114">
        <f ca="1">'Годовая отчетность'!K74+IF(K$6=1,IFERROR(OFFSET(Предпосылки!L$317,,,,1-LEFT('Квартальная отчетность'!$E$11,1)),0))</f>
        <v>0</v>
      </c>
      <c r="L50" s="114">
        <f ca="1">'Годовая отчетность'!L74+IF(L$6=1,IFERROR(OFFSET(Предпосылки!M$317,,,,1-LEFT('Квартальная отчетность'!$E$11,1)),0))</f>
        <v>0</v>
      </c>
      <c r="M50" s="114">
        <f ca="1">'Годовая отчетность'!M74+IF(M$6=1,IFERROR(OFFSET(Предпосылки!N$317,,,,1-LEFT('Квартальная отчетность'!$E$11,1)),0))</f>
        <v>0</v>
      </c>
      <c r="N50" s="114">
        <f ca="1">'Годовая отчетность'!N74+IF(N$6=1,IFERROR(OFFSET(Предпосылки!O$317,,,,1-LEFT('Квартальная отчетность'!$E$11,1)),0))</f>
        <v>0</v>
      </c>
      <c r="O50" s="114">
        <f ca="1">'Годовая отчетность'!O74+IF(O$6=1,IFERROR(OFFSET(Предпосылки!P$317,,,,1-LEFT('Квартальная отчетность'!$E$11,1)),0))</f>
        <v>0</v>
      </c>
      <c r="P50" s="114">
        <f ca="1">'Годовая отчетность'!P74+IF(P$6=1,IFERROR(OFFSET(Предпосылки!Q$317,,,,1-LEFT('Квартальная отчетность'!$E$11,1)),0))</f>
        <v>0</v>
      </c>
      <c r="Q50" s="114">
        <f ca="1">'Годовая отчетность'!Q74+IF(Q$6=1,IFERROR(OFFSET(Предпосылки!R$317,,,,1-LEFT('Квартальная отчетность'!$E$11,1)),0))</f>
        <v>0</v>
      </c>
      <c r="R50" s="114">
        <f ca="1">'Годовая отчетность'!R74+IF(R$6=1,IFERROR(OFFSET(Предпосылки!S$317,,,,1-LEFT('Квартальная отчетность'!$E$11,1)),0))</f>
        <v>0</v>
      </c>
      <c r="S50" s="114">
        <f ca="1">'Годовая отчетность'!S74+IF(S$6=1,IFERROR(OFFSET(Предпосылки!T$317,,,,1-LEFT('Квартальная отчетность'!$E$11,1)),0))</f>
        <v>0</v>
      </c>
      <c r="T50" s="114">
        <f ca="1">'Годовая отчетность'!T74+IF(T$6=1,IFERROR(OFFSET(Предпосылки!U$317,,,,1-LEFT('Квартальная отчетность'!$E$11,1)),0))</f>
        <v>0</v>
      </c>
      <c r="U50" s="114">
        <f>'Годовая отчетность'!U74</f>
        <v>0</v>
      </c>
      <c r="V50" s="114">
        <f>'Годовая отчетность'!V74</f>
        <v>0</v>
      </c>
      <c r="W50" s="114">
        <f>'Годовая отчетность'!W74</f>
        <v>0</v>
      </c>
      <c r="X50" s="114">
        <f>'Годовая отчетность'!X74</f>
        <v>0</v>
      </c>
      <c r="Y50" s="114">
        <f>'Годовая отчетность'!Y74</f>
        <v>0</v>
      </c>
      <c r="Z50" s="114">
        <f>'Годовая отчетность'!Z74</f>
        <v>0</v>
      </c>
      <c r="AA50" s="114">
        <f>'Годовая отчетность'!AA74</f>
        <v>0</v>
      </c>
      <c r="AB50" s="114">
        <f>'Годовая отчетность'!AB74</f>
        <v>0</v>
      </c>
      <c r="AC50" s="114">
        <f>'Годовая отчетность'!AC74</f>
        <v>0</v>
      </c>
      <c r="AD50" s="114">
        <f>'Годовая отчетность'!AD74</f>
        <v>0</v>
      </c>
      <c r="AE50" s="114">
        <f>'Годовая отчетность'!AE74</f>
        <v>0</v>
      </c>
      <c r="AF50" s="114">
        <f>'Годовая отчетность'!AF74</f>
        <v>0</v>
      </c>
      <c r="AG50" s="114">
        <f>'Годовая отчетность'!AG74</f>
        <v>0</v>
      </c>
      <c r="AH50" s="114">
        <f>'Годовая отчетность'!AH74</f>
        <v>0</v>
      </c>
      <c r="AI50" s="114">
        <f>'Годовая отчетность'!AI74</f>
        <v>0</v>
      </c>
      <c r="AJ50" s="114">
        <f>'Годовая отчетность'!AJ74</f>
        <v>0</v>
      </c>
      <c r="AK50" s="114">
        <f>'Годовая отчетность'!AK74</f>
        <v>0</v>
      </c>
      <c r="AL50" s="114">
        <f>'Годовая отчетность'!AL74</f>
        <v>0</v>
      </c>
      <c r="AM50" s="114">
        <f>'Годовая отчетность'!AM74</f>
        <v>0</v>
      </c>
      <c r="AN50" s="114">
        <f>'Годовая отчетность'!AN74</f>
        <v>0</v>
      </c>
      <c r="AO50" s="114">
        <f>'Годовая отчетность'!AO74</f>
        <v>0</v>
      </c>
      <c r="AP50" s="114">
        <f>'Годовая отчетность'!AP74</f>
        <v>0</v>
      </c>
      <c r="AQ50" s="114">
        <f>'Годовая отчетность'!AQ74</f>
        <v>0</v>
      </c>
      <c r="AR50" s="114">
        <f>'Годовая отчетность'!AR74</f>
        <v>0</v>
      </c>
      <c r="AS50" s="114">
        <f>'Годовая отчетность'!AS74</f>
        <v>0</v>
      </c>
      <c r="AT50" s="114">
        <f>'Годовая отчетность'!AT74</f>
        <v>0</v>
      </c>
      <c r="AU50" s="114">
        <f>'Годовая отчетность'!AU74</f>
        <v>0</v>
      </c>
      <c r="AV50" s="114">
        <f>'Годовая отчетность'!AV74</f>
        <v>0</v>
      </c>
      <c r="AW50" s="114">
        <f>'Годовая отчетность'!AW74</f>
        <v>0</v>
      </c>
      <c r="AX50" s="114">
        <f>'Годовая отчетность'!AX74</f>
        <v>0</v>
      </c>
      <c r="AY50" s="114">
        <f>'Годовая отчетность'!AY74</f>
        <v>0</v>
      </c>
      <c r="AZ50" s="114">
        <f>'Годовая отчетность'!AZ74</f>
        <v>0</v>
      </c>
      <c r="BA50" s="114">
        <f>'Годовая отчетность'!BA74</f>
        <v>0</v>
      </c>
      <c r="BB50" s="114">
        <f>'Годовая отчетность'!BB74</f>
        <v>0</v>
      </c>
      <c r="BC50" s="114">
        <f>'Годовая отчетность'!BC74</f>
        <v>0</v>
      </c>
      <c r="BD50" s="114">
        <f>'Годовая отчетность'!BD74</f>
        <v>0</v>
      </c>
      <c r="BE50" s="114">
        <f>'Годовая отчетность'!BE74</f>
        <v>0</v>
      </c>
      <c r="BF50" s="114">
        <f>'Годовая отчетность'!BF74</f>
        <v>0</v>
      </c>
      <c r="BG50" s="114">
        <f>'Годовая отчетность'!BG74</f>
        <v>0</v>
      </c>
      <c r="BH50" s="114">
        <f>'Годовая отчетность'!BH74</f>
        <v>0</v>
      </c>
      <c r="BI50" s="114">
        <f>'Годовая отчетность'!BI74</f>
        <v>0</v>
      </c>
      <c r="BJ50" s="114">
        <f>'Годовая отчетность'!BJ74</f>
        <v>0</v>
      </c>
      <c r="BK50" s="114">
        <f>'Годовая отчетность'!BK74</f>
        <v>0</v>
      </c>
      <c r="BL50" s="114">
        <f>'Годовая отчетность'!BL74</f>
        <v>0</v>
      </c>
      <c r="BM50" s="114">
        <f>'Годовая отчетность'!BM74</f>
        <v>0</v>
      </c>
    </row>
    <row r="51" spans="2:65" ht="15" customHeight="1">
      <c r="B51" s="112" t="s">
        <v>432</v>
      </c>
      <c r="C51" s="113" t="str">
        <f t="shared" si="57"/>
        <v>тыс. руб.</v>
      </c>
      <c r="D51" s="114"/>
      <c r="E51" s="114">
        <f ca="1">'Годовая отчетность'!E75+IF(E$6=1,IFERROR(OFFSET(Предпосылки!F$318,,,,1-LEFT('Квартальная отчетность'!$E$11,1)),0))</f>
        <v>0</v>
      </c>
      <c r="F51" s="114">
        <f ca="1">'Годовая отчетность'!F75+IF(F$6=1,IFERROR(OFFSET(Предпосылки!G$318,,,,1-LEFT('Квартальная отчетность'!$E$11,1)),0))</f>
        <v>0</v>
      </c>
      <c r="G51" s="114">
        <f ca="1">'Годовая отчетность'!G75+IF(G$6=1,IFERROR(OFFSET(Предпосылки!H$318,,,,1-LEFT('Квартальная отчетность'!$E$11,1)),0))</f>
        <v>0</v>
      </c>
      <c r="H51" s="114">
        <f ca="1">'Годовая отчетность'!H75+IF(H$6=1,IFERROR(OFFSET(Предпосылки!I$318,,,,1-LEFT('Квартальная отчетность'!$E$11,1)),0))</f>
        <v>0</v>
      </c>
      <c r="I51" s="114">
        <f ca="1">'Годовая отчетность'!I75+IF(I$6=1,IFERROR(OFFSET(Предпосылки!J$318,,,,1-LEFT('Квартальная отчетность'!$E$11,1)),0))</f>
        <v>0</v>
      </c>
      <c r="J51" s="114">
        <f ca="1">'Годовая отчетность'!J75+IF(J$6=1,IFERROR(OFFSET(Предпосылки!K$318,,,,1-LEFT('Квартальная отчетность'!$E$11,1)),0))</f>
        <v>0</v>
      </c>
      <c r="K51" s="114">
        <f ca="1">'Годовая отчетность'!K75+IF(K$6=1,IFERROR(OFFSET(Предпосылки!L$318,,,,1-LEFT('Квартальная отчетность'!$E$11,1)),0))</f>
        <v>0</v>
      </c>
      <c r="L51" s="114">
        <f ca="1">'Годовая отчетность'!L75+IF(L$6=1,IFERROR(OFFSET(Предпосылки!M$318,,,,1-LEFT('Квартальная отчетность'!$E$11,1)),0))</f>
        <v>0</v>
      </c>
      <c r="M51" s="114">
        <f ca="1">'Годовая отчетность'!M75+IF(M$6=1,IFERROR(OFFSET(Предпосылки!N$318,,,,1-LEFT('Квартальная отчетность'!$E$11,1)),0))</f>
        <v>0</v>
      </c>
      <c r="N51" s="114">
        <f ca="1">'Годовая отчетность'!N75+IF(N$6=1,IFERROR(OFFSET(Предпосылки!O$318,,,,1-LEFT('Квартальная отчетность'!$E$11,1)),0))</f>
        <v>0</v>
      </c>
      <c r="O51" s="114">
        <f ca="1">'Годовая отчетность'!O75+IF(O$6=1,IFERROR(OFFSET(Предпосылки!P$318,,,,1-LEFT('Квартальная отчетность'!$E$11,1)),0))</f>
        <v>0</v>
      </c>
      <c r="P51" s="114">
        <f ca="1">'Годовая отчетность'!P75+IF(P$6=1,IFERROR(OFFSET(Предпосылки!Q$318,,,,1-LEFT('Квартальная отчетность'!$E$11,1)),0))</f>
        <v>0</v>
      </c>
      <c r="Q51" s="114">
        <f ca="1">'Годовая отчетность'!Q75+IF(Q$6=1,IFERROR(OFFSET(Предпосылки!R$318,,,,1-LEFT('Квартальная отчетность'!$E$11,1)),0))</f>
        <v>0</v>
      </c>
      <c r="R51" s="114">
        <f ca="1">'Годовая отчетность'!R75+IF(R$6=1,IFERROR(OFFSET(Предпосылки!S$318,,,,1-LEFT('Квартальная отчетность'!$E$11,1)),0))</f>
        <v>0</v>
      </c>
      <c r="S51" s="114">
        <f ca="1">'Годовая отчетность'!S75+IF(S$6=1,IFERROR(OFFSET(Предпосылки!T$318,,,,1-LEFT('Квартальная отчетность'!$E$11,1)),0))</f>
        <v>0</v>
      </c>
      <c r="T51" s="114">
        <f ca="1">'Годовая отчетность'!T75+IF(T$6=1,IFERROR(OFFSET(Предпосылки!U$318,,,,1-LEFT('Квартальная отчетность'!$E$11,1)),0))</f>
        <v>0</v>
      </c>
      <c r="U51" s="114">
        <f>'Годовая отчетность'!U75</f>
        <v>0</v>
      </c>
      <c r="V51" s="114">
        <f>'Годовая отчетность'!V75</f>
        <v>0</v>
      </c>
      <c r="W51" s="114">
        <f>'Годовая отчетность'!W75</f>
        <v>0</v>
      </c>
      <c r="X51" s="114">
        <f>'Годовая отчетность'!X75</f>
        <v>0</v>
      </c>
      <c r="Y51" s="114">
        <f>'Годовая отчетность'!Y75</f>
        <v>0</v>
      </c>
      <c r="Z51" s="114">
        <f>'Годовая отчетность'!Z75</f>
        <v>0</v>
      </c>
      <c r="AA51" s="114">
        <f>'Годовая отчетность'!AA75</f>
        <v>0</v>
      </c>
      <c r="AB51" s="114">
        <f>'Годовая отчетность'!AB75</f>
        <v>0</v>
      </c>
      <c r="AC51" s="114">
        <f>'Годовая отчетность'!AC75</f>
        <v>0</v>
      </c>
      <c r="AD51" s="114">
        <f>'Годовая отчетность'!AD75</f>
        <v>0</v>
      </c>
      <c r="AE51" s="114">
        <f>'Годовая отчетность'!AE75</f>
        <v>0</v>
      </c>
      <c r="AF51" s="114">
        <f>'Годовая отчетность'!AF75</f>
        <v>0</v>
      </c>
      <c r="AG51" s="114">
        <f>'Годовая отчетность'!AG75</f>
        <v>0</v>
      </c>
      <c r="AH51" s="114">
        <f>'Годовая отчетность'!AH75</f>
        <v>0</v>
      </c>
      <c r="AI51" s="114">
        <f>'Годовая отчетность'!AI75</f>
        <v>0</v>
      </c>
      <c r="AJ51" s="114">
        <f>'Годовая отчетность'!AJ75</f>
        <v>0</v>
      </c>
      <c r="AK51" s="114">
        <f>'Годовая отчетность'!AK75</f>
        <v>0</v>
      </c>
      <c r="AL51" s="114">
        <f>'Годовая отчетность'!AL75</f>
        <v>0</v>
      </c>
      <c r="AM51" s="114">
        <f>'Годовая отчетность'!AM75</f>
        <v>0</v>
      </c>
      <c r="AN51" s="114">
        <f>'Годовая отчетность'!AN75</f>
        <v>0</v>
      </c>
      <c r="AO51" s="114">
        <f>'Годовая отчетность'!AO75</f>
        <v>0</v>
      </c>
      <c r="AP51" s="114">
        <f>'Годовая отчетность'!AP75</f>
        <v>0</v>
      </c>
      <c r="AQ51" s="114">
        <f>'Годовая отчетность'!AQ75</f>
        <v>0</v>
      </c>
      <c r="AR51" s="114">
        <f>'Годовая отчетность'!AR75</f>
        <v>0</v>
      </c>
      <c r="AS51" s="114">
        <f>'Годовая отчетность'!AS75</f>
        <v>0</v>
      </c>
      <c r="AT51" s="114">
        <f>'Годовая отчетность'!AT75</f>
        <v>0</v>
      </c>
      <c r="AU51" s="114">
        <f>'Годовая отчетность'!AU75</f>
        <v>0</v>
      </c>
      <c r="AV51" s="114">
        <f>'Годовая отчетность'!AV75</f>
        <v>0</v>
      </c>
      <c r="AW51" s="114">
        <f>'Годовая отчетность'!AW75</f>
        <v>0</v>
      </c>
      <c r="AX51" s="114">
        <f>'Годовая отчетность'!AX75</f>
        <v>0</v>
      </c>
      <c r="AY51" s="114">
        <f>'Годовая отчетность'!AY75</f>
        <v>0</v>
      </c>
      <c r="AZ51" s="114">
        <f>'Годовая отчетность'!AZ75</f>
        <v>0</v>
      </c>
      <c r="BA51" s="114">
        <f>'Годовая отчетность'!BA75</f>
        <v>0</v>
      </c>
      <c r="BB51" s="114">
        <f>'Годовая отчетность'!BB75</f>
        <v>0</v>
      </c>
      <c r="BC51" s="114">
        <f>'Годовая отчетность'!BC75</f>
        <v>0</v>
      </c>
      <c r="BD51" s="114">
        <f>'Годовая отчетность'!BD75</f>
        <v>0</v>
      </c>
      <c r="BE51" s="114">
        <f>'Годовая отчетность'!BE75</f>
        <v>0</v>
      </c>
      <c r="BF51" s="114">
        <f>'Годовая отчетность'!BF75</f>
        <v>0</v>
      </c>
      <c r="BG51" s="114">
        <f>'Годовая отчетность'!BG75</f>
        <v>0</v>
      </c>
      <c r="BH51" s="114">
        <f>'Годовая отчетность'!BH75</f>
        <v>0</v>
      </c>
      <c r="BI51" s="114">
        <f>'Годовая отчетность'!BI75</f>
        <v>0</v>
      </c>
      <c r="BJ51" s="114">
        <f>'Годовая отчетность'!BJ75</f>
        <v>0</v>
      </c>
      <c r="BK51" s="114">
        <f>'Годовая отчетность'!BK75</f>
        <v>0</v>
      </c>
      <c r="BL51" s="114">
        <f>'Годовая отчетность'!BL75</f>
        <v>0</v>
      </c>
      <c r="BM51" s="114">
        <f>'Годовая отчетность'!BM75</f>
        <v>0</v>
      </c>
    </row>
    <row r="52" spans="2:65" ht="15" customHeight="1">
      <c r="B52" s="259" t="s">
        <v>133</v>
      </c>
      <c r="C52" s="260" t="str">
        <f t="shared" si="57"/>
        <v>тыс. руб.</v>
      </c>
      <c r="D52" s="248"/>
      <c r="E52" s="248">
        <f t="shared" ref="E52:AG52" ca="1" si="58">SUM(E47:E51)</f>
        <v>0</v>
      </c>
      <c r="F52" s="248">
        <f t="shared" ca="1" si="58"/>
        <v>0</v>
      </c>
      <c r="G52" s="248">
        <f t="shared" ca="1" si="58"/>
        <v>0</v>
      </c>
      <c r="H52" s="248">
        <f t="shared" ca="1" si="58"/>
        <v>0</v>
      </c>
      <c r="I52" s="248">
        <f t="shared" ca="1" si="58"/>
        <v>0</v>
      </c>
      <c r="J52" s="248">
        <f t="shared" ca="1" si="58"/>
        <v>0</v>
      </c>
      <c r="K52" s="248">
        <f t="shared" ca="1" si="58"/>
        <v>0</v>
      </c>
      <c r="L52" s="248">
        <f t="shared" ca="1" si="58"/>
        <v>0</v>
      </c>
      <c r="M52" s="248">
        <f t="shared" ca="1" si="58"/>
        <v>0</v>
      </c>
      <c r="N52" s="248">
        <f t="shared" ca="1" si="58"/>
        <v>0</v>
      </c>
      <c r="O52" s="248">
        <f t="shared" ca="1" si="58"/>
        <v>0</v>
      </c>
      <c r="P52" s="248">
        <f t="shared" ca="1" si="58"/>
        <v>0</v>
      </c>
      <c r="Q52" s="248">
        <f t="shared" ca="1" si="58"/>
        <v>0</v>
      </c>
      <c r="R52" s="248">
        <f t="shared" ca="1" si="58"/>
        <v>0</v>
      </c>
      <c r="S52" s="248">
        <f t="shared" ca="1" si="58"/>
        <v>0</v>
      </c>
      <c r="T52" s="248">
        <f t="shared" ca="1" si="58"/>
        <v>0</v>
      </c>
      <c r="U52" s="248">
        <f t="shared" si="58"/>
        <v>0</v>
      </c>
      <c r="V52" s="248">
        <f t="shared" si="58"/>
        <v>0</v>
      </c>
      <c r="W52" s="248">
        <f t="shared" si="58"/>
        <v>0</v>
      </c>
      <c r="X52" s="248">
        <f t="shared" si="58"/>
        <v>0</v>
      </c>
      <c r="Y52" s="248">
        <f t="shared" si="58"/>
        <v>0</v>
      </c>
      <c r="Z52" s="248">
        <f t="shared" si="58"/>
        <v>0</v>
      </c>
      <c r="AA52" s="248">
        <f t="shared" si="58"/>
        <v>0</v>
      </c>
      <c r="AB52" s="248">
        <f t="shared" si="58"/>
        <v>0</v>
      </c>
      <c r="AC52" s="248">
        <f t="shared" si="58"/>
        <v>0</v>
      </c>
      <c r="AD52" s="248">
        <f t="shared" si="58"/>
        <v>0</v>
      </c>
      <c r="AE52" s="248">
        <f t="shared" si="58"/>
        <v>0</v>
      </c>
      <c r="AF52" s="248">
        <f t="shared" si="58"/>
        <v>0</v>
      </c>
      <c r="AG52" s="248">
        <f t="shared" si="58"/>
        <v>0</v>
      </c>
      <c r="AH52" s="248">
        <f t="shared" ref="AH52:BM52" si="59">SUM(AH47:AH51)</f>
        <v>0</v>
      </c>
      <c r="AI52" s="248">
        <f t="shared" si="59"/>
        <v>0</v>
      </c>
      <c r="AJ52" s="248">
        <f t="shared" si="59"/>
        <v>0</v>
      </c>
      <c r="AK52" s="248">
        <f t="shared" si="59"/>
        <v>0</v>
      </c>
      <c r="AL52" s="248">
        <f t="shared" si="59"/>
        <v>0</v>
      </c>
      <c r="AM52" s="248">
        <f t="shared" si="59"/>
        <v>0</v>
      </c>
      <c r="AN52" s="248">
        <f t="shared" si="59"/>
        <v>0</v>
      </c>
      <c r="AO52" s="248">
        <f t="shared" si="59"/>
        <v>0</v>
      </c>
      <c r="AP52" s="248">
        <f t="shared" si="59"/>
        <v>0</v>
      </c>
      <c r="AQ52" s="248">
        <f t="shared" si="59"/>
        <v>0</v>
      </c>
      <c r="AR52" s="248">
        <f t="shared" si="59"/>
        <v>0</v>
      </c>
      <c r="AS52" s="248">
        <f t="shared" si="59"/>
        <v>0</v>
      </c>
      <c r="AT52" s="248">
        <f t="shared" si="59"/>
        <v>0</v>
      </c>
      <c r="AU52" s="248">
        <f t="shared" si="59"/>
        <v>0</v>
      </c>
      <c r="AV52" s="248">
        <f t="shared" si="59"/>
        <v>0</v>
      </c>
      <c r="AW52" s="248">
        <f t="shared" si="59"/>
        <v>0</v>
      </c>
      <c r="AX52" s="248">
        <f t="shared" si="59"/>
        <v>0</v>
      </c>
      <c r="AY52" s="248">
        <f t="shared" si="59"/>
        <v>0</v>
      </c>
      <c r="AZ52" s="248">
        <f t="shared" si="59"/>
        <v>0</v>
      </c>
      <c r="BA52" s="248">
        <f t="shared" si="59"/>
        <v>0</v>
      </c>
      <c r="BB52" s="248">
        <f t="shared" si="59"/>
        <v>0</v>
      </c>
      <c r="BC52" s="248">
        <f t="shared" si="59"/>
        <v>0</v>
      </c>
      <c r="BD52" s="248">
        <f t="shared" si="59"/>
        <v>0</v>
      </c>
      <c r="BE52" s="248">
        <f t="shared" si="59"/>
        <v>0</v>
      </c>
      <c r="BF52" s="248">
        <f t="shared" si="59"/>
        <v>0</v>
      </c>
      <c r="BG52" s="248">
        <f t="shared" si="59"/>
        <v>0</v>
      </c>
      <c r="BH52" s="248">
        <f t="shared" si="59"/>
        <v>0</v>
      </c>
      <c r="BI52" s="248">
        <f t="shared" si="59"/>
        <v>0</v>
      </c>
      <c r="BJ52" s="248">
        <f t="shared" si="59"/>
        <v>0</v>
      </c>
      <c r="BK52" s="248">
        <f t="shared" si="59"/>
        <v>0</v>
      </c>
      <c r="BL52" s="248">
        <f t="shared" si="59"/>
        <v>0</v>
      </c>
      <c r="BM52" s="248">
        <f t="shared" si="59"/>
        <v>0</v>
      </c>
    </row>
    <row r="53" spans="2:65" ht="15" customHeight="1">
      <c r="B53" s="37"/>
      <c r="C53" s="37"/>
      <c r="D53" s="37"/>
      <c r="E53" s="37"/>
      <c r="F53" s="37"/>
      <c r="G53" s="37"/>
      <c r="H53" s="37"/>
      <c r="I53" s="37"/>
      <c r="J53" s="37"/>
      <c r="K53" s="37"/>
      <c r="L53" s="37"/>
      <c r="M53" s="37"/>
      <c r="N53" s="37"/>
      <c r="O53" s="37"/>
      <c r="P53" s="37"/>
      <c r="Q53" s="37"/>
      <c r="R53" s="37"/>
      <c r="S53" s="37"/>
      <c r="T53" s="37"/>
      <c r="U53" s="37"/>
      <c r="V53" s="37"/>
      <c r="W53" s="37"/>
      <c r="X53" s="37"/>
      <c r="Y53" s="37"/>
      <c r="Z53" s="37"/>
      <c r="AA53" s="37"/>
      <c r="AB53" s="37"/>
      <c r="AC53" s="37"/>
      <c r="AD53" s="37"/>
      <c r="AE53" s="37"/>
      <c r="AF53" s="37"/>
      <c r="AG53" s="37"/>
      <c r="AH53" s="37"/>
      <c r="AI53" s="37"/>
      <c r="AJ53" s="37"/>
      <c r="AK53" s="37"/>
      <c r="AL53" s="37"/>
      <c r="AM53" s="37"/>
      <c r="AN53" s="37"/>
      <c r="AO53" s="37"/>
      <c r="AP53" s="37"/>
      <c r="AQ53" s="37"/>
      <c r="AR53" s="37"/>
      <c r="AS53" s="37"/>
      <c r="AT53" s="37"/>
      <c r="AU53" s="37"/>
      <c r="AV53" s="37"/>
      <c r="AW53" s="37"/>
      <c r="AX53" s="37"/>
      <c r="AY53" s="37"/>
      <c r="AZ53" s="37"/>
      <c r="BA53" s="37"/>
      <c r="BB53" s="37"/>
      <c r="BC53" s="37"/>
      <c r="BD53" s="37"/>
      <c r="BE53" s="37"/>
      <c r="BF53" s="37"/>
      <c r="BG53" s="37"/>
      <c r="BH53" s="37"/>
      <c r="BI53" s="37"/>
      <c r="BJ53" s="37"/>
      <c r="BK53" s="37"/>
      <c r="BL53" s="37"/>
      <c r="BM53" s="37"/>
    </row>
    <row r="54" spans="2:65" ht="15" customHeight="1">
      <c r="B54" s="118" t="s">
        <v>136</v>
      </c>
      <c r="C54" s="37"/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37"/>
      <c r="U54" s="37"/>
      <c r="V54" s="37"/>
      <c r="W54" s="37"/>
      <c r="X54" s="37"/>
      <c r="Y54" s="37"/>
      <c r="Z54" s="37"/>
      <c r="AA54" s="37"/>
      <c r="AB54" s="37"/>
      <c r="AC54" s="37"/>
      <c r="AD54" s="37"/>
      <c r="AE54" s="37"/>
      <c r="AF54" s="37"/>
      <c r="AG54" s="37"/>
      <c r="AH54" s="37"/>
      <c r="AI54" s="37"/>
      <c r="AJ54" s="37"/>
      <c r="AK54" s="37"/>
      <c r="AL54" s="37"/>
      <c r="AM54" s="37"/>
      <c r="AN54" s="37"/>
      <c r="AO54" s="37"/>
      <c r="AP54" s="37"/>
      <c r="AQ54" s="37"/>
      <c r="AR54" s="37"/>
      <c r="AS54" s="37"/>
      <c r="AT54" s="37"/>
      <c r="AU54" s="37"/>
      <c r="AV54" s="37"/>
      <c r="AW54" s="37"/>
      <c r="AX54" s="37"/>
      <c r="AY54" s="37"/>
      <c r="AZ54" s="37"/>
      <c r="BA54" s="37"/>
      <c r="BB54" s="37"/>
      <c r="BC54" s="37"/>
      <c r="BD54" s="37"/>
      <c r="BE54" s="37"/>
      <c r="BF54" s="37"/>
      <c r="BG54" s="37"/>
      <c r="BH54" s="37"/>
      <c r="BI54" s="37"/>
      <c r="BJ54" s="37"/>
      <c r="BK54" s="37"/>
      <c r="BL54" s="37"/>
      <c r="BM54" s="37"/>
    </row>
    <row r="55" spans="2:65" ht="15" customHeight="1">
      <c r="B55" s="112" t="s">
        <v>133</v>
      </c>
      <c r="C55" s="113" t="str">
        <f>Единица_измерения</f>
        <v>тыс. руб.</v>
      </c>
      <c r="D55" s="114"/>
      <c r="E55" s="114">
        <f ca="1">E$52</f>
        <v>0</v>
      </c>
      <c r="F55" s="114">
        <f t="shared" ref="F55:BM55" ca="1" si="60">F$52</f>
        <v>0</v>
      </c>
      <c r="G55" s="114">
        <f t="shared" ca="1" si="60"/>
        <v>0</v>
      </c>
      <c r="H55" s="114">
        <f t="shared" ca="1" si="60"/>
        <v>0</v>
      </c>
      <c r="I55" s="114">
        <f t="shared" ca="1" si="60"/>
        <v>0</v>
      </c>
      <c r="J55" s="114">
        <f t="shared" ca="1" si="60"/>
        <v>0</v>
      </c>
      <c r="K55" s="114">
        <f t="shared" ca="1" si="60"/>
        <v>0</v>
      </c>
      <c r="L55" s="114">
        <f t="shared" ca="1" si="60"/>
        <v>0</v>
      </c>
      <c r="M55" s="114">
        <f t="shared" ca="1" si="60"/>
        <v>0</v>
      </c>
      <c r="N55" s="114">
        <f t="shared" ca="1" si="60"/>
        <v>0</v>
      </c>
      <c r="O55" s="114">
        <f t="shared" ca="1" si="60"/>
        <v>0</v>
      </c>
      <c r="P55" s="114">
        <f t="shared" ca="1" si="60"/>
        <v>0</v>
      </c>
      <c r="Q55" s="114">
        <f t="shared" ca="1" si="60"/>
        <v>0</v>
      </c>
      <c r="R55" s="114">
        <f t="shared" ca="1" si="60"/>
        <v>0</v>
      </c>
      <c r="S55" s="114">
        <f t="shared" ca="1" si="60"/>
        <v>0</v>
      </c>
      <c r="T55" s="114">
        <f t="shared" ca="1" si="60"/>
        <v>0</v>
      </c>
      <c r="U55" s="114">
        <f t="shared" si="60"/>
        <v>0</v>
      </c>
      <c r="V55" s="114">
        <f t="shared" si="60"/>
        <v>0</v>
      </c>
      <c r="W55" s="114">
        <f t="shared" si="60"/>
        <v>0</v>
      </c>
      <c r="X55" s="114">
        <f t="shared" si="60"/>
        <v>0</v>
      </c>
      <c r="Y55" s="114">
        <f t="shared" si="60"/>
        <v>0</v>
      </c>
      <c r="Z55" s="114">
        <f t="shared" si="60"/>
        <v>0</v>
      </c>
      <c r="AA55" s="114">
        <f t="shared" si="60"/>
        <v>0</v>
      </c>
      <c r="AB55" s="114">
        <f t="shared" si="60"/>
        <v>0</v>
      </c>
      <c r="AC55" s="114">
        <f t="shared" si="60"/>
        <v>0</v>
      </c>
      <c r="AD55" s="114">
        <f t="shared" si="60"/>
        <v>0</v>
      </c>
      <c r="AE55" s="114">
        <f t="shared" si="60"/>
        <v>0</v>
      </c>
      <c r="AF55" s="114">
        <f t="shared" si="60"/>
        <v>0</v>
      </c>
      <c r="AG55" s="114">
        <f t="shared" si="60"/>
        <v>0</v>
      </c>
      <c r="AH55" s="114">
        <f t="shared" si="60"/>
        <v>0</v>
      </c>
      <c r="AI55" s="114">
        <f t="shared" si="60"/>
        <v>0</v>
      </c>
      <c r="AJ55" s="114">
        <f t="shared" si="60"/>
        <v>0</v>
      </c>
      <c r="AK55" s="114">
        <f t="shared" si="60"/>
        <v>0</v>
      </c>
      <c r="AL55" s="114">
        <f t="shared" si="60"/>
        <v>0</v>
      </c>
      <c r="AM55" s="114">
        <f t="shared" si="60"/>
        <v>0</v>
      </c>
      <c r="AN55" s="114">
        <f t="shared" si="60"/>
        <v>0</v>
      </c>
      <c r="AO55" s="114">
        <f t="shared" si="60"/>
        <v>0</v>
      </c>
      <c r="AP55" s="114">
        <f t="shared" si="60"/>
        <v>0</v>
      </c>
      <c r="AQ55" s="114">
        <f t="shared" si="60"/>
        <v>0</v>
      </c>
      <c r="AR55" s="114">
        <f t="shared" si="60"/>
        <v>0</v>
      </c>
      <c r="AS55" s="114">
        <f t="shared" si="60"/>
        <v>0</v>
      </c>
      <c r="AT55" s="114">
        <f t="shared" si="60"/>
        <v>0</v>
      </c>
      <c r="AU55" s="114">
        <f t="shared" si="60"/>
        <v>0</v>
      </c>
      <c r="AV55" s="114">
        <f t="shared" si="60"/>
        <v>0</v>
      </c>
      <c r="AW55" s="114">
        <f t="shared" si="60"/>
        <v>0</v>
      </c>
      <c r="AX55" s="114">
        <f t="shared" si="60"/>
        <v>0</v>
      </c>
      <c r="AY55" s="114">
        <f t="shared" si="60"/>
        <v>0</v>
      </c>
      <c r="AZ55" s="114">
        <f t="shared" si="60"/>
        <v>0</v>
      </c>
      <c r="BA55" s="114">
        <f t="shared" si="60"/>
        <v>0</v>
      </c>
      <c r="BB55" s="114">
        <f t="shared" si="60"/>
        <v>0</v>
      </c>
      <c r="BC55" s="114">
        <f t="shared" si="60"/>
        <v>0</v>
      </c>
      <c r="BD55" s="114">
        <f t="shared" si="60"/>
        <v>0</v>
      </c>
      <c r="BE55" s="114">
        <f t="shared" si="60"/>
        <v>0</v>
      </c>
      <c r="BF55" s="114">
        <f t="shared" si="60"/>
        <v>0</v>
      </c>
      <c r="BG55" s="114">
        <f t="shared" si="60"/>
        <v>0</v>
      </c>
      <c r="BH55" s="114">
        <f t="shared" si="60"/>
        <v>0</v>
      </c>
      <c r="BI55" s="114">
        <f t="shared" si="60"/>
        <v>0</v>
      </c>
      <c r="BJ55" s="114">
        <f t="shared" si="60"/>
        <v>0</v>
      </c>
      <c r="BK55" s="114">
        <f t="shared" si="60"/>
        <v>0</v>
      </c>
      <c r="BL55" s="114">
        <f t="shared" si="60"/>
        <v>0</v>
      </c>
      <c r="BM55" s="114">
        <f t="shared" si="60"/>
        <v>0</v>
      </c>
    </row>
    <row r="56" spans="2:65" ht="15" customHeight="1">
      <c r="B56" s="112" t="s">
        <v>108</v>
      </c>
      <c r="C56" s="113" t="str">
        <f>Единица_измерения</f>
        <v>тыс. руб.</v>
      </c>
      <c r="D56" s="114"/>
      <c r="E56" s="114">
        <f ca="1">-'Годовая отчетность'!E84-IF(E$6=1,IFERROR(OFFSET(Предпосылки!F$320,,,,1-LEFT('Квартальная отчетность'!$E$11,1)),0))</f>
        <v>0</v>
      </c>
      <c r="F56" s="114">
        <f ca="1">-'Годовая отчетность'!F84-IF(F$6=1,IFERROR(OFFSET(Предпосылки!G$320,,,,1-LEFT('Квартальная отчетность'!$E$11,1)),0))</f>
        <v>0</v>
      </c>
      <c r="G56" s="114">
        <f ca="1">-'Годовая отчетность'!G84-IF(G$6=1,IFERROR(OFFSET(Предпосылки!H$320,,,,1-LEFT('Квартальная отчетность'!$E$11,1)),0))</f>
        <v>0</v>
      </c>
      <c r="H56" s="114">
        <f ca="1">-'Годовая отчетность'!H84-IF(H$6=1,IFERROR(OFFSET(Предпосылки!I$320,,,,1-LEFT('Квартальная отчетность'!$E$11,1)),0))</f>
        <v>0</v>
      </c>
      <c r="I56" s="114">
        <f ca="1">-'Годовая отчетность'!I84-IF(I$6=1,IFERROR(OFFSET(Предпосылки!J$320,,,,1-LEFT('Квартальная отчетность'!$E$11,1)),0))</f>
        <v>0</v>
      </c>
      <c r="J56" s="114">
        <f ca="1">-'Годовая отчетность'!J84-IF(J$6=1,IFERROR(OFFSET(Предпосылки!K$320,,,,1-LEFT('Квартальная отчетность'!$E$11,1)),0))</f>
        <v>0</v>
      </c>
      <c r="K56" s="114">
        <f ca="1">-'Годовая отчетность'!K84-IF(K$6=1,IFERROR(OFFSET(Предпосылки!L$320,,,,1-LEFT('Квартальная отчетность'!$E$11,1)),0))</f>
        <v>0</v>
      </c>
      <c r="L56" s="114">
        <f ca="1">-'Годовая отчетность'!L84-IF(L$6=1,IFERROR(OFFSET(Предпосылки!M$320,,,,1-LEFT('Квартальная отчетность'!$E$11,1)),0))</f>
        <v>0</v>
      </c>
      <c r="M56" s="114">
        <f ca="1">-'Годовая отчетность'!M84-IF(M$6=1,IFERROR(OFFSET(Предпосылки!N$320,,,,1-LEFT('Квартальная отчетность'!$E$11,1)),0))</f>
        <v>0</v>
      </c>
      <c r="N56" s="114">
        <f ca="1">-'Годовая отчетность'!N84-IF(N$6=1,IFERROR(OFFSET(Предпосылки!O$320,,,,1-LEFT('Квартальная отчетность'!$E$11,1)),0))</f>
        <v>0</v>
      </c>
      <c r="O56" s="114">
        <f ca="1">-'Годовая отчетность'!O84-IF(O$6=1,IFERROR(OFFSET(Предпосылки!P$320,,,,1-LEFT('Квартальная отчетность'!$E$11,1)),0))</f>
        <v>0</v>
      </c>
      <c r="P56" s="114">
        <f ca="1">-'Годовая отчетность'!P84-IF(P$6=1,IFERROR(OFFSET(Предпосылки!Q$320,,,,1-LEFT('Квартальная отчетность'!$E$11,1)),0))</f>
        <v>0</v>
      </c>
      <c r="Q56" s="114">
        <f ca="1">-'Годовая отчетность'!Q84-IF(Q$6=1,IFERROR(OFFSET(Предпосылки!R$320,,,,1-LEFT('Квартальная отчетность'!$E$11,1)),0))</f>
        <v>0</v>
      </c>
      <c r="R56" s="114">
        <f ca="1">-'Годовая отчетность'!R84-IF(R$6=1,IFERROR(OFFSET(Предпосылки!S$320,,,,1-LEFT('Квартальная отчетность'!$E$11,1)),0))</f>
        <v>0</v>
      </c>
      <c r="S56" s="114">
        <f ca="1">-'Годовая отчетность'!S84-IF(S$6=1,IFERROR(OFFSET(Предпосылки!T$320,,,,1-LEFT('Квартальная отчетность'!$E$11,1)),0))</f>
        <v>0</v>
      </c>
      <c r="T56" s="114">
        <f ca="1">-'Годовая отчетность'!T84-IF(T$6=1,IFERROR(OFFSET(Предпосылки!U$320,,,,1-LEFT('Квартальная отчетность'!$E$11,1)),0))</f>
        <v>0</v>
      </c>
      <c r="U56" s="114">
        <f>-'Годовая отчетность'!U84</f>
        <v>0</v>
      </c>
      <c r="V56" s="114">
        <f>-'Годовая отчетность'!V84</f>
        <v>0</v>
      </c>
      <c r="W56" s="114">
        <f>-'Годовая отчетность'!W84</f>
        <v>0</v>
      </c>
      <c r="X56" s="114">
        <f>-'Годовая отчетность'!X84</f>
        <v>0</v>
      </c>
      <c r="Y56" s="114">
        <f>-'Годовая отчетность'!Y84</f>
        <v>0</v>
      </c>
      <c r="Z56" s="114">
        <f>-'Годовая отчетность'!Z84</f>
        <v>0</v>
      </c>
      <c r="AA56" s="114">
        <f>-'Годовая отчетность'!AA84</f>
        <v>0</v>
      </c>
      <c r="AB56" s="114">
        <f>-'Годовая отчетность'!AB84</f>
        <v>0</v>
      </c>
      <c r="AC56" s="114">
        <f>-'Годовая отчетность'!AC84</f>
        <v>0</v>
      </c>
      <c r="AD56" s="114">
        <f>-'Годовая отчетность'!AD84</f>
        <v>0</v>
      </c>
      <c r="AE56" s="114">
        <f>-'Годовая отчетность'!AE84</f>
        <v>0</v>
      </c>
      <c r="AF56" s="114">
        <f>-'Годовая отчетность'!AF84</f>
        <v>0</v>
      </c>
      <c r="AG56" s="114">
        <f>-'Годовая отчетность'!AG84</f>
        <v>0</v>
      </c>
      <c r="AH56" s="114">
        <f>-'Годовая отчетность'!AH84</f>
        <v>0</v>
      </c>
      <c r="AI56" s="114">
        <f>-'Годовая отчетность'!AI84</f>
        <v>0</v>
      </c>
      <c r="AJ56" s="114">
        <f>-'Годовая отчетность'!AJ84</f>
        <v>0</v>
      </c>
      <c r="AK56" s="114">
        <f>-'Годовая отчетность'!AK84</f>
        <v>0</v>
      </c>
      <c r="AL56" s="114">
        <f>-'Годовая отчетность'!AL84</f>
        <v>0</v>
      </c>
      <c r="AM56" s="114">
        <f>-'Годовая отчетность'!AM84</f>
        <v>0</v>
      </c>
      <c r="AN56" s="114">
        <f>-'Годовая отчетность'!AN84</f>
        <v>0</v>
      </c>
      <c r="AO56" s="114">
        <f>-'Годовая отчетность'!AO84</f>
        <v>0</v>
      </c>
      <c r="AP56" s="114">
        <f>-'Годовая отчетность'!AP84</f>
        <v>0</v>
      </c>
      <c r="AQ56" s="114">
        <f>-'Годовая отчетность'!AQ84</f>
        <v>0</v>
      </c>
      <c r="AR56" s="114">
        <f>-'Годовая отчетность'!AR84</f>
        <v>0</v>
      </c>
      <c r="AS56" s="114">
        <f>-'Годовая отчетность'!AS84</f>
        <v>0</v>
      </c>
      <c r="AT56" s="114">
        <f>-'Годовая отчетность'!AT84</f>
        <v>0</v>
      </c>
      <c r="AU56" s="114">
        <f>-'Годовая отчетность'!AU84</f>
        <v>0</v>
      </c>
      <c r="AV56" s="114">
        <f>-'Годовая отчетность'!AV84</f>
        <v>0</v>
      </c>
      <c r="AW56" s="114">
        <f>-'Годовая отчетность'!AW84</f>
        <v>0</v>
      </c>
      <c r="AX56" s="114">
        <f>-'Годовая отчетность'!AX84</f>
        <v>0</v>
      </c>
      <c r="AY56" s="114">
        <f>-'Годовая отчетность'!AY84</f>
        <v>0</v>
      </c>
      <c r="AZ56" s="114">
        <f>-'Годовая отчетность'!AZ84</f>
        <v>0</v>
      </c>
      <c r="BA56" s="114">
        <f>-'Годовая отчетность'!BA84</f>
        <v>0</v>
      </c>
      <c r="BB56" s="114">
        <f>-'Годовая отчетность'!BB84</f>
        <v>0</v>
      </c>
      <c r="BC56" s="114">
        <f>-'Годовая отчетность'!BC84</f>
        <v>0</v>
      </c>
      <c r="BD56" s="114">
        <f>-'Годовая отчетность'!BD84</f>
        <v>0</v>
      </c>
      <c r="BE56" s="114">
        <f>-'Годовая отчетность'!BE84</f>
        <v>0</v>
      </c>
      <c r="BF56" s="114">
        <f>-'Годовая отчетность'!BF84</f>
        <v>0</v>
      </c>
      <c r="BG56" s="114">
        <f>-'Годовая отчетность'!BG84</f>
        <v>0</v>
      </c>
      <c r="BH56" s="114">
        <f>-'Годовая отчетность'!BH84</f>
        <v>0</v>
      </c>
      <c r="BI56" s="114">
        <f>-'Годовая отчетность'!BI84</f>
        <v>0</v>
      </c>
      <c r="BJ56" s="114">
        <f>-'Годовая отчетность'!BJ84</f>
        <v>0</v>
      </c>
      <c r="BK56" s="114">
        <f>-'Годовая отчетность'!BK84</f>
        <v>0</v>
      </c>
      <c r="BL56" s="114">
        <f>-'Годовая отчетность'!BL84</f>
        <v>0</v>
      </c>
      <c r="BM56" s="114">
        <f>-'Годовая отчетность'!BM84</f>
        <v>0</v>
      </c>
    </row>
    <row r="57" spans="2:65" ht="15" customHeight="1">
      <c r="B57" s="112" t="s">
        <v>438</v>
      </c>
      <c r="C57" s="113" t="str">
        <f>Единица_измерения</f>
        <v>тыс. руб.</v>
      </c>
      <c r="D57" s="114"/>
      <c r="E57" s="114">
        <f ca="1">-'Годовая отчетность'!E47-IF(E$6=1,IFERROR(OFFSET(Предпосылки!F$321,,,,1-LEFT('Квартальная отчетность'!$E$11,1)),0))</f>
        <v>0</v>
      </c>
      <c r="F57" s="114">
        <f ca="1">-'Годовая отчетность'!F47-IF(F$6=1,IFERROR(OFFSET(Предпосылки!G$321,,,,1-LEFT('Квартальная отчетность'!$E$11,1)),0))</f>
        <v>0</v>
      </c>
      <c r="G57" s="114">
        <f ca="1">-'Годовая отчетность'!G47-IF(G$6=1,IFERROR(OFFSET(Предпосылки!H$321,,,,1-LEFT('Квартальная отчетность'!$E$11,1)),0))</f>
        <v>0</v>
      </c>
      <c r="H57" s="114">
        <f ca="1">-'Годовая отчетность'!H47-IF(H$6=1,IFERROR(OFFSET(Предпосылки!I$321,,,,1-LEFT('Квартальная отчетность'!$E$11,1)),0))</f>
        <v>0</v>
      </c>
      <c r="I57" s="114">
        <f ca="1">-'Годовая отчетность'!I47-IF(I$6=1,IFERROR(OFFSET(Предпосылки!J$321,,,,1-LEFT('Квартальная отчетность'!$E$11,1)),0))</f>
        <v>0</v>
      </c>
      <c r="J57" s="114">
        <f ca="1">-'Годовая отчетность'!J47-IF(J$6=1,IFERROR(OFFSET(Предпосылки!K$321,,,,1-LEFT('Квартальная отчетность'!$E$11,1)),0))</f>
        <v>0</v>
      </c>
      <c r="K57" s="114">
        <f ca="1">-'Годовая отчетность'!K47-IF(K$6=1,IFERROR(OFFSET(Предпосылки!L$321,,,,1-LEFT('Квартальная отчетность'!$E$11,1)),0))</f>
        <v>0</v>
      </c>
      <c r="L57" s="114">
        <f ca="1">-'Годовая отчетность'!L47-IF(L$6=1,IFERROR(OFFSET(Предпосылки!M$321,,,,1-LEFT('Квартальная отчетность'!$E$11,1)),0))</f>
        <v>0</v>
      </c>
      <c r="M57" s="114">
        <f ca="1">-'Годовая отчетность'!M47-IF(M$6=1,IFERROR(OFFSET(Предпосылки!N$321,,,,1-LEFT('Квартальная отчетность'!$E$11,1)),0))</f>
        <v>0</v>
      </c>
      <c r="N57" s="114">
        <f ca="1">-'Годовая отчетность'!N47-IF(N$6=1,IFERROR(OFFSET(Предпосылки!O$321,,,,1-LEFT('Квартальная отчетность'!$E$11,1)),0))</f>
        <v>0</v>
      </c>
      <c r="O57" s="114">
        <f ca="1">-'Годовая отчетность'!O47-IF(O$6=1,IFERROR(OFFSET(Предпосылки!P$321,,,,1-LEFT('Квартальная отчетность'!$E$11,1)),0))</f>
        <v>0</v>
      </c>
      <c r="P57" s="114">
        <f ca="1">-'Годовая отчетность'!P47-IF(P$6=1,IFERROR(OFFSET(Предпосылки!Q$321,,,,1-LEFT('Квартальная отчетность'!$E$11,1)),0))</f>
        <v>0</v>
      </c>
      <c r="Q57" s="114">
        <f ca="1">-'Годовая отчетность'!Q47-IF(Q$6=1,IFERROR(OFFSET(Предпосылки!R$321,,,,1-LEFT('Квартальная отчетность'!$E$11,1)),0))</f>
        <v>0</v>
      </c>
      <c r="R57" s="114">
        <f ca="1">-'Годовая отчетность'!R47-IF(R$6=1,IFERROR(OFFSET(Предпосылки!S$321,,,,1-LEFT('Квартальная отчетность'!$E$11,1)),0))</f>
        <v>0</v>
      </c>
      <c r="S57" s="114">
        <f ca="1">-'Годовая отчетность'!S47-IF(S$6=1,IFERROR(OFFSET(Предпосылки!T$321,,,,1-LEFT('Квартальная отчетность'!$E$11,1)),0))</f>
        <v>0</v>
      </c>
      <c r="T57" s="114">
        <f ca="1">-'Годовая отчетность'!T47-IF(T$6=1,IFERROR(OFFSET(Предпосылки!U$321,,,,1-LEFT('Квартальная отчетность'!$E$11,1)),0))</f>
        <v>0</v>
      </c>
      <c r="U57" s="114">
        <f>'Годовая отчетность'!U47</f>
        <v>0</v>
      </c>
      <c r="V57" s="114">
        <f>'Годовая отчетность'!V47</f>
        <v>0</v>
      </c>
      <c r="W57" s="114">
        <f>'Годовая отчетность'!W47</f>
        <v>0</v>
      </c>
      <c r="X57" s="114">
        <f>'Годовая отчетность'!X47</f>
        <v>0</v>
      </c>
      <c r="Y57" s="114">
        <f>'Годовая отчетность'!Y47</f>
        <v>0</v>
      </c>
      <c r="Z57" s="114">
        <f>'Годовая отчетность'!Z47</f>
        <v>0</v>
      </c>
      <c r="AA57" s="114">
        <f>'Годовая отчетность'!AA47</f>
        <v>0</v>
      </c>
      <c r="AB57" s="114">
        <f>'Годовая отчетность'!AB47</f>
        <v>0</v>
      </c>
      <c r="AC57" s="114">
        <f>'Годовая отчетность'!AC47</f>
        <v>0</v>
      </c>
      <c r="AD57" s="114">
        <f>'Годовая отчетность'!AD47</f>
        <v>0</v>
      </c>
      <c r="AE57" s="114">
        <f>'Годовая отчетность'!AE47</f>
        <v>0</v>
      </c>
      <c r="AF57" s="114">
        <f>'Годовая отчетность'!AF47</f>
        <v>0</v>
      </c>
      <c r="AG57" s="114">
        <f>'Годовая отчетность'!AG47</f>
        <v>0</v>
      </c>
      <c r="AH57" s="114">
        <f>'Годовая отчетность'!AH47</f>
        <v>0</v>
      </c>
      <c r="AI57" s="114">
        <f>'Годовая отчетность'!AI47</f>
        <v>0</v>
      </c>
      <c r="AJ57" s="114">
        <f>'Годовая отчетность'!AJ47</f>
        <v>0</v>
      </c>
      <c r="AK57" s="114">
        <f>'Годовая отчетность'!AK47</f>
        <v>0</v>
      </c>
      <c r="AL57" s="114">
        <f>'Годовая отчетность'!AL47</f>
        <v>0</v>
      </c>
      <c r="AM57" s="114">
        <f>'Годовая отчетность'!AM47</f>
        <v>0</v>
      </c>
      <c r="AN57" s="114">
        <f>'Годовая отчетность'!AN47</f>
        <v>0</v>
      </c>
      <c r="AO57" s="114">
        <f>'Годовая отчетность'!AO47</f>
        <v>0</v>
      </c>
      <c r="AP57" s="114">
        <f>'Годовая отчетность'!AP47</f>
        <v>0</v>
      </c>
      <c r="AQ57" s="114">
        <f>'Годовая отчетность'!AQ47</f>
        <v>0</v>
      </c>
      <c r="AR57" s="114">
        <f>'Годовая отчетность'!AR47</f>
        <v>0</v>
      </c>
      <c r="AS57" s="114">
        <f>'Годовая отчетность'!AS47</f>
        <v>0</v>
      </c>
      <c r="AT57" s="114">
        <f>'Годовая отчетность'!AT47</f>
        <v>0</v>
      </c>
      <c r="AU57" s="114">
        <f>'Годовая отчетность'!AU47</f>
        <v>0</v>
      </c>
      <c r="AV57" s="114">
        <f>'Годовая отчетность'!AV47</f>
        <v>0</v>
      </c>
      <c r="AW57" s="114">
        <f>'Годовая отчетность'!AW47</f>
        <v>0</v>
      </c>
      <c r="AX57" s="114">
        <f>'Годовая отчетность'!AX47</f>
        <v>0</v>
      </c>
      <c r="AY57" s="114">
        <f>'Годовая отчетность'!AY47</f>
        <v>0</v>
      </c>
      <c r="AZ57" s="114">
        <f>'Годовая отчетность'!AZ47</f>
        <v>0</v>
      </c>
      <c r="BA57" s="114">
        <f>'Годовая отчетность'!BA47</f>
        <v>0</v>
      </c>
      <c r="BB57" s="114">
        <f>'Годовая отчетность'!BB47</f>
        <v>0</v>
      </c>
      <c r="BC57" s="114">
        <f>'Годовая отчетность'!BC47</f>
        <v>0</v>
      </c>
      <c r="BD57" s="114">
        <f>'Годовая отчетность'!BD47</f>
        <v>0</v>
      </c>
      <c r="BE57" s="114">
        <f>'Годовая отчетность'!BE47</f>
        <v>0</v>
      </c>
      <c r="BF57" s="114">
        <f>'Годовая отчетность'!BF47</f>
        <v>0</v>
      </c>
      <c r="BG57" s="114">
        <f>'Годовая отчетность'!BG47</f>
        <v>0</v>
      </c>
      <c r="BH57" s="114">
        <f>'Годовая отчетность'!BH47</f>
        <v>0</v>
      </c>
      <c r="BI57" s="114">
        <f>'Годовая отчетность'!BI47</f>
        <v>0</v>
      </c>
      <c r="BJ57" s="114">
        <f>'Годовая отчетность'!BJ47</f>
        <v>0</v>
      </c>
      <c r="BK57" s="114">
        <f>'Годовая отчетность'!BK47</f>
        <v>0</v>
      </c>
      <c r="BL57" s="114">
        <f>'Годовая отчетность'!BL47</f>
        <v>0</v>
      </c>
      <c r="BM57" s="114">
        <f>'Годовая отчетность'!BM47</f>
        <v>0</v>
      </c>
    </row>
    <row r="58" spans="2:65" ht="15" customHeight="1">
      <c r="B58" s="259" t="s">
        <v>137</v>
      </c>
      <c r="C58" s="260" t="s">
        <v>146</v>
      </c>
      <c r="D58" s="256"/>
      <c r="E58" s="256" t="str">
        <f ca="1">IFERROR(E$55/SUM(E$56:E$57),"-")</f>
        <v>-</v>
      </c>
      <c r="F58" s="256" t="str">
        <f t="shared" ref="F58:BM58" ca="1" si="61">IFERROR(F$55/SUM(F$56:F$57),"-")</f>
        <v>-</v>
      </c>
      <c r="G58" s="256" t="str">
        <f t="shared" ca="1" si="61"/>
        <v>-</v>
      </c>
      <c r="H58" s="256" t="str">
        <f t="shared" ca="1" si="61"/>
        <v>-</v>
      </c>
      <c r="I58" s="256" t="str">
        <f t="shared" ca="1" si="61"/>
        <v>-</v>
      </c>
      <c r="J58" s="256" t="str">
        <f t="shared" ca="1" si="61"/>
        <v>-</v>
      </c>
      <c r="K58" s="256" t="str">
        <f t="shared" ca="1" si="61"/>
        <v>-</v>
      </c>
      <c r="L58" s="256" t="str">
        <f t="shared" ca="1" si="61"/>
        <v>-</v>
      </c>
      <c r="M58" s="256" t="str">
        <f t="shared" ca="1" si="61"/>
        <v>-</v>
      </c>
      <c r="N58" s="256" t="str">
        <f t="shared" ca="1" si="61"/>
        <v>-</v>
      </c>
      <c r="O58" s="256" t="str">
        <f t="shared" ca="1" si="61"/>
        <v>-</v>
      </c>
      <c r="P58" s="256" t="str">
        <f t="shared" ca="1" si="61"/>
        <v>-</v>
      </c>
      <c r="Q58" s="256" t="str">
        <f t="shared" ca="1" si="61"/>
        <v>-</v>
      </c>
      <c r="R58" s="256" t="str">
        <f t="shared" ca="1" si="61"/>
        <v>-</v>
      </c>
      <c r="S58" s="256" t="str">
        <f t="shared" ca="1" si="61"/>
        <v>-</v>
      </c>
      <c r="T58" s="256" t="str">
        <f t="shared" ca="1" si="61"/>
        <v>-</v>
      </c>
      <c r="U58" s="256" t="str">
        <f t="shared" si="61"/>
        <v>-</v>
      </c>
      <c r="V58" s="256" t="str">
        <f t="shared" si="61"/>
        <v>-</v>
      </c>
      <c r="W58" s="256" t="str">
        <f t="shared" si="61"/>
        <v>-</v>
      </c>
      <c r="X58" s="256" t="str">
        <f t="shared" si="61"/>
        <v>-</v>
      </c>
      <c r="Y58" s="256" t="str">
        <f t="shared" si="61"/>
        <v>-</v>
      </c>
      <c r="Z58" s="256" t="str">
        <f t="shared" si="61"/>
        <v>-</v>
      </c>
      <c r="AA58" s="256" t="str">
        <f t="shared" si="61"/>
        <v>-</v>
      </c>
      <c r="AB58" s="256" t="str">
        <f t="shared" si="61"/>
        <v>-</v>
      </c>
      <c r="AC58" s="256" t="str">
        <f t="shared" si="61"/>
        <v>-</v>
      </c>
      <c r="AD58" s="256" t="str">
        <f t="shared" si="61"/>
        <v>-</v>
      </c>
      <c r="AE58" s="256" t="str">
        <f t="shared" si="61"/>
        <v>-</v>
      </c>
      <c r="AF58" s="256" t="str">
        <f t="shared" si="61"/>
        <v>-</v>
      </c>
      <c r="AG58" s="256" t="str">
        <f t="shared" si="61"/>
        <v>-</v>
      </c>
      <c r="AH58" s="256" t="str">
        <f t="shared" si="61"/>
        <v>-</v>
      </c>
      <c r="AI58" s="256" t="str">
        <f t="shared" si="61"/>
        <v>-</v>
      </c>
      <c r="AJ58" s="256" t="str">
        <f t="shared" si="61"/>
        <v>-</v>
      </c>
      <c r="AK58" s="256" t="str">
        <f t="shared" si="61"/>
        <v>-</v>
      </c>
      <c r="AL58" s="256" t="str">
        <f t="shared" si="61"/>
        <v>-</v>
      </c>
      <c r="AM58" s="256" t="str">
        <f t="shared" si="61"/>
        <v>-</v>
      </c>
      <c r="AN58" s="256" t="str">
        <f t="shared" si="61"/>
        <v>-</v>
      </c>
      <c r="AO58" s="256" t="str">
        <f t="shared" si="61"/>
        <v>-</v>
      </c>
      <c r="AP58" s="256" t="str">
        <f t="shared" si="61"/>
        <v>-</v>
      </c>
      <c r="AQ58" s="256" t="str">
        <f t="shared" si="61"/>
        <v>-</v>
      </c>
      <c r="AR58" s="256" t="str">
        <f t="shared" si="61"/>
        <v>-</v>
      </c>
      <c r="AS58" s="256" t="str">
        <f t="shared" si="61"/>
        <v>-</v>
      </c>
      <c r="AT58" s="256" t="str">
        <f t="shared" si="61"/>
        <v>-</v>
      </c>
      <c r="AU58" s="256" t="str">
        <f t="shared" si="61"/>
        <v>-</v>
      </c>
      <c r="AV58" s="256" t="str">
        <f t="shared" si="61"/>
        <v>-</v>
      </c>
      <c r="AW58" s="256" t="str">
        <f t="shared" si="61"/>
        <v>-</v>
      </c>
      <c r="AX58" s="256" t="str">
        <f t="shared" si="61"/>
        <v>-</v>
      </c>
      <c r="AY58" s="256" t="str">
        <f t="shared" si="61"/>
        <v>-</v>
      </c>
      <c r="AZ58" s="256" t="str">
        <f t="shared" si="61"/>
        <v>-</v>
      </c>
      <c r="BA58" s="256" t="str">
        <f t="shared" si="61"/>
        <v>-</v>
      </c>
      <c r="BB58" s="256" t="str">
        <f t="shared" si="61"/>
        <v>-</v>
      </c>
      <c r="BC58" s="256" t="str">
        <f t="shared" si="61"/>
        <v>-</v>
      </c>
      <c r="BD58" s="256" t="str">
        <f t="shared" si="61"/>
        <v>-</v>
      </c>
      <c r="BE58" s="256" t="str">
        <f t="shared" si="61"/>
        <v>-</v>
      </c>
      <c r="BF58" s="256" t="str">
        <f t="shared" si="61"/>
        <v>-</v>
      </c>
      <c r="BG58" s="256" t="str">
        <f t="shared" si="61"/>
        <v>-</v>
      </c>
      <c r="BH58" s="256" t="str">
        <f t="shared" si="61"/>
        <v>-</v>
      </c>
      <c r="BI58" s="256" t="str">
        <f t="shared" si="61"/>
        <v>-</v>
      </c>
      <c r="BJ58" s="256" t="str">
        <f t="shared" si="61"/>
        <v>-</v>
      </c>
      <c r="BK58" s="256" t="str">
        <f t="shared" si="61"/>
        <v>-</v>
      </c>
      <c r="BL58" s="256" t="str">
        <f t="shared" si="61"/>
        <v>-</v>
      </c>
      <c r="BM58" s="256" t="str">
        <f t="shared" si="61"/>
        <v>-</v>
      </c>
    </row>
    <row r="59" spans="2:65" ht="15" customHeight="1">
      <c r="B59" s="125" t="s">
        <v>439</v>
      </c>
      <c r="C59" s="115" t="s">
        <v>146</v>
      </c>
      <c r="D59" s="126"/>
      <c r="E59" s="127" t="str">
        <f ca="1">IFERROR(SUM($E$55:E$55,'Квартальная отчетность'!$E$113)/SUM($E$56:E$56,$E$57:E$57),"-")</f>
        <v>-</v>
      </c>
      <c r="F59" s="127" t="str">
        <f ca="1">IFERROR(SUM($E$55:F$55,'Квартальная отчетность'!$E$113)/SUM($E$56:F$56,$E$57:F$57),"-")</f>
        <v>-</v>
      </c>
      <c r="G59" s="127" t="str">
        <f ca="1">IFERROR(SUM($E$55:G$55,'Квартальная отчетность'!$E$113)/SUM($E$56:G$56,$E$57:G$57),"-")</f>
        <v>-</v>
      </c>
      <c r="H59" s="127" t="str">
        <f ca="1">IFERROR(SUM($E$55:H$55,'Квартальная отчетность'!$E$113)/SUM($E$56:H$56,$E$57:H$57),"-")</f>
        <v>-</v>
      </c>
      <c r="I59" s="127" t="str">
        <f ca="1">IFERROR(SUM($E$55:I$55,'Квартальная отчетность'!$E$113)/SUM($E$56:I$56,$E$57:I$57),"-")</f>
        <v>-</v>
      </c>
      <c r="J59" s="127" t="str">
        <f ca="1">IFERROR(SUM($E$55:J$55,'Квартальная отчетность'!$E$113)/SUM($E$56:J$56,$E$57:J$57),"-")</f>
        <v>-</v>
      </c>
      <c r="K59" s="127" t="str">
        <f ca="1">IFERROR(SUM($E$55:K$55,'Квартальная отчетность'!$E$113)/SUM($E$56:K$56,$E$57:K$57),"-")</f>
        <v>-</v>
      </c>
      <c r="L59" s="127" t="str">
        <f ca="1">IFERROR(SUM($E$55:L$55,'Квартальная отчетность'!$E$113)/SUM($E$56:L$56,$E$57:L$57),"-")</f>
        <v>-</v>
      </c>
      <c r="M59" s="127" t="str">
        <f ca="1">IFERROR(SUM($E$55:M$55,'Квартальная отчетность'!$E$113)/SUM($E$56:M$56,$E$57:M$57),"-")</f>
        <v>-</v>
      </c>
      <c r="N59" s="127" t="str">
        <f ca="1">IFERROR(SUM($E$55:N$55,'Квартальная отчетность'!$E$113)/SUM($E$56:N$56,$E$57:N$57),"-")</f>
        <v>-</v>
      </c>
      <c r="O59" s="127" t="str">
        <f ca="1">IFERROR(SUM($E$55:O$55,'Квартальная отчетность'!$E$113)/SUM($E$56:O$56,$E$57:O$57),"-")</f>
        <v>-</v>
      </c>
      <c r="P59" s="127" t="str">
        <f ca="1">IFERROR(SUM($E$55:P$55,'Квартальная отчетность'!$E$113)/SUM($E$56:P$56,$E$57:P$57),"-")</f>
        <v>-</v>
      </c>
      <c r="Q59" s="127" t="str">
        <f ca="1">IFERROR(SUM($E$55:Q$55,'Квартальная отчетность'!$E$113)/SUM($E$56:Q$56,$E$57:Q$57),"-")</f>
        <v>-</v>
      </c>
      <c r="R59" s="127" t="str">
        <f ca="1">IFERROR(SUM($E$55:R$55,'Квартальная отчетность'!$E$113)/SUM($E$56:R$56,$E$57:R$57),"-")</f>
        <v>-</v>
      </c>
      <c r="S59" s="127" t="str">
        <f ca="1">IFERROR(SUM($E$55:S$55,'Квартальная отчетность'!$E$113)/SUM($E$56:S$56,$E$57:S$57),"-")</f>
        <v>-</v>
      </c>
      <c r="T59" s="127" t="str">
        <f ca="1">IFERROR(SUM($E$55:T$55,'Квартальная отчетность'!$E$113)/SUM($E$56:T$56,$E$57:T$57),"-")</f>
        <v>-</v>
      </c>
      <c r="U59" s="127" t="str">
        <f ca="1">IFERROR(SUM($E$55:U$55,'Квартальная отчетность'!$E$113)/SUM($E$56:U$56,$E$57:U$57),"-")</f>
        <v>-</v>
      </c>
      <c r="V59" s="127" t="str">
        <f ca="1">IFERROR(SUM($E$55:V$55,'Квартальная отчетность'!$E$113)/SUM($E$56:V$56,$E$57:V$57),"-")</f>
        <v>-</v>
      </c>
      <c r="W59" s="127" t="str">
        <f ca="1">IFERROR(SUM($E$55:W$55,'Квартальная отчетность'!$E$113)/SUM($E$56:W$56,$E$57:W$57),"-")</f>
        <v>-</v>
      </c>
      <c r="X59" s="127" t="str">
        <f ca="1">IFERROR(SUM($E$55:X$55,'Квартальная отчетность'!$E$113)/SUM($E$56:X$56,$E$57:X$57),"-")</f>
        <v>-</v>
      </c>
      <c r="Y59" s="127" t="str">
        <f ca="1">IFERROR(SUM($E$55:Y$55,'Квартальная отчетность'!$E$113)/SUM($E$56:Y$56,$E$57:Y$57),"-")</f>
        <v>-</v>
      </c>
      <c r="Z59" s="127" t="str">
        <f ca="1">IFERROR(SUM($E$55:Z$55,'Квартальная отчетность'!$E$113)/SUM($E$56:Z$56,$E$57:Z$57),"-")</f>
        <v>-</v>
      </c>
      <c r="AA59" s="127" t="str">
        <f ca="1">IFERROR(SUM($E$55:AA$55,'Квартальная отчетность'!$E$113)/SUM($E$56:AA$56,$E$57:AA$57),"-")</f>
        <v>-</v>
      </c>
      <c r="AB59" s="127" t="str">
        <f ca="1">IFERROR(SUM($E$55:AB$55,'Квартальная отчетность'!$E$113)/SUM($E$56:AB$56,$E$57:AB$57),"-")</f>
        <v>-</v>
      </c>
      <c r="AC59" s="127" t="str">
        <f ca="1">IFERROR(SUM($E$55:AC$55,'Квартальная отчетность'!$E$113)/SUM($E$56:AC$56,$E$57:AC$57),"-")</f>
        <v>-</v>
      </c>
      <c r="AD59" s="127" t="str">
        <f ca="1">IFERROR(SUM($E$55:AD$55,'Квартальная отчетность'!$E$113)/SUM($E$56:AD$56,$E$57:AD$57),"-")</f>
        <v>-</v>
      </c>
      <c r="AE59" s="127" t="str">
        <f ca="1">IFERROR(SUM($E$55:AE$55,'Квартальная отчетность'!$E$113)/SUM($E$56:AE$56,$E$57:AE$57),"-")</f>
        <v>-</v>
      </c>
      <c r="AF59" s="127" t="str">
        <f ca="1">IFERROR(SUM($E$55:AF$55,'Квартальная отчетность'!$E$113)/SUM($E$56:AF$56,$E$57:AF$57),"-")</f>
        <v>-</v>
      </c>
      <c r="AG59" s="127" t="str">
        <f ca="1">IFERROR(SUM($E$55:AG$55,'Квартальная отчетность'!$E$113)/SUM($E$56:AG$56,$E$57:AG$57),"-")</f>
        <v>-</v>
      </c>
      <c r="AH59" s="127" t="str">
        <f ca="1">IFERROR(SUM($E$55:AH$55,'Квартальная отчетность'!$E$113)/SUM($E$56:AH$56,$E$57:AH$57),"-")</f>
        <v>-</v>
      </c>
      <c r="AI59" s="127" t="str">
        <f ca="1">IFERROR(SUM($E$55:AI$55,'Квартальная отчетность'!$E$113)/SUM($E$56:AI$56,$E$57:AI$57),"-")</f>
        <v>-</v>
      </c>
      <c r="AJ59" s="127" t="str">
        <f ca="1">IFERROR(SUM($E$55:AJ$55,'Квартальная отчетность'!$E$113)/SUM($E$56:AJ$56,$E$57:AJ$57),"-")</f>
        <v>-</v>
      </c>
      <c r="AK59" s="127" t="str">
        <f ca="1">IFERROR(SUM($E$55:AK$55,'Квартальная отчетность'!$E$113)/SUM($E$56:AK$56,$E$57:AK$57),"-")</f>
        <v>-</v>
      </c>
      <c r="AL59" s="127" t="str">
        <f ca="1">IFERROR(SUM($E$55:AL$55,'Квартальная отчетность'!$E$113)/SUM($E$56:AL$56,$E$57:AL$57),"-")</f>
        <v>-</v>
      </c>
      <c r="AM59" s="127" t="str">
        <f ca="1">IFERROR(SUM($E$55:AM$55,'Квартальная отчетность'!$E$113)/SUM($E$56:AM$56,$E$57:AM$57),"-")</f>
        <v>-</v>
      </c>
      <c r="AN59" s="127" t="str">
        <f ca="1">IFERROR(SUM($E$55:AN$55,'Квартальная отчетность'!$E$113)/SUM($E$56:AN$56,$E$57:AN$57),"-")</f>
        <v>-</v>
      </c>
      <c r="AO59" s="127" t="str">
        <f ca="1">IFERROR(SUM($E$55:AO$55,'Квартальная отчетность'!$E$113)/SUM($E$56:AO$56,$E$57:AO$57),"-")</f>
        <v>-</v>
      </c>
      <c r="AP59" s="127" t="str">
        <f ca="1">IFERROR(SUM($E$55:AP$55,'Квартальная отчетность'!$E$113)/SUM($E$56:AP$56,$E$57:AP$57),"-")</f>
        <v>-</v>
      </c>
      <c r="AQ59" s="127" t="str">
        <f ca="1">IFERROR(SUM($E$55:AQ$55,'Квартальная отчетность'!$E$113)/SUM($E$56:AQ$56,$E$57:AQ$57),"-")</f>
        <v>-</v>
      </c>
      <c r="AR59" s="127" t="str">
        <f ca="1">IFERROR(SUM($E$55:AR$55,'Квартальная отчетность'!$E$113)/SUM($E$56:AR$56,$E$57:AR$57),"-")</f>
        <v>-</v>
      </c>
      <c r="AS59" s="127" t="str">
        <f ca="1">IFERROR(SUM($E$55:AS$55,'Квартальная отчетность'!$E$113)/SUM($E$56:AS$56,$E$57:AS$57),"-")</f>
        <v>-</v>
      </c>
      <c r="AT59" s="127" t="str">
        <f ca="1">IFERROR(SUM($E$55:AT$55,'Квартальная отчетность'!$E$113)/SUM($E$56:AT$56,$E$57:AT$57),"-")</f>
        <v>-</v>
      </c>
      <c r="AU59" s="127" t="str">
        <f ca="1">IFERROR(SUM($E$55:AU$55,'Квартальная отчетность'!$E$113)/SUM($E$56:AU$56,$E$57:AU$57),"-")</f>
        <v>-</v>
      </c>
      <c r="AV59" s="127" t="str">
        <f ca="1">IFERROR(SUM($E$55:AV$55,'Квартальная отчетность'!$E$113)/SUM($E$56:AV$56,$E$57:AV$57),"-")</f>
        <v>-</v>
      </c>
      <c r="AW59" s="127" t="str">
        <f ca="1">IFERROR(SUM($E$55:AW$55,'Квартальная отчетность'!$E$113)/SUM($E$56:AW$56,$E$57:AW$57),"-")</f>
        <v>-</v>
      </c>
      <c r="AX59" s="127" t="str">
        <f ca="1">IFERROR(SUM($E$55:AX$55,'Квартальная отчетность'!$E$113)/SUM($E$56:AX$56,$E$57:AX$57),"-")</f>
        <v>-</v>
      </c>
      <c r="AY59" s="127" t="str">
        <f ca="1">IFERROR(SUM($E$55:AY$55,'Квартальная отчетность'!$E$113)/SUM($E$56:AY$56,$E$57:AY$57),"-")</f>
        <v>-</v>
      </c>
      <c r="AZ59" s="127" t="str">
        <f ca="1">IFERROR(SUM($E$55:AZ$55,'Квартальная отчетность'!$E$113)/SUM($E$56:AZ$56,$E$57:AZ$57),"-")</f>
        <v>-</v>
      </c>
      <c r="BA59" s="127" t="str">
        <f ca="1">IFERROR(SUM($E$55:BA$55,'Квартальная отчетность'!$E$113)/SUM($E$56:BA$56,$E$57:BA$57),"-")</f>
        <v>-</v>
      </c>
      <c r="BB59" s="127" t="str">
        <f ca="1">IFERROR(SUM($E$55:BB$55,'Квартальная отчетность'!$E$113)/SUM($E$56:BB$56,$E$57:BB$57),"-")</f>
        <v>-</v>
      </c>
      <c r="BC59" s="127" t="str">
        <f ca="1">IFERROR(SUM($E$55:BC$55,'Квартальная отчетность'!$E$113)/SUM($E$56:BC$56,$E$57:BC$57),"-")</f>
        <v>-</v>
      </c>
      <c r="BD59" s="127" t="str">
        <f ca="1">IFERROR(SUM($E$55:BD$55,'Квартальная отчетность'!$E$113)/SUM($E$56:BD$56,$E$57:BD$57),"-")</f>
        <v>-</v>
      </c>
      <c r="BE59" s="127" t="str">
        <f ca="1">IFERROR(SUM($E$55:BE$55,'Квартальная отчетность'!$E$113)/SUM($E$56:BE$56,$E$57:BE$57),"-")</f>
        <v>-</v>
      </c>
      <c r="BF59" s="127" t="str">
        <f ca="1">IFERROR(SUM($E$55:BF$55,'Квартальная отчетность'!$E$113)/SUM($E$56:BF$56,$E$57:BF$57),"-")</f>
        <v>-</v>
      </c>
      <c r="BG59" s="127" t="str">
        <f ca="1">IFERROR(SUM($E$55:BG$55,'Квартальная отчетность'!$E$113)/SUM($E$56:BG$56,$E$57:BG$57),"-")</f>
        <v>-</v>
      </c>
      <c r="BH59" s="127" t="str">
        <f ca="1">IFERROR(SUM($E$55:BH$55,'Квартальная отчетность'!$E$113)/SUM($E$56:BH$56,$E$57:BH$57),"-")</f>
        <v>-</v>
      </c>
      <c r="BI59" s="127" t="str">
        <f ca="1">IFERROR(SUM($E$55:BI$55,'Квартальная отчетность'!$E$113)/SUM($E$56:BI$56,$E$57:BI$57),"-")</f>
        <v>-</v>
      </c>
      <c r="BJ59" s="127" t="str">
        <f ca="1">IFERROR(SUM($E$55:BJ$55,'Квартальная отчетность'!$E$113)/SUM($E$56:BJ$56,$E$57:BJ$57),"-")</f>
        <v>-</v>
      </c>
      <c r="BK59" s="127" t="str">
        <f ca="1">IFERROR(SUM($E$55:BK$55,'Квартальная отчетность'!$E$113)/SUM($E$56:BK$56,$E$57:BK$57),"-")</f>
        <v>-</v>
      </c>
      <c r="BL59" s="127" t="str">
        <f ca="1">IFERROR(SUM($E$55:BL$55,'Квартальная отчетность'!$E$113)/SUM($E$56:BL$56,$E$57:BL$57),"-")</f>
        <v>-</v>
      </c>
      <c r="BM59" s="127" t="str">
        <f ca="1">IFERROR(SUM($E$55:BM$55,'Квартальная отчетность'!$E$113)/SUM($E$56:BM$56,$E$57:BM$57),"-")</f>
        <v>-</v>
      </c>
    </row>
    <row r="60" spans="2:65" ht="15" customHeight="1">
      <c r="B60" s="37"/>
      <c r="C60" s="37"/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37"/>
      <c r="U60" s="37"/>
      <c r="V60" s="37"/>
      <c r="W60" s="37"/>
      <c r="X60" s="37"/>
      <c r="Y60" s="37"/>
      <c r="Z60" s="37"/>
      <c r="AA60" s="37"/>
      <c r="AB60" s="37"/>
      <c r="AC60" s="37"/>
      <c r="AD60" s="37"/>
      <c r="AE60" s="37"/>
      <c r="AF60" s="37"/>
      <c r="AG60" s="37"/>
      <c r="AH60" s="37"/>
      <c r="AI60" s="37"/>
      <c r="AJ60" s="37"/>
      <c r="AK60" s="37"/>
      <c r="AL60" s="37"/>
      <c r="AM60" s="37"/>
      <c r="AN60" s="37"/>
      <c r="AO60" s="37"/>
      <c r="AP60" s="37"/>
      <c r="AQ60" s="37"/>
      <c r="AR60" s="37"/>
      <c r="AS60" s="37"/>
      <c r="AT60" s="37"/>
      <c r="AU60" s="37"/>
      <c r="AV60" s="37"/>
      <c r="AW60" s="37"/>
      <c r="AX60" s="37"/>
      <c r="AY60" s="37"/>
      <c r="AZ60" s="37"/>
      <c r="BA60" s="37"/>
      <c r="BB60" s="37"/>
      <c r="BC60" s="37"/>
      <c r="BD60" s="37"/>
      <c r="BE60" s="37"/>
      <c r="BF60" s="37"/>
      <c r="BG60" s="37"/>
      <c r="BH60" s="37"/>
      <c r="BI60" s="37"/>
      <c r="BJ60" s="37"/>
      <c r="BK60" s="37"/>
      <c r="BL60" s="37"/>
      <c r="BM60" s="37"/>
    </row>
    <row r="61" spans="2:65" ht="21">
      <c r="B61" s="40" t="s">
        <v>561</v>
      </c>
      <c r="C61" s="37"/>
      <c r="D61" s="37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7"/>
      <c r="T61" s="37"/>
      <c r="U61" s="37"/>
      <c r="V61" s="37"/>
      <c r="W61" s="37"/>
      <c r="X61" s="37"/>
      <c r="Y61" s="37"/>
      <c r="Z61" s="37"/>
      <c r="AA61" s="37"/>
      <c r="AB61" s="37"/>
      <c r="AC61" s="37"/>
      <c r="AD61" s="37"/>
      <c r="AE61" s="37"/>
      <c r="AF61" s="37"/>
      <c r="AG61" s="37"/>
      <c r="AH61" s="37"/>
      <c r="AI61" s="37"/>
      <c r="AJ61" s="37"/>
      <c r="AK61" s="37"/>
      <c r="AL61" s="37"/>
      <c r="AM61" s="37"/>
      <c r="AN61" s="37"/>
      <c r="AO61" s="37"/>
      <c r="AP61" s="37"/>
      <c r="AQ61" s="37"/>
      <c r="AR61" s="37"/>
      <c r="AS61" s="37"/>
      <c r="AT61" s="37"/>
      <c r="AU61" s="37"/>
      <c r="AV61" s="37"/>
      <c r="AW61" s="37"/>
      <c r="AX61" s="37"/>
      <c r="AY61" s="37"/>
      <c r="AZ61" s="37"/>
      <c r="BA61" s="37"/>
      <c r="BB61" s="37"/>
      <c r="BC61" s="37"/>
      <c r="BD61" s="37"/>
      <c r="BE61" s="37"/>
      <c r="BF61" s="37"/>
      <c r="BG61" s="37"/>
      <c r="BH61" s="37"/>
      <c r="BI61" s="37"/>
      <c r="BJ61" s="37"/>
      <c r="BK61" s="37"/>
      <c r="BL61" s="37"/>
      <c r="BM61" s="37"/>
    </row>
    <row r="62" spans="2:65" ht="15" customHeight="1">
      <c r="B62" s="118" t="s">
        <v>132</v>
      </c>
      <c r="C62" s="37"/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37"/>
      <c r="U62" s="37"/>
      <c r="V62" s="37"/>
      <c r="W62" s="37"/>
      <c r="X62" s="37"/>
      <c r="Y62" s="37"/>
      <c r="Z62" s="37"/>
      <c r="AA62" s="37"/>
      <c r="AB62" s="37"/>
      <c r="AC62" s="37"/>
      <c r="AD62" s="37"/>
      <c r="AE62" s="37"/>
      <c r="AF62" s="37"/>
      <c r="AG62" s="37"/>
      <c r="AH62" s="37"/>
      <c r="AI62" s="37"/>
      <c r="AJ62" s="37"/>
      <c r="AK62" s="37"/>
      <c r="AL62" s="37"/>
      <c r="AM62" s="37"/>
      <c r="AN62" s="37"/>
      <c r="AO62" s="37"/>
      <c r="AP62" s="37"/>
      <c r="AQ62" s="37"/>
      <c r="AR62" s="37"/>
      <c r="AS62" s="37"/>
      <c r="AT62" s="37"/>
      <c r="AU62" s="37"/>
      <c r="AV62" s="37"/>
      <c r="AW62" s="37"/>
      <c r="AX62" s="37"/>
      <c r="AY62" s="37"/>
      <c r="AZ62" s="37"/>
      <c r="BA62" s="37"/>
      <c r="BB62" s="37"/>
      <c r="BC62" s="37"/>
      <c r="BD62" s="37"/>
      <c r="BE62" s="37"/>
      <c r="BF62" s="37"/>
      <c r="BG62" s="37"/>
      <c r="BH62" s="37"/>
      <c r="BI62" s="37"/>
      <c r="BJ62" s="37"/>
      <c r="BK62" s="37"/>
      <c r="BL62" s="37"/>
      <c r="BM62" s="37"/>
    </row>
    <row r="63" spans="2:65" ht="15" customHeight="1">
      <c r="B63" s="259" t="s">
        <v>132</v>
      </c>
      <c r="C63" s="260" t="str">
        <f>Единица_измерения</f>
        <v>тыс. руб.</v>
      </c>
      <c r="D63" s="248"/>
      <c r="E63" s="248">
        <f ca="1">SUM('Годовая отчетность'!E25,-'Годовая отчетность'!E21,-'Годовая отчетность'!E22)+IF(E$6=1,IFERROR(OFFSET(Предпосылки!F$291,,,,1-LEFT('Квартальная отчетность'!$E$11,1)),0))</f>
        <v>0</v>
      </c>
      <c r="F63" s="248">
        <f ca="1">SUM('Годовая отчетность'!F25,-'Годовая отчетность'!F21,-'Годовая отчетность'!F22)+IF(F$6=1,IFERROR(OFFSET(Предпосылки!G$291,,,,1-LEFT('Квартальная отчетность'!$E$11,1)),0))</f>
        <v>0</v>
      </c>
      <c r="G63" s="248">
        <f ca="1">SUM('Годовая отчетность'!G25,-'Годовая отчетность'!G21,-'Годовая отчетность'!G22)+IF(G$6=1,IFERROR(OFFSET(Предпосылки!H$291,,,,1-LEFT('Квартальная отчетность'!$E$11,1)),0))</f>
        <v>0</v>
      </c>
      <c r="H63" s="248">
        <f ca="1">SUM('Годовая отчетность'!H25,-'Годовая отчетность'!H21,-'Годовая отчетность'!H22)+IF(H$6=1,IFERROR(OFFSET(Предпосылки!I$291,,,,1-LEFT('Квартальная отчетность'!$E$11,1)),0))</f>
        <v>0</v>
      </c>
      <c r="I63" s="248">
        <f ca="1">SUM('Годовая отчетность'!I25,-'Годовая отчетность'!I21,-'Годовая отчетность'!I22)+IF(I$6=1,IFERROR(OFFSET(Предпосылки!J$291,,,,1-LEFT('Квартальная отчетность'!$E$11,1)),0))</f>
        <v>0</v>
      </c>
      <c r="J63" s="248">
        <f ca="1">SUM('Годовая отчетность'!J25,-'Годовая отчетность'!J21,-'Годовая отчетность'!J22)+IF(J$6=1,IFERROR(OFFSET(Предпосылки!K$291,,,,1-LEFT('Квартальная отчетность'!$E$11,1)),0))</f>
        <v>0</v>
      </c>
      <c r="K63" s="248">
        <f ca="1">SUM('Годовая отчетность'!K25,-'Годовая отчетность'!K21,-'Годовая отчетность'!K22)+IF(K$6=1,IFERROR(OFFSET(Предпосылки!L$291,,,,1-LEFT('Квартальная отчетность'!$E$11,1)),0))</f>
        <v>0</v>
      </c>
      <c r="L63" s="248">
        <f ca="1">SUM('Годовая отчетность'!L25,-'Годовая отчетность'!L21,-'Годовая отчетность'!L22)+IF(L$6=1,IFERROR(OFFSET(Предпосылки!M$291,,,,1-LEFT('Квартальная отчетность'!$E$11,1)),0))</f>
        <v>0</v>
      </c>
      <c r="M63" s="248">
        <f ca="1">SUM('Годовая отчетность'!M25,-'Годовая отчетность'!M21,-'Годовая отчетность'!M22)+IF(M$6=1,IFERROR(OFFSET(Предпосылки!N$291,,,,1-LEFT('Квартальная отчетность'!$E$11,1)),0))</f>
        <v>0</v>
      </c>
      <c r="N63" s="248">
        <f ca="1">SUM('Годовая отчетность'!N25,-'Годовая отчетность'!N21,-'Годовая отчетность'!N22)+IF(N$6=1,IFERROR(OFFSET(Предпосылки!O$291,,,,1-LEFT('Квартальная отчетность'!$E$11,1)),0))</f>
        <v>0</v>
      </c>
      <c r="O63" s="248">
        <f ca="1">SUM('Годовая отчетность'!O25,-'Годовая отчетность'!O21,-'Годовая отчетность'!O22)+IF(O$6=1,IFERROR(OFFSET(Предпосылки!P$291,,,,1-LEFT('Квартальная отчетность'!$E$11,1)),0))</f>
        <v>0</v>
      </c>
      <c r="P63" s="248">
        <f ca="1">SUM('Годовая отчетность'!P25,-'Годовая отчетность'!P21,-'Годовая отчетность'!P22)+IF(P$6=1,IFERROR(OFFSET(Предпосылки!Q$291,,,,1-LEFT('Квартальная отчетность'!$E$11,1)),0))</f>
        <v>0</v>
      </c>
      <c r="Q63" s="248">
        <f ca="1">SUM('Годовая отчетность'!Q25,-'Годовая отчетность'!Q21,-'Годовая отчетность'!Q22)+IF(Q$6=1,IFERROR(OFFSET(Предпосылки!R$291,,,,1-LEFT('Квартальная отчетность'!$E$11,1)),0))</f>
        <v>0</v>
      </c>
      <c r="R63" s="248">
        <f ca="1">SUM('Годовая отчетность'!R25,-'Годовая отчетность'!R21,-'Годовая отчетность'!R22)+IF(R$6=1,IFERROR(OFFSET(Предпосылки!S$291,,,,1-LEFT('Квартальная отчетность'!$E$11,1)),0))</f>
        <v>0</v>
      </c>
      <c r="S63" s="248">
        <f ca="1">SUM('Годовая отчетность'!S25,-'Годовая отчетность'!S21,-'Годовая отчетность'!S22)+IF(S$6=1,IFERROR(OFFSET(Предпосылки!T$291,,,,1-LEFT('Квартальная отчетность'!$E$11,1)),0))</f>
        <v>0</v>
      </c>
      <c r="T63" s="248">
        <f ca="1">SUM('Годовая отчетность'!T25,-'Годовая отчетность'!T21,-'Годовая отчетность'!T22)+IF(T$6=1,IFERROR(OFFSET(Предпосылки!U$291,,,,1-LEFT('Квартальная отчетность'!$E$11,1)),0))</f>
        <v>0</v>
      </c>
      <c r="U63" s="248">
        <f>SUM('Годовая отчетность'!U25,-'Годовая отчетность'!U21,-'Годовая отчетность'!U22)</f>
        <v>0</v>
      </c>
      <c r="V63" s="248">
        <f>SUM('Годовая отчетность'!V25,-'Годовая отчетность'!V21,-'Годовая отчетность'!V22)</f>
        <v>0</v>
      </c>
      <c r="W63" s="248">
        <f>SUM('Годовая отчетность'!W25,-'Годовая отчетность'!W21,-'Годовая отчетность'!W22)</f>
        <v>0</v>
      </c>
      <c r="X63" s="248">
        <f>SUM('Годовая отчетность'!X25,-'Годовая отчетность'!X21,-'Годовая отчетность'!X22)</f>
        <v>0</v>
      </c>
      <c r="Y63" s="248">
        <f>SUM('Годовая отчетность'!Y25,-'Годовая отчетность'!Y21,-'Годовая отчетность'!Y22)</f>
        <v>0</v>
      </c>
      <c r="Z63" s="248">
        <f>SUM('Годовая отчетность'!Z25,-'Годовая отчетность'!Z21,-'Годовая отчетность'!Z22)</f>
        <v>0</v>
      </c>
      <c r="AA63" s="248">
        <f>SUM('Годовая отчетность'!AA25,-'Годовая отчетность'!AA21,-'Годовая отчетность'!AA22)</f>
        <v>0</v>
      </c>
      <c r="AB63" s="248">
        <f>SUM('Годовая отчетность'!AB25,-'Годовая отчетность'!AB21,-'Годовая отчетность'!AB22)</f>
        <v>0</v>
      </c>
      <c r="AC63" s="248">
        <f>SUM('Годовая отчетность'!AC25,-'Годовая отчетность'!AC21,-'Годовая отчетность'!AC22)</f>
        <v>0</v>
      </c>
      <c r="AD63" s="248">
        <f>SUM('Годовая отчетность'!AD25,-'Годовая отчетность'!AD21,-'Годовая отчетность'!AD22)</f>
        <v>0</v>
      </c>
      <c r="AE63" s="248">
        <f>SUM('Годовая отчетность'!AE25,-'Годовая отчетность'!AE21,-'Годовая отчетность'!AE22)</f>
        <v>0</v>
      </c>
      <c r="AF63" s="248">
        <f>SUM('Годовая отчетность'!AF25,-'Годовая отчетность'!AF21,-'Годовая отчетность'!AF22)</f>
        <v>0</v>
      </c>
      <c r="AG63" s="248">
        <f>SUM('Годовая отчетность'!AG25,-'Годовая отчетность'!AG21,-'Годовая отчетность'!AG22)</f>
        <v>0</v>
      </c>
      <c r="AH63" s="248">
        <f>SUM('Годовая отчетность'!AH25,-'Годовая отчетность'!AH21,-'Годовая отчетность'!AH22)</f>
        <v>0</v>
      </c>
      <c r="AI63" s="248">
        <f>SUM('Годовая отчетность'!AI25,-'Годовая отчетность'!AI21,-'Годовая отчетность'!AI22)</f>
        <v>0</v>
      </c>
      <c r="AJ63" s="248">
        <f>SUM('Годовая отчетность'!AJ25,-'Годовая отчетность'!AJ21,-'Годовая отчетность'!AJ22)</f>
        <v>0</v>
      </c>
      <c r="AK63" s="248">
        <f>SUM('Годовая отчетность'!AK25,-'Годовая отчетность'!AK21,-'Годовая отчетность'!AK22)</f>
        <v>0</v>
      </c>
      <c r="AL63" s="248">
        <f>SUM('Годовая отчетность'!AL25,-'Годовая отчетность'!AL21,-'Годовая отчетность'!AL22)</f>
        <v>0</v>
      </c>
      <c r="AM63" s="248">
        <f>SUM('Годовая отчетность'!AM25,-'Годовая отчетность'!AM21,-'Годовая отчетность'!AM22)</f>
        <v>0</v>
      </c>
      <c r="AN63" s="248">
        <f>SUM('Годовая отчетность'!AN25,-'Годовая отчетность'!AN21,-'Годовая отчетность'!AN22)</f>
        <v>0</v>
      </c>
      <c r="AO63" s="248">
        <f>SUM('Годовая отчетность'!AO25,-'Годовая отчетность'!AO21,-'Годовая отчетность'!AO22)</f>
        <v>0</v>
      </c>
      <c r="AP63" s="248">
        <f>SUM('Годовая отчетность'!AP25,-'Годовая отчетность'!AP21,-'Годовая отчетность'!AP22)</f>
        <v>0</v>
      </c>
      <c r="AQ63" s="248">
        <f>SUM('Годовая отчетность'!AQ25,-'Годовая отчетность'!AQ21,-'Годовая отчетность'!AQ22)</f>
        <v>0</v>
      </c>
      <c r="AR63" s="248">
        <f>SUM('Годовая отчетность'!AR25,-'Годовая отчетность'!AR21,-'Годовая отчетность'!AR22)</f>
        <v>0</v>
      </c>
      <c r="AS63" s="248">
        <f>SUM('Годовая отчетность'!AS25,-'Годовая отчетность'!AS21,-'Годовая отчетность'!AS22)</f>
        <v>0</v>
      </c>
      <c r="AT63" s="248">
        <f>SUM('Годовая отчетность'!AT25,-'Годовая отчетность'!AT21,-'Годовая отчетность'!AT22)</f>
        <v>0</v>
      </c>
      <c r="AU63" s="248">
        <f>SUM('Годовая отчетность'!AU25,-'Годовая отчетность'!AU21,-'Годовая отчетность'!AU22)</f>
        <v>0</v>
      </c>
      <c r="AV63" s="248">
        <f>SUM('Годовая отчетность'!AV25,-'Годовая отчетность'!AV21,-'Годовая отчетность'!AV22)</f>
        <v>0</v>
      </c>
      <c r="AW63" s="248">
        <f>SUM('Годовая отчетность'!AW25,-'Годовая отчетность'!AW21,-'Годовая отчетность'!AW22)</f>
        <v>0</v>
      </c>
      <c r="AX63" s="248">
        <f>SUM('Годовая отчетность'!AX25,-'Годовая отчетность'!AX21,-'Годовая отчетность'!AX22)</f>
        <v>0</v>
      </c>
      <c r="AY63" s="248">
        <f>SUM('Годовая отчетность'!AY25,-'Годовая отчетность'!AY21,-'Годовая отчетность'!AY22)</f>
        <v>0</v>
      </c>
      <c r="AZ63" s="248">
        <f>SUM('Годовая отчетность'!AZ25,-'Годовая отчетность'!AZ21,-'Годовая отчетность'!AZ22)</f>
        <v>0</v>
      </c>
      <c r="BA63" s="248">
        <f>SUM('Годовая отчетность'!BA25,-'Годовая отчетность'!BA21,-'Годовая отчетность'!BA22)</f>
        <v>0</v>
      </c>
      <c r="BB63" s="248">
        <f>SUM('Годовая отчетность'!BB25,-'Годовая отчетность'!BB21,-'Годовая отчетность'!BB22)</f>
        <v>0</v>
      </c>
      <c r="BC63" s="248">
        <f>SUM('Годовая отчетность'!BC25,-'Годовая отчетность'!BC21,-'Годовая отчетность'!BC22)</f>
        <v>0</v>
      </c>
      <c r="BD63" s="248">
        <f>SUM('Годовая отчетность'!BD25,-'Годовая отчетность'!BD21,-'Годовая отчетность'!BD22)</f>
        <v>0</v>
      </c>
      <c r="BE63" s="248">
        <f>SUM('Годовая отчетность'!BE25,-'Годовая отчетность'!BE21,-'Годовая отчетность'!BE22)</f>
        <v>0</v>
      </c>
      <c r="BF63" s="248">
        <f>SUM('Годовая отчетность'!BF25,-'Годовая отчетность'!BF21,-'Годовая отчетность'!BF22)</f>
        <v>0</v>
      </c>
      <c r="BG63" s="248">
        <f>SUM('Годовая отчетность'!BG25,-'Годовая отчетность'!BG21,-'Годовая отчетность'!BG22)</f>
        <v>0</v>
      </c>
      <c r="BH63" s="248">
        <f>SUM('Годовая отчетность'!BH25,-'Годовая отчетность'!BH21,-'Годовая отчетность'!BH22)</f>
        <v>0</v>
      </c>
      <c r="BI63" s="248">
        <f>SUM('Годовая отчетность'!BI25,-'Годовая отчетность'!BI21,-'Годовая отчетность'!BI22)</f>
        <v>0</v>
      </c>
      <c r="BJ63" s="248">
        <f>SUM('Годовая отчетность'!BJ25,-'Годовая отчетность'!BJ21,-'Годовая отчетность'!BJ22)</f>
        <v>0</v>
      </c>
      <c r="BK63" s="248">
        <f>SUM('Годовая отчетность'!BK25,-'Годовая отчетность'!BK21,-'Годовая отчетность'!BK22)</f>
        <v>0</v>
      </c>
      <c r="BL63" s="248">
        <f>SUM('Годовая отчетность'!BL25,-'Годовая отчетность'!BL21,-'Годовая отчетность'!BL22)</f>
        <v>0</v>
      </c>
      <c r="BM63" s="248">
        <f>SUM('Годовая отчетность'!BM25,-'Годовая отчетность'!BM21,-'Годовая отчетность'!BM22)</f>
        <v>0</v>
      </c>
    </row>
    <row r="64" spans="2:65" ht="15" customHeight="1">
      <c r="B64" s="37"/>
      <c r="C64" s="37"/>
      <c r="D64" s="37"/>
      <c r="E64" s="124"/>
      <c r="F64" s="124"/>
      <c r="G64" s="124"/>
      <c r="H64" s="124"/>
      <c r="I64" s="124"/>
      <c r="J64" s="124"/>
      <c r="K64" s="124"/>
      <c r="L64" s="124"/>
      <c r="M64" s="124"/>
      <c r="N64" s="124"/>
      <c r="O64" s="124"/>
      <c r="P64" s="124"/>
      <c r="Q64" s="124"/>
      <c r="R64" s="124"/>
      <c r="S64" s="124"/>
      <c r="T64" s="124"/>
      <c r="U64" s="124"/>
      <c r="V64" s="124"/>
      <c r="W64" s="124"/>
      <c r="X64" s="124"/>
      <c r="Y64" s="124"/>
      <c r="Z64" s="124"/>
      <c r="AA64" s="124"/>
      <c r="AB64" s="124"/>
      <c r="AC64" s="124"/>
      <c r="AD64" s="124"/>
      <c r="AE64" s="124"/>
      <c r="AF64" s="124"/>
      <c r="AG64" s="124"/>
      <c r="AH64" s="124"/>
      <c r="AI64" s="124"/>
      <c r="AJ64" s="124"/>
      <c r="AK64" s="124"/>
      <c r="AL64" s="124"/>
      <c r="AM64" s="124"/>
      <c r="AN64" s="124"/>
      <c r="AO64" s="124"/>
      <c r="AP64" s="124"/>
      <c r="AQ64" s="124"/>
      <c r="AR64" s="124"/>
      <c r="AS64" s="124"/>
      <c r="AT64" s="124"/>
      <c r="AU64" s="124"/>
      <c r="AV64" s="124"/>
      <c r="AW64" s="124"/>
      <c r="AX64" s="124"/>
      <c r="AY64" s="124"/>
      <c r="AZ64" s="124"/>
      <c r="BA64" s="124"/>
      <c r="BB64" s="124"/>
      <c r="BC64" s="124"/>
      <c r="BD64" s="124"/>
      <c r="BE64" s="124"/>
      <c r="BF64" s="124"/>
      <c r="BG64" s="124"/>
      <c r="BH64" s="124"/>
      <c r="BI64" s="124"/>
      <c r="BJ64" s="124"/>
      <c r="BK64" s="124"/>
      <c r="BL64" s="124"/>
      <c r="BM64" s="124"/>
    </row>
    <row r="65" spans="2:71" ht="15" customHeight="1">
      <c r="B65" s="118" t="s">
        <v>131</v>
      </c>
      <c r="C65" s="37"/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37"/>
      <c r="U65" s="37"/>
      <c r="V65" s="37"/>
      <c r="W65" s="37"/>
      <c r="X65" s="37"/>
      <c r="Y65" s="37"/>
      <c r="Z65" s="37"/>
      <c r="AA65" s="37"/>
      <c r="AB65" s="37"/>
      <c r="AC65" s="37"/>
      <c r="AD65" s="37"/>
      <c r="AE65" s="37"/>
      <c r="AF65" s="37"/>
      <c r="AG65" s="37"/>
      <c r="AH65" s="37"/>
      <c r="AI65" s="37"/>
      <c r="AJ65" s="37"/>
      <c r="AK65" s="37"/>
      <c r="AL65" s="37"/>
      <c r="AM65" s="37"/>
      <c r="AN65" s="37"/>
      <c r="AO65" s="37"/>
      <c r="AP65" s="37"/>
      <c r="AQ65" s="37"/>
      <c r="AR65" s="37"/>
      <c r="AS65" s="37"/>
      <c r="AT65" s="37"/>
      <c r="AU65" s="37"/>
      <c r="AV65" s="37"/>
      <c r="AW65" s="37"/>
      <c r="AX65" s="37"/>
      <c r="AY65" s="37"/>
      <c r="AZ65" s="37"/>
      <c r="BA65" s="37"/>
      <c r="BB65" s="37"/>
      <c r="BC65" s="37"/>
      <c r="BD65" s="37"/>
      <c r="BE65" s="37"/>
      <c r="BF65" s="37"/>
      <c r="BG65" s="37"/>
      <c r="BH65" s="37"/>
      <c r="BI65" s="37"/>
      <c r="BJ65" s="37"/>
      <c r="BK65" s="37"/>
      <c r="BL65" s="37"/>
      <c r="BM65" s="37"/>
    </row>
    <row r="66" spans="2:71" ht="15" customHeight="1">
      <c r="B66" s="259" t="s">
        <v>131</v>
      </c>
      <c r="C66" s="260" t="str">
        <f>Единица_измерения</f>
        <v>тыс. руб.</v>
      </c>
      <c r="D66" s="248"/>
      <c r="E66" s="248">
        <f ca="1">-'Годовая отчетность'!E22+IF(E$6=1,IFERROR(OFFSET(Предпосылки!F$316,,,,1-LEFT('Квартальная отчетность'!$E$11,1)),0))</f>
        <v>0</v>
      </c>
      <c r="F66" s="248">
        <f ca="1">-'Годовая отчетность'!F22+IF(F$6=1,IFERROR(OFFSET(Предпосылки!G$316,,,,1-LEFT('Квартальная отчетность'!$E$11,1)),0))</f>
        <v>0</v>
      </c>
      <c r="G66" s="248">
        <f ca="1">-'Годовая отчетность'!G22+IF(G$6=1,IFERROR(OFFSET(Предпосылки!H$316,,,,1-LEFT('Квартальная отчетность'!$E$11,1)),0))</f>
        <v>0</v>
      </c>
      <c r="H66" s="248">
        <f ca="1">-'Годовая отчетность'!H22+IF(H$6=1,IFERROR(OFFSET(Предпосылки!I$316,,,,1-LEFT('Квартальная отчетность'!$E$11,1)),0))</f>
        <v>0</v>
      </c>
      <c r="I66" s="248">
        <f ca="1">-'Годовая отчетность'!I22+IF(I$6=1,IFERROR(OFFSET(Предпосылки!J$316,,,,1-LEFT('Квартальная отчетность'!$E$11,1)),0))</f>
        <v>0</v>
      </c>
      <c r="J66" s="248">
        <f ca="1">-'Годовая отчетность'!J22+IF(J$6=1,IFERROR(OFFSET(Предпосылки!K$316,,,,1-LEFT('Квартальная отчетность'!$E$11,1)),0))</f>
        <v>0</v>
      </c>
      <c r="K66" s="248">
        <f ca="1">-'Годовая отчетность'!K22+IF(K$6=1,IFERROR(OFFSET(Предпосылки!L$316,,,,1-LEFT('Квартальная отчетность'!$E$11,1)),0))</f>
        <v>0</v>
      </c>
      <c r="L66" s="248">
        <f ca="1">-'Годовая отчетность'!L22+IF(L$6=1,IFERROR(OFFSET(Предпосылки!M$316,,,,1-LEFT('Квартальная отчетность'!$E$11,1)),0))</f>
        <v>0</v>
      </c>
      <c r="M66" s="248">
        <f ca="1">-'Годовая отчетность'!M22+IF(M$6=1,IFERROR(OFFSET(Предпосылки!N$316,,,,1-LEFT('Квартальная отчетность'!$E$11,1)),0))</f>
        <v>0</v>
      </c>
      <c r="N66" s="248">
        <f ca="1">-'Годовая отчетность'!N22+IF(N$6=1,IFERROR(OFFSET(Предпосылки!O$316,,,,1-LEFT('Квартальная отчетность'!$E$11,1)),0))</f>
        <v>0</v>
      </c>
      <c r="O66" s="248">
        <f ca="1">-'Годовая отчетность'!O22+IF(O$6=1,IFERROR(OFFSET(Предпосылки!P$316,,,,1-LEFT('Квартальная отчетность'!$E$11,1)),0))</f>
        <v>0</v>
      </c>
      <c r="P66" s="248">
        <f ca="1">-'Годовая отчетность'!P22+IF(P$6=1,IFERROR(OFFSET(Предпосылки!Q$316,,,,1-LEFT('Квартальная отчетность'!$E$11,1)),0))</f>
        <v>0</v>
      </c>
      <c r="Q66" s="248">
        <f ca="1">-'Годовая отчетность'!Q22+IF(Q$6=1,IFERROR(OFFSET(Предпосылки!R$316,,,,1-LEFT('Квартальная отчетность'!$E$11,1)),0))</f>
        <v>0</v>
      </c>
      <c r="R66" s="248">
        <f ca="1">-'Годовая отчетность'!R22+IF(R$6=1,IFERROR(OFFSET(Предпосылки!S$316,,,,1-LEFT('Квартальная отчетность'!$E$11,1)),0))</f>
        <v>0</v>
      </c>
      <c r="S66" s="248">
        <f ca="1">-'Годовая отчетность'!S22+IF(S$6=1,IFERROR(OFFSET(Предпосылки!T$316,,,,1-LEFT('Квартальная отчетность'!$E$11,1)),0))</f>
        <v>0</v>
      </c>
      <c r="T66" s="248">
        <f ca="1">-'Годовая отчетность'!T22+IF(T$6=1,IFERROR(OFFSET(Предпосылки!U$316,,,,1-LEFT('Квартальная отчетность'!$E$11,1)),0))</f>
        <v>0</v>
      </c>
      <c r="U66" s="248">
        <f>-'Годовая отчетность'!U22</f>
        <v>0</v>
      </c>
      <c r="V66" s="248">
        <f>-'Годовая отчетность'!V22</f>
        <v>0</v>
      </c>
      <c r="W66" s="248">
        <f>-'Годовая отчетность'!W22</f>
        <v>0</v>
      </c>
      <c r="X66" s="248">
        <f>-'Годовая отчетность'!X22</f>
        <v>0</v>
      </c>
      <c r="Y66" s="248">
        <f>-'Годовая отчетность'!Y22</f>
        <v>0</v>
      </c>
      <c r="Z66" s="248">
        <f>-'Годовая отчетность'!Z22</f>
        <v>0</v>
      </c>
      <c r="AA66" s="248">
        <f>-'Годовая отчетность'!AA22</f>
        <v>0</v>
      </c>
      <c r="AB66" s="248">
        <f>-'Годовая отчетность'!AB22</f>
        <v>0</v>
      </c>
      <c r="AC66" s="248">
        <f>-'Годовая отчетность'!AC22</f>
        <v>0</v>
      </c>
      <c r="AD66" s="248">
        <f>-'Годовая отчетность'!AD22</f>
        <v>0</v>
      </c>
      <c r="AE66" s="248">
        <f>-'Годовая отчетность'!AE22</f>
        <v>0</v>
      </c>
      <c r="AF66" s="248">
        <f>-'Годовая отчетность'!AF22</f>
        <v>0</v>
      </c>
      <c r="AG66" s="248">
        <f>-'Годовая отчетность'!AG22</f>
        <v>0</v>
      </c>
      <c r="AH66" s="248">
        <f>-'Годовая отчетность'!AH22</f>
        <v>0</v>
      </c>
      <c r="AI66" s="248">
        <f>-'Годовая отчетность'!AI22</f>
        <v>0</v>
      </c>
      <c r="AJ66" s="248">
        <f>-'Годовая отчетность'!AJ22</f>
        <v>0</v>
      </c>
      <c r="AK66" s="248">
        <f>-'Годовая отчетность'!AK22</f>
        <v>0</v>
      </c>
      <c r="AL66" s="248">
        <f>-'Годовая отчетность'!AL22</f>
        <v>0</v>
      </c>
      <c r="AM66" s="248">
        <f>-'Годовая отчетность'!AM22</f>
        <v>0</v>
      </c>
      <c r="AN66" s="248">
        <f>-'Годовая отчетность'!AN22</f>
        <v>0</v>
      </c>
      <c r="AO66" s="248">
        <f>-'Годовая отчетность'!AO22</f>
        <v>0</v>
      </c>
      <c r="AP66" s="248">
        <f>-'Годовая отчетность'!AP22</f>
        <v>0</v>
      </c>
      <c r="AQ66" s="248">
        <f>-'Годовая отчетность'!AQ22</f>
        <v>0</v>
      </c>
      <c r="AR66" s="248">
        <f>-'Годовая отчетность'!AR22</f>
        <v>0</v>
      </c>
      <c r="AS66" s="248">
        <f>-'Годовая отчетность'!AS22</f>
        <v>0</v>
      </c>
      <c r="AT66" s="248">
        <f>-'Годовая отчетность'!AT22</f>
        <v>0</v>
      </c>
      <c r="AU66" s="248">
        <f>-'Годовая отчетность'!AU22</f>
        <v>0</v>
      </c>
      <c r="AV66" s="248">
        <f>-'Годовая отчетность'!AV22</f>
        <v>0</v>
      </c>
      <c r="AW66" s="248">
        <f>-'Годовая отчетность'!AW22</f>
        <v>0</v>
      </c>
      <c r="AX66" s="248">
        <f>-'Годовая отчетность'!AX22</f>
        <v>0</v>
      </c>
      <c r="AY66" s="248">
        <f>-'Годовая отчетность'!AY22</f>
        <v>0</v>
      </c>
      <c r="AZ66" s="248">
        <f>-'Годовая отчетность'!AZ22</f>
        <v>0</v>
      </c>
      <c r="BA66" s="248">
        <f>-'Годовая отчетность'!BA22</f>
        <v>0</v>
      </c>
      <c r="BB66" s="248">
        <f>-'Годовая отчетность'!BB22</f>
        <v>0</v>
      </c>
      <c r="BC66" s="248">
        <f>-'Годовая отчетность'!BC22</f>
        <v>0</v>
      </c>
      <c r="BD66" s="248">
        <f>-'Годовая отчетность'!BD22</f>
        <v>0</v>
      </c>
      <c r="BE66" s="248">
        <f>-'Годовая отчетность'!BE22</f>
        <v>0</v>
      </c>
      <c r="BF66" s="248">
        <f>-'Годовая отчетность'!BF22</f>
        <v>0</v>
      </c>
      <c r="BG66" s="248">
        <f>-'Годовая отчетность'!BG22</f>
        <v>0</v>
      </c>
      <c r="BH66" s="248">
        <f>-'Годовая отчетность'!BH22</f>
        <v>0</v>
      </c>
      <c r="BI66" s="248">
        <f>-'Годовая отчетность'!BI22</f>
        <v>0</v>
      </c>
      <c r="BJ66" s="248">
        <f>-'Годовая отчетность'!BJ22</f>
        <v>0</v>
      </c>
      <c r="BK66" s="248">
        <f>-'Годовая отчетность'!BK22</f>
        <v>0</v>
      </c>
      <c r="BL66" s="248">
        <f>-'Годовая отчетность'!BL22</f>
        <v>0</v>
      </c>
      <c r="BM66" s="248">
        <f>-'Годовая отчетность'!BM22</f>
        <v>0</v>
      </c>
    </row>
    <row r="67" spans="2:71" ht="15" customHeight="1">
      <c r="B67" s="37"/>
      <c r="C67" s="37"/>
      <c r="D67" s="37"/>
      <c r="E67" s="124"/>
      <c r="F67" s="124"/>
      <c r="G67" s="124"/>
      <c r="H67" s="124"/>
      <c r="I67" s="124"/>
      <c r="J67" s="124"/>
      <c r="K67" s="124"/>
      <c r="L67" s="124"/>
      <c r="M67" s="124"/>
      <c r="N67" s="124"/>
      <c r="O67" s="124"/>
      <c r="P67" s="124"/>
      <c r="Q67" s="124"/>
      <c r="R67" s="124"/>
      <c r="S67" s="124"/>
      <c r="T67" s="124"/>
      <c r="U67" s="124"/>
      <c r="V67" s="124"/>
      <c r="W67" s="124"/>
      <c r="X67" s="124"/>
      <c r="Y67" s="124"/>
      <c r="Z67" s="124"/>
      <c r="AA67" s="124"/>
      <c r="AB67" s="124"/>
      <c r="AC67" s="124"/>
      <c r="AD67" s="124"/>
      <c r="AE67" s="124"/>
      <c r="AF67" s="124"/>
      <c r="AG67" s="124"/>
      <c r="AH67" s="124"/>
      <c r="AI67" s="124"/>
      <c r="AJ67" s="124"/>
      <c r="AK67" s="124"/>
      <c r="AL67" s="124"/>
      <c r="AM67" s="124"/>
      <c r="AN67" s="124"/>
      <c r="AO67" s="124"/>
      <c r="AP67" s="124"/>
      <c r="AQ67" s="124"/>
      <c r="AR67" s="124"/>
      <c r="AS67" s="124"/>
      <c r="AT67" s="124"/>
      <c r="AU67" s="124"/>
      <c r="AV67" s="124"/>
      <c r="AW67" s="124"/>
      <c r="AX67" s="124"/>
      <c r="AY67" s="124"/>
      <c r="AZ67" s="124"/>
      <c r="BA67" s="124"/>
      <c r="BB67" s="124"/>
      <c r="BC67" s="124"/>
      <c r="BD67" s="124"/>
      <c r="BE67" s="124"/>
      <c r="BF67" s="124"/>
      <c r="BG67" s="124"/>
      <c r="BH67" s="124"/>
      <c r="BI67" s="124"/>
      <c r="BJ67" s="124"/>
      <c r="BK67" s="124"/>
      <c r="BL67" s="124"/>
      <c r="BM67" s="124"/>
    </row>
    <row r="68" spans="2:71" ht="15" customHeight="1">
      <c r="B68" s="118" t="s">
        <v>323</v>
      </c>
      <c r="C68" s="37"/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37"/>
      <c r="U68" s="37"/>
      <c r="V68" s="37"/>
      <c r="W68" s="37"/>
      <c r="X68" s="37"/>
      <c r="Y68" s="37"/>
      <c r="Z68" s="37"/>
      <c r="AA68" s="37"/>
      <c r="AB68" s="37"/>
      <c r="AC68" s="37"/>
      <c r="AD68" s="37"/>
      <c r="AE68" s="37"/>
      <c r="AF68" s="37"/>
      <c r="AG68" s="37"/>
      <c r="AH68" s="37"/>
      <c r="AI68" s="37"/>
      <c r="AJ68" s="37"/>
      <c r="AK68" s="37"/>
      <c r="AL68" s="37"/>
      <c r="AM68" s="37"/>
      <c r="AN68" s="37"/>
      <c r="AO68" s="37"/>
      <c r="AP68" s="37"/>
      <c r="AQ68" s="37"/>
      <c r="AR68" s="37"/>
      <c r="AS68" s="37"/>
      <c r="AT68" s="37"/>
      <c r="AU68" s="37"/>
      <c r="AV68" s="37"/>
      <c r="AW68" s="37"/>
      <c r="AX68" s="37"/>
      <c r="AY68" s="37"/>
      <c r="AZ68" s="37"/>
      <c r="BA68" s="37"/>
      <c r="BB68" s="37"/>
      <c r="BC68" s="37"/>
      <c r="BD68" s="37"/>
      <c r="BE68" s="37"/>
      <c r="BF68" s="37"/>
      <c r="BG68" s="37"/>
      <c r="BH68" s="37"/>
      <c r="BI68" s="37"/>
      <c r="BJ68" s="37"/>
      <c r="BK68" s="37"/>
      <c r="BL68" s="37"/>
      <c r="BM68" s="37"/>
    </row>
    <row r="69" spans="2:71" ht="15" customHeight="1">
      <c r="B69" s="112" t="s">
        <v>324</v>
      </c>
      <c r="C69" s="113" t="str">
        <f>Единица_измерения</f>
        <v>тыс. руб.</v>
      </c>
      <c r="D69" s="114"/>
      <c r="E69" s="114">
        <f t="shared" ref="E69:AJ69" ca="1" si="62">E63</f>
        <v>0</v>
      </c>
      <c r="F69" s="114">
        <f t="shared" ca="1" si="62"/>
        <v>0</v>
      </c>
      <c r="G69" s="114">
        <f t="shared" ca="1" si="62"/>
        <v>0</v>
      </c>
      <c r="H69" s="114">
        <f t="shared" ca="1" si="62"/>
        <v>0</v>
      </c>
      <c r="I69" s="114">
        <f t="shared" ca="1" si="62"/>
        <v>0</v>
      </c>
      <c r="J69" s="114">
        <f t="shared" ca="1" si="62"/>
        <v>0</v>
      </c>
      <c r="K69" s="114">
        <f t="shared" ca="1" si="62"/>
        <v>0</v>
      </c>
      <c r="L69" s="114">
        <f t="shared" ca="1" si="62"/>
        <v>0</v>
      </c>
      <c r="M69" s="114">
        <f t="shared" ca="1" si="62"/>
        <v>0</v>
      </c>
      <c r="N69" s="114">
        <f t="shared" ca="1" si="62"/>
        <v>0</v>
      </c>
      <c r="O69" s="114">
        <f t="shared" ca="1" si="62"/>
        <v>0</v>
      </c>
      <c r="P69" s="114">
        <f t="shared" ca="1" si="62"/>
        <v>0</v>
      </c>
      <c r="Q69" s="114">
        <f t="shared" ca="1" si="62"/>
        <v>0</v>
      </c>
      <c r="R69" s="114">
        <f t="shared" ca="1" si="62"/>
        <v>0</v>
      </c>
      <c r="S69" s="114">
        <f t="shared" ca="1" si="62"/>
        <v>0</v>
      </c>
      <c r="T69" s="114">
        <f t="shared" ca="1" si="62"/>
        <v>0</v>
      </c>
      <c r="U69" s="114">
        <f t="shared" si="62"/>
        <v>0</v>
      </c>
      <c r="V69" s="114">
        <f t="shared" si="62"/>
        <v>0</v>
      </c>
      <c r="W69" s="114">
        <f t="shared" si="62"/>
        <v>0</v>
      </c>
      <c r="X69" s="114">
        <f t="shared" si="62"/>
        <v>0</v>
      </c>
      <c r="Y69" s="114">
        <f t="shared" si="62"/>
        <v>0</v>
      </c>
      <c r="Z69" s="114">
        <f t="shared" si="62"/>
        <v>0</v>
      </c>
      <c r="AA69" s="114">
        <f t="shared" si="62"/>
        <v>0</v>
      </c>
      <c r="AB69" s="114">
        <f t="shared" si="62"/>
        <v>0</v>
      </c>
      <c r="AC69" s="114">
        <f t="shared" si="62"/>
        <v>0</v>
      </c>
      <c r="AD69" s="114">
        <f t="shared" si="62"/>
        <v>0</v>
      </c>
      <c r="AE69" s="114">
        <f t="shared" si="62"/>
        <v>0</v>
      </c>
      <c r="AF69" s="114">
        <f t="shared" si="62"/>
        <v>0</v>
      </c>
      <c r="AG69" s="114">
        <f t="shared" si="62"/>
        <v>0</v>
      </c>
      <c r="AH69" s="114">
        <f t="shared" si="62"/>
        <v>0</v>
      </c>
      <c r="AI69" s="114">
        <f t="shared" si="62"/>
        <v>0</v>
      </c>
      <c r="AJ69" s="114">
        <f t="shared" si="62"/>
        <v>0</v>
      </c>
      <c r="AK69" s="114">
        <f t="shared" ref="AK69:BM69" si="63">AK63</f>
        <v>0</v>
      </c>
      <c r="AL69" s="114">
        <f t="shared" si="63"/>
        <v>0</v>
      </c>
      <c r="AM69" s="114">
        <f t="shared" si="63"/>
        <v>0</v>
      </c>
      <c r="AN69" s="114">
        <f t="shared" si="63"/>
        <v>0</v>
      </c>
      <c r="AO69" s="114">
        <f t="shared" si="63"/>
        <v>0</v>
      </c>
      <c r="AP69" s="114">
        <f t="shared" si="63"/>
        <v>0</v>
      </c>
      <c r="AQ69" s="114">
        <f t="shared" si="63"/>
        <v>0</v>
      </c>
      <c r="AR69" s="114">
        <f t="shared" si="63"/>
        <v>0</v>
      </c>
      <c r="AS69" s="114">
        <f t="shared" si="63"/>
        <v>0</v>
      </c>
      <c r="AT69" s="114">
        <f t="shared" si="63"/>
        <v>0</v>
      </c>
      <c r="AU69" s="114">
        <f t="shared" si="63"/>
        <v>0</v>
      </c>
      <c r="AV69" s="114">
        <f t="shared" si="63"/>
        <v>0</v>
      </c>
      <c r="AW69" s="114">
        <f t="shared" si="63"/>
        <v>0</v>
      </c>
      <c r="AX69" s="114">
        <f t="shared" si="63"/>
        <v>0</v>
      </c>
      <c r="AY69" s="114">
        <f t="shared" si="63"/>
        <v>0</v>
      </c>
      <c r="AZ69" s="114">
        <f t="shared" si="63"/>
        <v>0</v>
      </c>
      <c r="BA69" s="114">
        <f t="shared" si="63"/>
        <v>0</v>
      </c>
      <c r="BB69" s="114">
        <f t="shared" si="63"/>
        <v>0</v>
      </c>
      <c r="BC69" s="114">
        <f t="shared" si="63"/>
        <v>0</v>
      </c>
      <c r="BD69" s="114">
        <f t="shared" si="63"/>
        <v>0</v>
      </c>
      <c r="BE69" s="114">
        <f t="shared" si="63"/>
        <v>0</v>
      </c>
      <c r="BF69" s="114">
        <f t="shared" si="63"/>
        <v>0</v>
      </c>
      <c r="BG69" s="114">
        <f t="shared" si="63"/>
        <v>0</v>
      </c>
      <c r="BH69" s="114">
        <f t="shared" si="63"/>
        <v>0</v>
      </c>
      <c r="BI69" s="114">
        <f t="shared" si="63"/>
        <v>0</v>
      </c>
      <c r="BJ69" s="114">
        <f t="shared" si="63"/>
        <v>0</v>
      </c>
      <c r="BK69" s="114">
        <f t="shared" si="63"/>
        <v>0</v>
      </c>
      <c r="BL69" s="114">
        <f t="shared" si="63"/>
        <v>0</v>
      </c>
      <c r="BM69" s="114">
        <f t="shared" si="63"/>
        <v>0</v>
      </c>
    </row>
    <row r="70" spans="2:71" ht="15" customHeight="1">
      <c r="B70" s="112" t="s">
        <v>366</v>
      </c>
      <c r="C70" s="113" t="str">
        <f>Единица_измерения</f>
        <v>тыс. руб.</v>
      </c>
      <c r="D70" s="114"/>
      <c r="E70" s="114">
        <f t="shared" ref="E70:AJ70" ca="1" si="64">E66</f>
        <v>0</v>
      </c>
      <c r="F70" s="114">
        <f t="shared" ca="1" si="64"/>
        <v>0</v>
      </c>
      <c r="G70" s="114">
        <f t="shared" ca="1" si="64"/>
        <v>0</v>
      </c>
      <c r="H70" s="114">
        <f t="shared" ca="1" si="64"/>
        <v>0</v>
      </c>
      <c r="I70" s="114">
        <f t="shared" ca="1" si="64"/>
        <v>0</v>
      </c>
      <c r="J70" s="114">
        <f t="shared" ca="1" si="64"/>
        <v>0</v>
      </c>
      <c r="K70" s="114">
        <f t="shared" ca="1" si="64"/>
        <v>0</v>
      </c>
      <c r="L70" s="114">
        <f t="shared" ca="1" si="64"/>
        <v>0</v>
      </c>
      <c r="M70" s="114">
        <f t="shared" ca="1" si="64"/>
        <v>0</v>
      </c>
      <c r="N70" s="114">
        <f t="shared" ca="1" si="64"/>
        <v>0</v>
      </c>
      <c r="O70" s="114">
        <f t="shared" ca="1" si="64"/>
        <v>0</v>
      </c>
      <c r="P70" s="114">
        <f t="shared" ca="1" si="64"/>
        <v>0</v>
      </c>
      <c r="Q70" s="114">
        <f t="shared" ca="1" si="64"/>
        <v>0</v>
      </c>
      <c r="R70" s="114">
        <f t="shared" ca="1" si="64"/>
        <v>0</v>
      </c>
      <c r="S70" s="114">
        <f t="shared" ca="1" si="64"/>
        <v>0</v>
      </c>
      <c r="T70" s="114">
        <f t="shared" ca="1" si="64"/>
        <v>0</v>
      </c>
      <c r="U70" s="114">
        <f t="shared" si="64"/>
        <v>0</v>
      </c>
      <c r="V70" s="114">
        <f t="shared" si="64"/>
        <v>0</v>
      </c>
      <c r="W70" s="114">
        <f t="shared" si="64"/>
        <v>0</v>
      </c>
      <c r="X70" s="114">
        <f t="shared" si="64"/>
        <v>0</v>
      </c>
      <c r="Y70" s="114">
        <f t="shared" si="64"/>
        <v>0</v>
      </c>
      <c r="Z70" s="114">
        <f t="shared" si="64"/>
        <v>0</v>
      </c>
      <c r="AA70" s="114">
        <f t="shared" si="64"/>
        <v>0</v>
      </c>
      <c r="AB70" s="114">
        <f t="shared" si="64"/>
        <v>0</v>
      </c>
      <c r="AC70" s="114">
        <f t="shared" si="64"/>
        <v>0</v>
      </c>
      <c r="AD70" s="114">
        <f t="shared" si="64"/>
        <v>0</v>
      </c>
      <c r="AE70" s="114">
        <f t="shared" si="64"/>
        <v>0</v>
      </c>
      <c r="AF70" s="114">
        <f t="shared" si="64"/>
        <v>0</v>
      </c>
      <c r="AG70" s="114">
        <f t="shared" si="64"/>
        <v>0</v>
      </c>
      <c r="AH70" s="114">
        <f t="shared" si="64"/>
        <v>0</v>
      </c>
      <c r="AI70" s="114">
        <f t="shared" si="64"/>
        <v>0</v>
      </c>
      <c r="AJ70" s="114">
        <f t="shared" si="64"/>
        <v>0</v>
      </c>
      <c r="AK70" s="114">
        <f t="shared" ref="AK70:BM70" si="65">AK66</f>
        <v>0</v>
      </c>
      <c r="AL70" s="114">
        <f t="shared" si="65"/>
        <v>0</v>
      </c>
      <c r="AM70" s="114">
        <f t="shared" si="65"/>
        <v>0</v>
      </c>
      <c r="AN70" s="114">
        <f t="shared" si="65"/>
        <v>0</v>
      </c>
      <c r="AO70" s="114">
        <f t="shared" si="65"/>
        <v>0</v>
      </c>
      <c r="AP70" s="114">
        <f t="shared" si="65"/>
        <v>0</v>
      </c>
      <c r="AQ70" s="114">
        <f t="shared" si="65"/>
        <v>0</v>
      </c>
      <c r="AR70" s="114">
        <f t="shared" si="65"/>
        <v>0</v>
      </c>
      <c r="AS70" s="114">
        <f t="shared" si="65"/>
        <v>0</v>
      </c>
      <c r="AT70" s="114">
        <f t="shared" si="65"/>
        <v>0</v>
      </c>
      <c r="AU70" s="114">
        <f t="shared" si="65"/>
        <v>0</v>
      </c>
      <c r="AV70" s="114">
        <f t="shared" si="65"/>
        <v>0</v>
      </c>
      <c r="AW70" s="114">
        <f t="shared" si="65"/>
        <v>0</v>
      </c>
      <c r="AX70" s="114">
        <f t="shared" si="65"/>
        <v>0</v>
      </c>
      <c r="AY70" s="114">
        <f t="shared" si="65"/>
        <v>0</v>
      </c>
      <c r="AZ70" s="114">
        <f t="shared" si="65"/>
        <v>0</v>
      </c>
      <c r="BA70" s="114">
        <f t="shared" si="65"/>
        <v>0</v>
      </c>
      <c r="BB70" s="114">
        <f t="shared" si="65"/>
        <v>0</v>
      </c>
      <c r="BC70" s="114">
        <f t="shared" si="65"/>
        <v>0</v>
      </c>
      <c r="BD70" s="114">
        <f t="shared" si="65"/>
        <v>0</v>
      </c>
      <c r="BE70" s="114">
        <f t="shared" si="65"/>
        <v>0</v>
      </c>
      <c r="BF70" s="114">
        <f t="shared" si="65"/>
        <v>0</v>
      </c>
      <c r="BG70" s="114">
        <f t="shared" si="65"/>
        <v>0</v>
      </c>
      <c r="BH70" s="114">
        <f t="shared" si="65"/>
        <v>0</v>
      </c>
      <c r="BI70" s="114">
        <f t="shared" si="65"/>
        <v>0</v>
      </c>
      <c r="BJ70" s="114">
        <f t="shared" si="65"/>
        <v>0</v>
      </c>
      <c r="BK70" s="114">
        <f t="shared" si="65"/>
        <v>0</v>
      </c>
      <c r="BL70" s="114">
        <f t="shared" si="65"/>
        <v>0</v>
      </c>
      <c r="BM70" s="114">
        <f t="shared" si="65"/>
        <v>0</v>
      </c>
    </row>
    <row r="71" spans="2:71" ht="15" customHeight="1">
      <c r="B71" s="315" t="s">
        <v>538</v>
      </c>
      <c r="C71" s="260" t="s">
        <v>146</v>
      </c>
      <c r="D71" s="256"/>
      <c r="E71" s="256">
        <f t="shared" ref="E71:AG71" ca="1" si="66">IFERROR(MAX(0,E69)/E70,0)</f>
        <v>0</v>
      </c>
      <c r="F71" s="256">
        <f t="shared" ca="1" si="66"/>
        <v>0</v>
      </c>
      <c r="G71" s="256">
        <f t="shared" ca="1" si="66"/>
        <v>0</v>
      </c>
      <c r="H71" s="256">
        <f t="shared" ca="1" si="66"/>
        <v>0</v>
      </c>
      <c r="I71" s="256">
        <f t="shared" ca="1" si="66"/>
        <v>0</v>
      </c>
      <c r="J71" s="256">
        <f t="shared" ca="1" si="66"/>
        <v>0</v>
      </c>
      <c r="K71" s="256">
        <f t="shared" ca="1" si="66"/>
        <v>0</v>
      </c>
      <c r="L71" s="256">
        <f t="shared" ca="1" si="66"/>
        <v>0</v>
      </c>
      <c r="M71" s="256">
        <f t="shared" ca="1" si="66"/>
        <v>0</v>
      </c>
      <c r="N71" s="256">
        <f t="shared" ca="1" si="66"/>
        <v>0</v>
      </c>
      <c r="O71" s="256">
        <f t="shared" ca="1" si="66"/>
        <v>0</v>
      </c>
      <c r="P71" s="256">
        <f t="shared" ca="1" si="66"/>
        <v>0</v>
      </c>
      <c r="Q71" s="256">
        <f t="shared" ca="1" si="66"/>
        <v>0</v>
      </c>
      <c r="R71" s="256">
        <f t="shared" ca="1" si="66"/>
        <v>0</v>
      </c>
      <c r="S71" s="256">
        <f t="shared" ca="1" si="66"/>
        <v>0</v>
      </c>
      <c r="T71" s="256">
        <f t="shared" ca="1" si="66"/>
        <v>0</v>
      </c>
      <c r="U71" s="256">
        <f t="shared" si="66"/>
        <v>0</v>
      </c>
      <c r="V71" s="256">
        <f t="shared" si="66"/>
        <v>0</v>
      </c>
      <c r="W71" s="256">
        <f t="shared" si="66"/>
        <v>0</v>
      </c>
      <c r="X71" s="256">
        <f t="shared" si="66"/>
        <v>0</v>
      </c>
      <c r="Y71" s="256">
        <f t="shared" si="66"/>
        <v>0</v>
      </c>
      <c r="Z71" s="256">
        <f t="shared" si="66"/>
        <v>0</v>
      </c>
      <c r="AA71" s="256">
        <f t="shared" si="66"/>
        <v>0</v>
      </c>
      <c r="AB71" s="256">
        <f t="shared" si="66"/>
        <v>0</v>
      </c>
      <c r="AC71" s="256">
        <f t="shared" si="66"/>
        <v>0</v>
      </c>
      <c r="AD71" s="256">
        <f t="shared" si="66"/>
        <v>0</v>
      </c>
      <c r="AE71" s="256">
        <f t="shared" si="66"/>
        <v>0</v>
      </c>
      <c r="AF71" s="256">
        <f t="shared" si="66"/>
        <v>0</v>
      </c>
      <c r="AG71" s="256">
        <f t="shared" si="66"/>
        <v>0</v>
      </c>
      <c r="AH71" s="256">
        <f t="shared" ref="AH71:BM71" si="67">IFERROR(MAX(0,AH69)/AH70,0)</f>
        <v>0</v>
      </c>
      <c r="AI71" s="256">
        <f t="shared" si="67"/>
        <v>0</v>
      </c>
      <c r="AJ71" s="256">
        <f t="shared" si="67"/>
        <v>0</v>
      </c>
      <c r="AK71" s="256">
        <f t="shared" si="67"/>
        <v>0</v>
      </c>
      <c r="AL71" s="256">
        <f t="shared" si="67"/>
        <v>0</v>
      </c>
      <c r="AM71" s="256">
        <f t="shared" si="67"/>
        <v>0</v>
      </c>
      <c r="AN71" s="256">
        <f t="shared" si="67"/>
        <v>0</v>
      </c>
      <c r="AO71" s="256">
        <f t="shared" si="67"/>
        <v>0</v>
      </c>
      <c r="AP71" s="256">
        <f t="shared" si="67"/>
        <v>0</v>
      </c>
      <c r="AQ71" s="256">
        <f t="shared" si="67"/>
        <v>0</v>
      </c>
      <c r="AR71" s="256">
        <f t="shared" si="67"/>
        <v>0</v>
      </c>
      <c r="AS71" s="256">
        <f t="shared" si="67"/>
        <v>0</v>
      </c>
      <c r="AT71" s="256">
        <f t="shared" si="67"/>
        <v>0</v>
      </c>
      <c r="AU71" s="256">
        <f t="shared" si="67"/>
        <v>0</v>
      </c>
      <c r="AV71" s="256">
        <f t="shared" si="67"/>
        <v>0</v>
      </c>
      <c r="AW71" s="256">
        <f t="shared" si="67"/>
        <v>0</v>
      </c>
      <c r="AX71" s="256">
        <f t="shared" si="67"/>
        <v>0</v>
      </c>
      <c r="AY71" s="256">
        <f t="shared" si="67"/>
        <v>0</v>
      </c>
      <c r="AZ71" s="256">
        <f t="shared" si="67"/>
        <v>0</v>
      </c>
      <c r="BA71" s="256">
        <f t="shared" si="67"/>
        <v>0</v>
      </c>
      <c r="BB71" s="256">
        <f t="shared" si="67"/>
        <v>0</v>
      </c>
      <c r="BC71" s="256">
        <f t="shared" si="67"/>
        <v>0</v>
      </c>
      <c r="BD71" s="256">
        <f t="shared" si="67"/>
        <v>0</v>
      </c>
      <c r="BE71" s="256">
        <f t="shared" si="67"/>
        <v>0</v>
      </c>
      <c r="BF71" s="256">
        <f t="shared" si="67"/>
        <v>0</v>
      </c>
      <c r="BG71" s="256">
        <f t="shared" si="67"/>
        <v>0</v>
      </c>
      <c r="BH71" s="256">
        <f t="shared" si="67"/>
        <v>0</v>
      </c>
      <c r="BI71" s="256">
        <f t="shared" si="67"/>
        <v>0</v>
      </c>
      <c r="BJ71" s="256">
        <f t="shared" si="67"/>
        <v>0</v>
      </c>
      <c r="BK71" s="256">
        <f t="shared" si="67"/>
        <v>0</v>
      </c>
      <c r="BL71" s="256">
        <f t="shared" si="67"/>
        <v>0</v>
      </c>
      <c r="BM71" s="256">
        <f t="shared" si="67"/>
        <v>0</v>
      </c>
    </row>
    <row r="72" spans="2:71" ht="15" customHeight="1">
      <c r="B72" s="37"/>
      <c r="C72" s="37"/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37"/>
      <c r="U72" s="37"/>
      <c r="V72" s="37"/>
      <c r="W72" s="37"/>
      <c r="X72" s="37"/>
      <c r="Y72" s="37"/>
      <c r="Z72" s="37"/>
      <c r="AA72" s="37"/>
      <c r="AB72" s="37"/>
      <c r="AC72" s="37"/>
      <c r="AD72" s="37"/>
      <c r="AE72" s="37"/>
      <c r="AF72" s="37"/>
      <c r="AG72" s="37"/>
      <c r="AH72" s="37"/>
      <c r="AI72" s="37"/>
      <c r="AJ72" s="37"/>
      <c r="AK72" s="37"/>
      <c r="AL72" s="37"/>
      <c r="AM72" s="37"/>
      <c r="AN72" s="37"/>
      <c r="AO72" s="37"/>
      <c r="AP72" s="37"/>
      <c r="AQ72" s="37"/>
      <c r="AR72" s="37"/>
      <c r="AS72" s="37"/>
      <c r="AT72" s="37"/>
      <c r="AU72" s="37"/>
      <c r="AV72" s="37"/>
      <c r="AW72" s="37"/>
      <c r="AX72" s="37"/>
      <c r="AY72" s="37"/>
      <c r="AZ72" s="37"/>
      <c r="BA72" s="37"/>
      <c r="BB72" s="37"/>
      <c r="BC72" s="37"/>
      <c r="BD72" s="37"/>
      <c r="BE72" s="37"/>
      <c r="BF72" s="37"/>
      <c r="BG72" s="37"/>
      <c r="BH72" s="37"/>
      <c r="BI72" s="37"/>
      <c r="BJ72" s="37"/>
      <c r="BK72" s="37"/>
      <c r="BL72" s="37"/>
      <c r="BM72" s="37"/>
    </row>
    <row r="73" spans="2:71" ht="21">
      <c r="B73" s="40" t="s">
        <v>562</v>
      </c>
      <c r="C73" s="37"/>
      <c r="D73" s="40"/>
      <c r="E73" s="41"/>
      <c r="F73" s="41"/>
      <c r="G73" s="41"/>
      <c r="H73" s="41"/>
      <c r="I73" s="41"/>
      <c r="J73" s="41"/>
      <c r="K73" s="41"/>
      <c r="L73" s="41"/>
      <c r="M73" s="41"/>
      <c r="N73" s="41"/>
      <c r="O73" s="41"/>
      <c r="P73" s="41"/>
      <c r="Q73" s="41"/>
      <c r="R73" s="41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  <c r="AF73" s="41"/>
      <c r="AG73" s="41"/>
      <c r="AH73" s="41"/>
      <c r="AI73" s="41"/>
      <c r="AJ73" s="41"/>
      <c r="AK73" s="41"/>
      <c r="AL73" s="41"/>
      <c r="AM73" s="41"/>
      <c r="AN73" s="41"/>
      <c r="AO73" s="41"/>
      <c r="AP73" s="41"/>
      <c r="AQ73" s="41"/>
      <c r="AR73" s="41"/>
      <c r="AS73" s="41"/>
      <c r="AT73" s="41"/>
      <c r="AU73" s="41"/>
      <c r="AV73" s="41"/>
      <c r="AW73" s="41"/>
      <c r="AX73" s="41"/>
      <c r="AY73" s="41"/>
      <c r="AZ73" s="41"/>
      <c r="BA73" s="41"/>
      <c r="BB73" s="41"/>
      <c r="BC73" s="41"/>
      <c r="BD73" s="41"/>
      <c r="BE73" s="41"/>
      <c r="BF73" s="41"/>
      <c r="BG73" s="41"/>
      <c r="BH73" s="41"/>
      <c r="BI73" s="41"/>
      <c r="BJ73" s="41"/>
      <c r="BK73" s="41"/>
      <c r="BL73" s="41"/>
      <c r="BM73" s="41"/>
      <c r="BN73" s="5"/>
      <c r="BO73" s="5"/>
      <c r="BP73" s="5"/>
      <c r="BQ73" s="5"/>
      <c r="BR73" s="5"/>
      <c r="BS73" s="5"/>
    </row>
    <row r="74" spans="2:71" ht="15" customHeight="1">
      <c r="B74" s="118" t="s">
        <v>142</v>
      </c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  <c r="AA74" s="37"/>
      <c r="AB74" s="37"/>
      <c r="AC74" s="37"/>
      <c r="AD74" s="37"/>
      <c r="AE74" s="37"/>
      <c r="AF74" s="37"/>
      <c r="AG74" s="37"/>
      <c r="AH74" s="37"/>
      <c r="AI74" s="37"/>
      <c r="AJ74" s="37"/>
      <c r="AK74" s="37"/>
      <c r="AL74" s="37"/>
      <c r="AM74" s="37"/>
      <c r="AN74" s="37"/>
      <c r="AO74" s="37"/>
      <c r="AP74" s="37"/>
      <c r="AQ74" s="37"/>
      <c r="AR74" s="37"/>
      <c r="AS74" s="37"/>
      <c r="AT74" s="37"/>
      <c r="AU74" s="37"/>
      <c r="AV74" s="37"/>
      <c r="AW74" s="37"/>
      <c r="AX74" s="37"/>
      <c r="AY74" s="37"/>
      <c r="AZ74" s="37"/>
      <c r="BA74" s="37"/>
      <c r="BB74" s="37"/>
      <c r="BC74" s="37"/>
      <c r="BD74" s="37"/>
      <c r="BE74" s="37"/>
      <c r="BF74" s="37"/>
      <c r="BG74" s="37"/>
      <c r="BH74" s="37"/>
      <c r="BI74" s="37"/>
      <c r="BJ74" s="37"/>
      <c r="BK74" s="37"/>
      <c r="BL74" s="37"/>
      <c r="BM74" s="37"/>
    </row>
    <row r="75" spans="2:71" ht="15" customHeight="1">
      <c r="B75" s="112" t="s">
        <v>74</v>
      </c>
      <c r="C75" s="113" t="str">
        <f>Единица_измерения</f>
        <v>тыс. руб.</v>
      </c>
      <c r="D75" s="114"/>
      <c r="E75" s="114">
        <f>'Годовая отчетность'!E114</f>
        <v>0</v>
      </c>
      <c r="F75" s="114">
        <f>'Годовая отчетность'!F114</f>
        <v>0</v>
      </c>
      <c r="G75" s="114">
        <f>'Годовая отчетность'!G114</f>
        <v>0</v>
      </c>
      <c r="H75" s="114">
        <f>'Годовая отчетность'!H114</f>
        <v>0</v>
      </c>
      <c r="I75" s="114">
        <f>'Годовая отчетность'!I114</f>
        <v>0</v>
      </c>
      <c r="J75" s="114">
        <f>'Годовая отчетность'!J114</f>
        <v>0</v>
      </c>
      <c r="K75" s="114">
        <f>'Годовая отчетность'!K114</f>
        <v>0</v>
      </c>
      <c r="L75" s="114">
        <f>'Годовая отчетность'!L114</f>
        <v>0</v>
      </c>
      <c r="M75" s="114">
        <f>'Годовая отчетность'!M114</f>
        <v>0</v>
      </c>
      <c r="N75" s="114">
        <f>'Годовая отчетность'!N114</f>
        <v>0</v>
      </c>
      <c r="O75" s="114">
        <f>'Годовая отчетность'!O114</f>
        <v>0</v>
      </c>
      <c r="P75" s="114">
        <f>'Годовая отчетность'!P114</f>
        <v>0</v>
      </c>
      <c r="Q75" s="114">
        <f>'Годовая отчетность'!Q114</f>
        <v>0</v>
      </c>
      <c r="R75" s="114">
        <f>'Годовая отчетность'!R114</f>
        <v>0</v>
      </c>
      <c r="S75" s="114">
        <f>'Годовая отчетность'!S114</f>
        <v>0</v>
      </c>
      <c r="T75" s="114">
        <f>'Годовая отчетность'!T114</f>
        <v>0</v>
      </c>
      <c r="U75" s="114">
        <f>'Годовая отчетность'!U115</f>
        <v>0</v>
      </c>
      <c r="V75" s="114">
        <f>'Годовая отчетность'!V115</f>
        <v>0</v>
      </c>
      <c r="W75" s="114">
        <f>'Годовая отчетность'!W115</f>
        <v>0</v>
      </c>
      <c r="X75" s="114">
        <f>'Годовая отчетность'!X115</f>
        <v>0</v>
      </c>
      <c r="Y75" s="114">
        <f>'Годовая отчетность'!Y115</f>
        <v>0</v>
      </c>
      <c r="Z75" s="114">
        <f>'Годовая отчетность'!Z115</f>
        <v>0</v>
      </c>
      <c r="AA75" s="114">
        <f>'Годовая отчетность'!AA115</f>
        <v>0</v>
      </c>
      <c r="AB75" s="114">
        <f>'Годовая отчетность'!AB115</f>
        <v>0</v>
      </c>
      <c r="AC75" s="114">
        <f>'Годовая отчетность'!AC115</f>
        <v>0</v>
      </c>
      <c r="AD75" s="114">
        <f>'Годовая отчетность'!AD115</f>
        <v>0</v>
      </c>
      <c r="AE75" s="114">
        <f>'Годовая отчетность'!AE115</f>
        <v>0</v>
      </c>
      <c r="AF75" s="114">
        <f>'Годовая отчетность'!AF115</f>
        <v>0</v>
      </c>
      <c r="AG75" s="114">
        <f>'Годовая отчетность'!AG115</f>
        <v>0</v>
      </c>
      <c r="AH75" s="114">
        <f>'Годовая отчетность'!AH115</f>
        <v>0</v>
      </c>
      <c r="AI75" s="114">
        <f>'Годовая отчетность'!AI115</f>
        <v>0</v>
      </c>
      <c r="AJ75" s="114">
        <f>'Годовая отчетность'!AJ115</f>
        <v>0</v>
      </c>
      <c r="AK75" s="114">
        <f>'Годовая отчетность'!AK115</f>
        <v>0</v>
      </c>
      <c r="AL75" s="114">
        <f>'Годовая отчетность'!AL115</f>
        <v>0</v>
      </c>
      <c r="AM75" s="114">
        <f>'Годовая отчетность'!AM115</f>
        <v>0</v>
      </c>
      <c r="AN75" s="114">
        <f>'Годовая отчетность'!AN115</f>
        <v>0</v>
      </c>
      <c r="AO75" s="114">
        <f>'Годовая отчетность'!AO115</f>
        <v>0</v>
      </c>
      <c r="AP75" s="114">
        <f>'Годовая отчетность'!AP115</f>
        <v>0</v>
      </c>
      <c r="AQ75" s="114">
        <f>'Годовая отчетность'!AQ115</f>
        <v>0</v>
      </c>
      <c r="AR75" s="114">
        <f>'Годовая отчетность'!AR115</f>
        <v>0</v>
      </c>
      <c r="AS75" s="114">
        <f>'Годовая отчетность'!AS115</f>
        <v>0</v>
      </c>
      <c r="AT75" s="114">
        <f>'Годовая отчетность'!AT115</f>
        <v>0</v>
      </c>
      <c r="AU75" s="114">
        <f>'Годовая отчетность'!AU115</f>
        <v>0</v>
      </c>
      <c r="AV75" s="114">
        <f>'Годовая отчетность'!AV115</f>
        <v>0</v>
      </c>
      <c r="AW75" s="114">
        <f>'Годовая отчетность'!AW115</f>
        <v>0</v>
      </c>
      <c r="AX75" s="114">
        <f>'Годовая отчетность'!AX115</f>
        <v>0</v>
      </c>
      <c r="AY75" s="114">
        <f>'Годовая отчетность'!AY115</f>
        <v>0</v>
      </c>
      <c r="AZ75" s="114">
        <f>'Годовая отчетность'!AZ115</f>
        <v>0</v>
      </c>
      <c r="BA75" s="114">
        <f>'Годовая отчетность'!BA115</f>
        <v>0</v>
      </c>
      <c r="BB75" s="114">
        <f>'Годовая отчетность'!BB115</f>
        <v>0</v>
      </c>
      <c r="BC75" s="114">
        <f>'Годовая отчетность'!BC115</f>
        <v>0</v>
      </c>
      <c r="BD75" s="114">
        <f>'Годовая отчетность'!BD115</f>
        <v>0</v>
      </c>
      <c r="BE75" s="114">
        <f>'Годовая отчетность'!BE115</f>
        <v>0</v>
      </c>
      <c r="BF75" s="114">
        <f>'Годовая отчетность'!BF115</f>
        <v>0</v>
      </c>
      <c r="BG75" s="114">
        <f>'Годовая отчетность'!BG115</f>
        <v>0</v>
      </c>
      <c r="BH75" s="114">
        <f>'Годовая отчетность'!BH115</f>
        <v>0</v>
      </c>
      <c r="BI75" s="114">
        <f>'Годовая отчетность'!BI115</f>
        <v>0</v>
      </c>
      <c r="BJ75" s="114">
        <f>'Годовая отчетность'!BJ115</f>
        <v>0</v>
      </c>
      <c r="BK75" s="114">
        <f>'Годовая отчетность'!BK115</f>
        <v>0</v>
      </c>
      <c r="BL75" s="114">
        <f>'Годовая отчетность'!BL115</f>
        <v>0</v>
      </c>
      <c r="BM75" s="114">
        <f>'Годовая отчетность'!BM115</f>
        <v>0</v>
      </c>
    </row>
    <row r="76" spans="2:71" ht="15" customHeight="1">
      <c r="B76" s="112" t="s">
        <v>144</v>
      </c>
      <c r="C76" s="113" t="str">
        <f>Единица_измерения</f>
        <v>тыс. руб.</v>
      </c>
      <c r="D76" s="114"/>
      <c r="E76" s="114">
        <f>'Годовая отчетность'!E142</f>
        <v>0</v>
      </c>
      <c r="F76" s="114">
        <f>'Годовая отчетность'!F142</f>
        <v>0</v>
      </c>
      <c r="G76" s="114">
        <f>'Годовая отчетность'!G142</f>
        <v>0</v>
      </c>
      <c r="H76" s="114">
        <f>'Годовая отчетность'!H142</f>
        <v>0</v>
      </c>
      <c r="I76" s="114">
        <f>'Годовая отчетность'!I142</f>
        <v>0</v>
      </c>
      <c r="J76" s="114">
        <f>'Годовая отчетность'!J142</f>
        <v>0</v>
      </c>
      <c r="K76" s="114">
        <f>'Годовая отчетность'!K142</f>
        <v>0</v>
      </c>
      <c r="L76" s="114">
        <f>'Годовая отчетность'!L142</f>
        <v>0</v>
      </c>
      <c r="M76" s="114">
        <f>'Годовая отчетность'!M142</f>
        <v>0</v>
      </c>
      <c r="N76" s="114">
        <f>'Годовая отчетность'!N142</f>
        <v>0</v>
      </c>
      <c r="O76" s="114">
        <f>'Годовая отчетность'!O142</f>
        <v>0</v>
      </c>
      <c r="P76" s="114">
        <f>'Годовая отчетность'!P142</f>
        <v>0</v>
      </c>
      <c r="Q76" s="114">
        <f>'Годовая отчетность'!Q142</f>
        <v>0</v>
      </c>
      <c r="R76" s="114">
        <f>'Годовая отчетность'!R142</f>
        <v>0</v>
      </c>
      <c r="S76" s="114">
        <f>'Годовая отчетность'!S142</f>
        <v>0</v>
      </c>
      <c r="T76" s="114">
        <f>'Годовая отчетность'!T142</f>
        <v>0</v>
      </c>
      <c r="U76" s="114">
        <f>'Годовая отчетность'!U143</f>
        <v>0</v>
      </c>
      <c r="V76" s="114">
        <f>'Годовая отчетность'!V143</f>
        <v>0</v>
      </c>
      <c r="W76" s="114">
        <f>'Годовая отчетность'!W143</f>
        <v>0</v>
      </c>
      <c r="X76" s="114">
        <f>'Годовая отчетность'!X143</f>
        <v>0</v>
      </c>
      <c r="Y76" s="114">
        <f>'Годовая отчетность'!Y143</f>
        <v>0</v>
      </c>
      <c r="Z76" s="114">
        <f>'Годовая отчетность'!Z143</f>
        <v>0</v>
      </c>
      <c r="AA76" s="114">
        <f>'Годовая отчетность'!AA143</f>
        <v>0</v>
      </c>
      <c r="AB76" s="114">
        <f>'Годовая отчетность'!AB143</f>
        <v>0</v>
      </c>
      <c r="AC76" s="114">
        <f>'Годовая отчетность'!AC143</f>
        <v>0</v>
      </c>
      <c r="AD76" s="114">
        <f>'Годовая отчетность'!AD143</f>
        <v>0</v>
      </c>
      <c r="AE76" s="114">
        <f>'Годовая отчетность'!AE143</f>
        <v>0</v>
      </c>
      <c r="AF76" s="114">
        <f>'Годовая отчетность'!AF143</f>
        <v>0</v>
      </c>
      <c r="AG76" s="114">
        <f>'Годовая отчетность'!AG143</f>
        <v>0</v>
      </c>
      <c r="AH76" s="114">
        <f>'Годовая отчетность'!AH143</f>
        <v>0</v>
      </c>
      <c r="AI76" s="114">
        <f>'Годовая отчетность'!AI143</f>
        <v>0</v>
      </c>
      <c r="AJ76" s="114">
        <f>'Годовая отчетность'!AJ143</f>
        <v>0</v>
      </c>
      <c r="AK76" s="114">
        <f>'Годовая отчетность'!AK143</f>
        <v>0</v>
      </c>
      <c r="AL76" s="114">
        <f>'Годовая отчетность'!AL143</f>
        <v>0</v>
      </c>
      <c r="AM76" s="114">
        <f>'Годовая отчетность'!AM143</f>
        <v>0</v>
      </c>
      <c r="AN76" s="114">
        <f>'Годовая отчетность'!AN143</f>
        <v>0</v>
      </c>
      <c r="AO76" s="114">
        <f>'Годовая отчетность'!AO143</f>
        <v>0</v>
      </c>
      <c r="AP76" s="114">
        <f>'Годовая отчетность'!AP143</f>
        <v>0</v>
      </c>
      <c r="AQ76" s="114">
        <f>'Годовая отчетность'!AQ143</f>
        <v>0</v>
      </c>
      <c r="AR76" s="114">
        <f>'Годовая отчетность'!AR143</f>
        <v>0</v>
      </c>
      <c r="AS76" s="114">
        <f>'Годовая отчетность'!AS143</f>
        <v>0</v>
      </c>
      <c r="AT76" s="114">
        <f>'Годовая отчетность'!AT143</f>
        <v>0</v>
      </c>
      <c r="AU76" s="114">
        <f>'Годовая отчетность'!AU143</f>
        <v>0</v>
      </c>
      <c r="AV76" s="114">
        <f>'Годовая отчетность'!AV143</f>
        <v>0</v>
      </c>
      <c r="AW76" s="114">
        <f>'Годовая отчетность'!AW143</f>
        <v>0</v>
      </c>
      <c r="AX76" s="114">
        <f>'Годовая отчетность'!AX143</f>
        <v>0</v>
      </c>
      <c r="AY76" s="114">
        <f>'Годовая отчетность'!AY143</f>
        <v>0</v>
      </c>
      <c r="AZ76" s="114">
        <f>'Годовая отчетность'!AZ143</f>
        <v>0</v>
      </c>
      <c r="BA76" s="114">
        <f>'Годовая отчетность'!BA143</f>
        <v>0</v>
      </c>
      <c r="BB76" s="114">
        <f>'Годовая отчетность'!BB143</f>
        <v>0</v>
      </c>
      <c r="BC76" s="114">
        <f>'Годовая отчетность'!BC143</f>
        <v>0</v>
      </c>
      <c r="BD76" s="114">
        <f>'Годовая отчетность'!BD143</f>
        <v>0</v>
      </c>
      <c r="BE76" s="114">
        <f>'Годовая отчетность'!BE143</f>
        <v>0</v>
      </c>
      <c r="BF76" s="114">
        <f>'Годовая отчетность'!BF143</f>
        <v>0</v>
      </c>
      <c r="BG76" s="114">
        <f>'Годовая отчетность'!BG143</f>
        <v>0</v>
      </c>
      <c r="BH76" s="114">
        <f>'Годовая отчетность'!BH143</f>
        <v>0</v>
      </c>
      <c r="BI76" s="114">
        <f>'Годовая отчетность'!BI143</f>
        <v>0</v>
      </c>
      <c r="BJ76" s="114">
        <f>'Годовая отчетность'!BJ143</f>
        <v>0</v>
      </c>
      <c r="BK76" s="114">
        <f>'Годовая отчетность'!BK143</f>
        <v>0</v>
      </c>
      <c r="BL76" s="114">
        <f>'Годовая отчетность'!BL143</f>
        <v>0</v>
      </c>
      <c r="BM76" s="114">
        <f>'Годовая отчетность'!BM143</f>
        <v>0</v>
      </c>
    </row>
    <row r="77" spans="2:71" ht="15" customHeight="1">
      <c r="B77" s="259" t="s">
        <v>142</v>
      </c>
      <c r="C77" s="260" t="s">
        <v>146</v>
      </c>
      <c r="D77" s="248"/>
      <c r="E77" s="248" t="str">
        <f t="shared" ref="E77:AG77" si="68">IFERROR(E75/E76,"-")</f>
        <v>-</v>
      </c>
      <c r="F77" s="248" t="str">
        <f t="shared" si="68"/>
        <v>-</v>
      </c>
      <c r="G77" s="248" t="str">
        <f t="shared" si="68"/>
        <v>-</v>
      </c>
      <c r="H77" s="248" t="str">
        <f t="shared" si="68"/>
        <v>-</v>
      </c>
      <c r="I77" s="248" t="str">
        <f t="shared" si="68"/>
        <v>-</v>
      </c>
      <c r="J77" s="248" t="str">
        <f t="shared" si="68"/>
        <v>-</v>
      </c>
      <c r="K77" s="248" t="str">
        <f t="shared" si="68"/>
        <v>-</v>
      </c>
      <c r="L77" s="248" t="str">
        <f t="shared" si="68"/>
        <v>-</v>
      </c>
      <c r="M77" s="248" t="str">
        <f t="shared" si="68"/>
        <v>-</v>
      </c>
      <c r="N77" s="248" t="str">
        <f t="shared" si="68"/>
        <v>-</v>
      </c>
      <c r="O77" s="248" t="str">
        <f t="shared" si="68"/>
        <v>-</v>
      </c>
      <c r="P77" s="248" t="str">
        <f t="shared" si="68"/>
        <v>-</v>
      </c>
      <c r="Q77" s="248" t="str">
        <f t="shared" si="68"/>
        <v>-</v>
      </c>
      <c r="R77" s="248" t="str">
        <f t="shared" si="68"/>
        <v>-</v>
      </c>
      <c r="S77" s="248" t="str">
        <f t="shared" si="68"/>
        <v>-</v>
      </c>
      <c r="T77" s="248" t="str">
        <f t="shared" si="68"/>
        <v>-</v>
      </c>
      <c r="U77" s="248" t="str">
        <f t="shared" si="68"/>
        <v>-</v>
      </c>
      <c r="V77" s="248" t="str">
        <f t="shared" si="68"/>
        <v>-</v>
      </c>
      <c r="W77" s="248" t="str">
        <f t="shared" si="68"/>
        <v>-</v>
      </c>
      <c r="X77" s="248" t="str">
        <f t="shared" si="68"/>
        <v>-</v>
      </c>
      <c r="Y77" s="248" t="str">
        <f t="shared" si="68"/>
        <v>-</v>
      </c>
      <c r="Z77" s="248" t="str">
        <f t="shared" si="68"/>
        <v>-</v>
      </c>
      <c r="AA77" s="248" t="str">
        <f t="shared" si="68"/>
        <v>-</v>
      </c>
      <c r="AB77" s="248" t="str">
        <f t="shared" si="68"/>
        <v>-</v>
      </c>
      <c r="AC77" s="248" t="str">
        <f t="shared" si="68"/>
        <v>-</v>
      </c>
      <c r="AD77" s="248" t="str">
        <f t="shared" si="68"/>
        <v>-</v>
      </c>
      <c r="AE77" s="248" t="str">
        <f t="shared" si="68"/>
        <v>-</v>
      </c>
      <c r="AF77" s="248" t="str">
        <f t="shared" si="68"/>
        <v>-</v>
      </c>
      <c r="AG77" s="248" t="str">
        <f t="shared" si="68"/>
        <v>-</v>
      </c>
      <c r="AH77" s="248" t="str">
        <f t="shared" ref="AH77:BM77" si="69">IFERROR(AH75/AH76,"-")</f>
        <v>-</v>
      </c>
      <c r="AI77" s="248" t="str">
        <f t="shared" si="69"/>
        <v>-</v>
      </c>
      <c r="AJ77" s="248" t="str">
        <f t="shared" si="69"/>
        <v>-</v>
      </c>
      <c r="AK77" s="248" t="str">
        <f t="shared" si="69"/>
        <v>-</v>
      </c>
      <c r="AL77" s="248" t="str">
        <f t="shared" si="69"/>
        <v>-</v>
      </c>
      <c r="AM77" s="248" t="str">
        <f t="shared" si="69"/>
        <v>-</v>
      </c>
      <c r="AN77" s="248" t="str">
        <f t="shared" si="69"/>
        <v>-</v>
      </c>
      <c r="AO77" s="248" t="str">
        <f t="shared" si="69"/>
        <v>-</v>
      </c>
      <c r="AP77" s="248" t="str">
        <f t="shared" si="69"/>
        <v>-</v>
      </c>
      <c r="AQ77" s="248" t="str">
        <f t="shared" si="69"/>
        <v>-</v>
      </c>
      <c r="AR77" s="248" t="str">
        <f t="shared" si="69"/>
        <v>-</v>
      </c>
      <c r="AS77" s="248" t="str">
        <f t="shared" si="69"/>
        <v>-</v>
      </c>
      <c r="AT77" s="248" t="str">
        <f t="shared" si="69"/>
        <v>-</v>
      </c>
      <c r="AU77" s="248" t="str">
        <f t="shared" si="69"/>
        <v>-</v>
      </c>
      <c r="AV77" s="248" t="str">
        <f t="shared" si="69"/>
        <v>-</v>
      </c>
      <c r="AW77" s="248" t="str">
        <f t="shared" si="69"/>
        <v>-</v>
      </c>
      <c r="AX77" s="248" t="str">
        <f t="shared" si="69"/>
        <v>-</v>
      </c>
      <c r="AY77" s="248" t="str">
        <f t="shared" si="69"/>
        <v>-</v>
      </c>
      <c r="AZ77" s="248" t="str">
        <f t="shared" si="69"/>
        <v>-</v>
      </c>
      <c r="BA77" s="248" t="str">
        <f t="shared" si="69"/>
        <v>-</v>
      </c>
      <c r="BB77" s="248" t="str">
        <f t="shared" si="69"/>
        <v>-</v>
      </c>
      <c r="BC77" s="248" t="str">
        <f t="shared" si="69"/>
        <v>-</v>
      </c>
      <c r="BD77" s="248" t="str">
        <f t="shared" si="69"/>
        <v>-</v>
      </c>
      <c r="BE77" s="248" t="str">
        <f t="shared" si="69"/>
        <v>-</v>
      </c>
      <c r="BF77" s="248" t="str">
        <f t="shared" si="69"/>
        <v>-</v>
      </c>
      <c r="BG77" s="248" t="str">
        <f t="shared" si="69"/>
        <v>-</v>
      </c>
      <c r="BH77" s="248" t="str">
        <f t="shared" si="69"/>
        <v>-</v>
      </c>
      <c r="BI77" s="248" t="str">
        <f t="shared" si="69"/>
        <v>-</v>
      </c>
      <c r="BJ77" s="248" t="str">
        <f t="shared" si="69"/>
        <v>-</v>
      </c>
      <c r="BK77" s="248" t="str">
        <f t="shared" si="69"/>
        <v>-</v>
      </c>
      <c r="BL77" s="248" t="str">
        <f t="shared" si="69"/>
        <v>-</v>
      </c>
      <c r="BM77" s="248" t="str">
        <f t="shared" si="69"/>
        <v>-</v>
      </c>
    </row>
    <row r="78" spans="2:71" ht="15" customHeight="1"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7"/>
      <c r="AP78" s="37"/>
      <c r="AQ78" s="37"/>
      <c r="AR78" s="37"/>
      <c r="AS78" s="37"/>
      <c r="AT78" s="37"/>
      <c r="AU78" s="37"/>
      <c r="AV78" s="37"/>
      <c r="AW78" s="37"/>
      <c r="AX78" s="37"/>
      <c r="AY78" s="37"/>
      <c r="AZ78" s="37"/>
      <c r="BA78" s="37"/>
      <c r="BB78" s="37"/>
      <c r="BC78" s="37"/>
      <c r="BD78" s="37"/>
      <c r="BE78" s="37"/>
      <c r="BF78" s="37"/>
      <c r="BG78" s="37"/>
      <c r="BH78" s="37"/>
      <c r="BI78" s="37"/>
      <c r="BJ78" s="37"/>
      <c r="BK78" s="37"/>
      <c r="BL78" s="37"/>
      <c r="BM78" s="37"/>
    </row>
    <row r="79" spans="2:71" ht="15" customHeight="1">
      <c r="B79" s="118" t="s">
        <v>143</v>
      </c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  <c r="AF79" s="37"/>
      <c r="AG79" s="37"/>
      <c r="AH79" s="37"/>
      <c r="AI79" s="37"/>
      <c r="AJ79" s="37"/>
      <c r="AK79" s="37"/>
      <c r="AL79" s="37"/>
      <c r="AM79" s="37"/>
      <c r="AN79" s="37"/>
      <c r="AO79" s="37"/>
      <c r="AP79" s="37"/>
      <c r="AQ79" s="37"/>
      <c r="AR79" s="37"/>
      <c r="AS79" s="37"/>
      <c r="AT79" s="37"/>
      <c r="AU79" s="37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7"/>
      <c r="BM79" s="37"/>
    </row>
    <row r="80" spans="2:71" ht="15" customHeight="1">
      <c r="B80" s="112" t="s">
        <v>70</v>
      </c>
      <c r="C80" s="113" t="str">
        <f>Единица_измерения</f>
        <v>тыс. руб.</v>
      </c>
      <c r="D80" s="114"/>
      <c r="E80" s="114">
        <f>'Годовая отчетность'!E116</f>
        <v>0</v>
      </c>
      <c r="F80" s="114">
        <f>'Годовая отчетность'!F116</f>
        <v>0</v>
      </c>
      <c r="G80" s="114">
        <f>'Годовая отчетность'!G116</f>
        <v>0</v>
      </c>
      <c r="H80" s="114">
        <f>'Годовая отчетность'!H116</f>
        <v>0</v>
      </c>
      <c r="I80" s="114">
        <f>'Годовая отчетность'!I116</f>
        <v>0</v>
      </c>
      <c r="J80" s="114">
        <f>'Годовая отчетность'!J116</f>
        <v>0</v>
      </c>
      <c r="K80" s="114">
        <f>'Годовая отчетность'!K116</f>
        <v>0</v>
      </c>
      <c r="L80" s="114">
        <f>'Годовая отчетность'!L116</f>
        <v>0</v>
      </c>
      <c r="M80" s="114">
        <f>'Годовая отчетность'!M116</f>
        <v>0</v>
      </c>
      <c r="N80" s="114">
        <f>'Годовая отчетность'!N116</f>
        <v>0</v>
      </c>
      <c r="O80" s="114">
        <f>'Годовая отчетность'!O116</f>
        <v>0</v>
      </c>
      <c r="P80" s="114">
        <f>'Годовая отчетность'!P116</f>
        <v>0</v>
      </c>
      <c r="Q80" s="114">
        <f>'Годовая отчетность'!Q116</f>
        <v>0</v>
      </c>
      <c r="R80" s="114">
        <f>'Годовая отчетность'!R116</f>
        <v>0</v>
      </c>
      <c r="S80" s="114">
        <f>'Годовая отчетность'!S116</f>
        <v>0</v>
      </c>
      <c r="T80" s="114">
        <f>'Годовая отчетность'!T116</f>
        <v>0</v>
      </c>
      <c r="U80" s="114">
        <f>'Годовая отчетность'!U117</f>
        <v>0</v>
      </c>
      <c r="V80" s="114">
        <f>'Годовая отчетность'!V117</f>
        <v>0</v>
      </c>
      <c r="W80" s="114">
        <f>'Годовая отчетность'!W117</f>
        <v>0</v>
      </c>
      <c r="X80" s="114">
        <f>'Годовая отчетность'!X117</f>
        <v>0</v>
      </c>
      <c r="Y80" s="114">
        <f>'Годовая отчетность'!Y117</f>
        <v>0</v>
      </c>
      <c r="Z80" s="114">
        <f>'Годовая отчетность'!Z117</f>
        <v>0</v>
      </c>
      <c r="AA80" s="114">
        <f>'Годовая отчетность'!AA117</f>
        <v>0</v>
      </c>
      <c r="AB80" s="114">
        <f>'Годовая отчетность'!AB117</f>
        <v>0</v>
      </c>
      <c r="AC80" s="114">
        <f>'Годовая отчетность'!AC117</f>
        <v>0</v>
      </c>
      <c r="AD80" s="114">
        <f>'Годовая отчетность'!AD117</f>
        <v>0</v>
      </c>
      <c r="AE80" s="114">
        <f>'Годовая отчетность'!AE117</f>
        <v>0</v>
      </c>
      <c r="AF80" s="114">
        <f>'Годовая отчетность'!AF117</f>
        <v>0</v>
      </c>
      <c r="AG80" s="114">
        <f>'Годовая отчетность'!AG117</f>
        <v>0</v>
      </c>
      <c r="AH80" s="114">
        <f>'Годовая отчетность'!AH117</f>
        <v>0</v>
      </c>
      <c r="AI80" s="114">
        <f>'Годовая отчетность'!AI117</f>
        <v>0</v>
      </c>
      <c r="AJ80" s="114">
        <f>'Годовая отчетность'!AJ117</f>
        <v>0</v>
      </c>
      <c r="AK80" s="114">
        <f>'Годовая отчетность'!AK117</f>
        <v>0</v>
      </c>
      <c r="AL80" s="114">
        <f>'Годовая отчетность'!AL117</f>
        <v>0</v>
      </c>
      <c r="AM80" s="114">
        <f>'Годовая отчетность'!AM117</f>
        <v>0</v>
      </c>
      <c r="AN80" s="114">
        <f>'Годовая отчетность'!AN117</f>
        <v>0</v>
      </c>
      <c r="AO80" s="114">
        <f>'Годовая отчетность'!AO117</f>
        <v>0</v>
      </c>
      <c r="AP80" s="114">
        <f>'Годовая отчетность'!AP117</f>
        <v>0</v>
      </c>
      <c r="AQ80" s="114">
        <f>'Годовая отчетность'!AQ117</f>
        <v>0</v>
      </c>
      <c r="AR80" s="114">
        <f>'Годовая отчетность'!AR117</f>
        <v>0</v>
      </c>
      <c r="AS80" s="114">
        <f>'Годовая отчетность'!AS117</f>
        <v>0</v>
      </c>
      <c r="AT80" s="114">
        <f>'Годовая отчетность'!AT117</f>
        <v>0</v>
      </c>
      <c r="AU80" s="114">
        <f>'Годовая отчетность'!AU117</f>
        <v>0</v>
      </c>
      <c r="AV80" s="114">
        <f>'Годовая отчетность'!AV117</f>
        <v>0</v>
      </c>
      <c r="AW80" s="114">
        <f>'Годовая отчетность'!AW117</f>
        <v>0</v>
      </c>
      <c r="AX80" s="114">
        <f>'Годовая отчетность'!AX117</f>
        <v>0</v>
      </c>
      <c r="AY80" s="114">
        <f>'Годовая отчетность'!AY117</f>
        <v>0</v>
      </c>
      <c r="AZ80" s="114">
        <f>'Годовая отчетность'!AZ117</f>
        <v>0</v>
      </c>
      <c r="BA80" s="114">
        <f>'Годовая отчетность'!BA117</f>
        <v>0</v>
      </c>
      <c r="BB80" s="114">
        <f>'Годовая отчетность'!BB117</f>
        <v>0</v>
      </c>
      <c r="BC80" s="114">
        <f>'Годовая отчетность'!BC117</f>
        <v>0</v>
      </c>
      <c r="BD80" s="114">
        <f>'Годовая отчетность'!BD117</f>
        <v>0</v>
      </c>
      <c r="BE80" s="114">
        <f>'Годовая отчетность'!BE117</f>
        <v>0</v>
      </c>
      <c r="BF80" s="114">
        <f>'Годовая отчетность'!BF117</f>
        <v>0</v>
      </c>
      <c r="BG80" s="114">
        <f>'Годовая отчетность'!BG117</f>
        <v>0</v>
      </c>
      <c r="BH80" s="114">
        <f>'Годовая отчетность'!BH117</f>
        <v>0</v>
      </c>
      <c r="BI80" s="114">
        <f>'Годовая отчетность'!BI117</f>
        <v>0</v>
      </c>
      <c r="BJ80" s="114">
        <f>'Годовая отчетность'!BJ117</f>
        <v>0</v>
      </c>
      <c r="BK80" s="114">
        <f>'Годовая отчетность'!BK117</f>
        <v>0</v>
      </c>
      <c r="BL80" s="114">
        <f>'Годовая отчетность'!BL117</f>
        <v>0</v>
      </c>
      <c r="BM80" s="114">
        <f>'Годовая отчетность'!BM117</f>
        <v>0</v>
      </c>
    </row>
    <row r="81" spans="2:65" ht="15" customHeight="1">
      <c r="B81" s="112" t="s">
        <v>144</v>
      </c>
      <c r="C81" s="113" t="str">
        <f>Единица_измерения</f>
        <v>тыс. руб.</v>
      </c>
      <c r="D81" s="114"/>
      <c r="E81" s="114">
        <f>'Годовая отчетность'!E142</f>
        <v>0</v>
      </c>
      <c r="F81" s="114">
        <f>'Годовая отчетность'!F142</f>
        <v>0</v>
      </c>
      <c r="G81" s="114">
        <f>'Годовая отчетность'!G142</f>
        <v>0</v>
      </c>
      <c r="H81" s="114">
        <f>'Годовая отчетность'!H142</f>
        <v>0</v>
      </c>
      <c r="I81" s="114">
        <f>'Годовая отчетность'!I142</f>
        <v>0</v>
      </c>
      <c r="J81" s="114">
        <f>'Годовая отчетность'!J142</f>
        <v>0</v>
      </c>
      <c r="K81" s="114">
        <f>'Годовая отчетность'!K142</f>
        <v>0</v>
      </c>
      <c r="L81" s="114">
        <f>'Годовая отчетность'!L142</f>
        <v>0</v>
      </c>
      <c r="M81" s="114">
        <f>'Годовая отчетность'!M142</f>
        <v>0</v>
      </c>
      <c r="N81" s="114">
        <f>'Годовая отчетность'!N142</f>
        <v>0</v>
      </c>
      <c r="O81" s="114">
        <f>'Годовая отчетность'!O142</f>
        <v>0</v>
      </c>
      <c r="P81" s="114">
        <f>'Годовая отчетность'!P142</f>
        <v>0</v>
      </c>
      <c r="Q81" s="114">
        <f>'Годовая отчетность'!Q142</f>
        <v>0</v>
      </c>
      <c r="R81" s="114">
        <f>'Годовая отчетность'!R142</f>
        <v>0</v>
      </c>
      <c r="S81" s="114">
        <f>'Годовая отчетность'!S142</f>
        <v>0</v>
      </c>
      <c r="T81" s="114">
        <f>'Годовая отчетность'!T142</f>
        <v>0</v>
      </c>
      <c r="U81" s="114">
        <f>'Годовая отчетность'!U143</f>
        <v>0</v>
      </c>
      <c r="V81" s="114">
        <f>'Годовая отчетность'!V143</f>
        <v>0</v>
      </c>
      <c r="W81" s="114">
        <f>'Годовая отчетность'!W143</f>
        <v>0</v>
      </c>
      <c r="X81" s="114">
        <f>'Годовая отчетность'!X143</f>
        <v>0</v>
      </c>
      <c r="Y81" s="114">
        <f>'Годовая отчетность'!Y143</f>
        <v>0</v>
      </c>
      <c r="Z81" s="114">
        <f>'Годовая отчетность'!Z143</f>
        <v>0</v>
      </c>
      <c r="AA81" s="114">
        <f>'Годовая отчетность'!AA143</f>
        <v>0</v>
      </c>
      <c r="AB81" s="114">
        <f>'Годовая отчетность'!AB143</f>
        <v>0</v>
      </c>
      <c r="AC81" s="114">
        <f>'Годовая отчетность'!AC143</f>
        <v>0</v>
      </c>
      <c r="AD81" s="114">
        <f>'Годовая отчетность'!AD143</f>
        <v>0</v>
      </c>
      <c r="AE81" s="114">
        <f>'Годовая отчетность'!AE143</f>
        <v>0</v>
      </c>
      <c r="AF81" s="114">
        <f>'Годовая отчетность'!AF143</f>
        <v>0</v>
      </c>
      <c r="AG81" s="114">
        <f>'Годовая отчетность'!AG143</f>
        <v>0</v>
      </c>
      <c r="AH81" s="114">
        <f>'Годовая отчетность'!AH143</f>
        <v>0</v>
      </c>
      <c r="AI81" s="114">
        <f>'Годовая отчетность'!AI143</f>
        <v>0</v>
      </c>
      <c r="AJ81" s="114">
        <f>'Годовая отчетность'!AJ143</f>
        <v>0</v>
      </c>
      <c r="AK81" s="114">
        <f>'Годовая отчетность'!AK143</f>
        <v>0</v>
      </c>
      <c r="AL81" s="114">
        <f>'Годовая отчетность'!AL143</f>
        <v>0</v>
      </c>
      <c r="AM81" s="114">
        <f>'Годовая отчетность'!AM143</f>
        <v>0</v>
      </c>
      <c r="AN81" s="114">
        <f>'Годовая отчетность'!AN143</f>
        <v>0</v>
      </c>
      <c r="AO81" s="114">
        <f>'Годовая отчетность'!AO143</f>
        <v>0</v>
      </c>
      <c r="AP81" s="114">
        <f>'Годовая отчетность'!AP143</f>
        <v>0</v>
      </c>
      <c r="AQ81" s="114">
        <f>'Годовая отчетность'!AQ143</f>
        <v>0</v>
      </c>
      <c r="AR81" s="114">
        <f>'Годовая отчетность'!AR143</f>
        <v>0</v>
      </c>
      <c r="AS81" s="114">
        <f>'Годовая отчетность'!AS143</f>
        <v>0</v>
      </c>
      <c r="AT81" s="114">
        <f>'Годовая отчетность'!AT143</f>
        <v>0</v>
      </c>
      <c r="AU81" s="114">
        <f>'Годовая отчетность'!AU143</f>
        <v>0</v>
      </c>
      <c r="AV81" s="114">
        <f>'Годовая отчетность'!AV143</f>
        <v>0</v>
      </c>
      <c r="AW81" s="114">
        <f>'Годовая отчетность'!AW143</f>
        <v>0</v>
      </c>
      <c r="AX81" s="114">
        <f>'Годовая отчетность'!AX143</f>
        <v>0</v>
      </c>
      <c r="AY81" s="114">
        <f>'Годовая отчетность'!AY143</f>
        <v>0</v>
      </c>
      <c r="AZ81" s="114">
        <f>'Годовая отчетность'!AZ143</f>
        <v>0</v>
      </c>
      <c r="BA81" s="114">
        <f>'Годовая отчетность'!BA143</f>
        <v>0</v>
      </c>
      <c r="BB81" s="114">
        <f>'Годовая отчетность'!BB143</f>
        <v>0</v>
      </c>
      <c r="BC81" s="114">
        <f>'Годовая отчетность'!BC143</f>
        <v>0</v>
      </c>
      <c r="BD81" s="114">
        <f>'Годовая отчетность'!BD143</f>
        <v>0</v>
      </c>
      <c r="BE81" s="114">
        <f>'Годовая отчетность'!BE143</f>
        <v>0</v>
      </c>
      <c r="BF81" s="114">
        <f>'Годовая отчетность'!BF143</f>
        <v>0</v>
      </c>
      <c r="BG81" s="114">
        <f>'Годовая отчетность'!BG143</f>
        <v>0</v>
      </c>
      <c r="BH81" s="114">
        <f>'Годовая отчетность'!BH143</f>
        <v>0</v>
      </c>
      <c r="BI81" s="114">
        <f>'Годовая отчетность'!BI143</f>
        <v>0</v>
      </c>
      <c r="BJ81" s="114">
        <f>'Годовая отчетность'!BJ143</f>
        <v>0</v>
      </c>
      <c r="BK81" s="114">
        <f>'Годовая отчетность'!BK143</f>
        <v>0</v>
      </c>
      <c r="BL81" s="114">
        <f>'Годовая отчетность'!BL143</f>
        <v>0</v>
      </c>
      <c r="BM81" s="114">
        <f>'Годовая отчетность'!BM143</f>
        <v>0</v>
      </c>
    </row>
    <row r="82" spans="2:65" ht="15" customHeight="1">
      <c r="B82" s="259" t="s">
        <v>143</v>
      </c>
      <c r="C82" s="260" t="s">
        <v>146</v>
      </c>
      <c r="D82" s="248"/>
      <c r="E82" s="248" t="str">
        <f t="shared" ref="E82:AG82" si="70">IFERROR(E80/E81,"-")</f>
        <v>-</v>
      </c>
      <c r="F82" s="248" t="str">
        <f t="shared" si="70"/>
        <v>-</v>
      </c>
      <c r="G82" s="248" t="str">
        <f t="shared" si="70"/>
        <v>-</v>
      </c>
      <c r="H82" s="248" t="str">
        <f t="shared" si="70"/>
        <v>-</v>
      </c>
      <c r="I82" s="248" t="str">
        <f t="shared" si="70"/>
        <v>-</v>
      </c>
      <c r="J82" s="248" t="str">
        <f t="shared" si="70"/>
        <v>-</v>
      </c>
      <c r="K82" s="248" t="str">
        <f t="shared" si="70"/>
        <v>-</v>
      </c>
      <c r="L82" s="248" t="str">
        <f t="shared" si="70"/>
        <v>-</v>
      </c>
      <c r="M82" s="248" t="str">
        <f t="shared" si="70"/>
        <v>-</v>
      </c>
      <c r="N82" s="248" t="str">
        <f t="shared" si="70"/>
        <v>-</v>
      </c>
      <c r="O82" s="248" t="str">
        <f t="shared" si="70"/>
        <v>-</v>
      </c>
      <c r="P82" s="248" t="str">
        <f t="shared" si="70"/>
        <v>-</v>
      </c>
      <c r="Q82" s="248" t="str">
        <f t="shared" si="70"/>
        <v>-</v>
      </c>
      <c r="R82" s="248" t="str">
        <f t="shared" si="70"/>
        <v>-</v>
      </c>
      <c r="S82" s="248" t="str">
        <f t="shared" si="70"/>
        <v>-</v>
      </c>
      <c r="T82" s="248" t="str">
        <f t="shared" si="70"/>
        <v>-</v>
      </c>
      <c r="U82" s="248" t="str">
        <f t="shared" si="70"/>
        <v>-</v>
      </c>
      <c r="V82" s="248" t="str">
        <f t="shared" si="70"/>
        <v>-</v>
      </c>
      <c r="W82" s="248" t="str">
        <f t="shared" si="70"/>
        <v>-</v>
      </c>
      <c r="X82" s="248" t="str">
        <f t="shared" si="70"/>
        <v>-</v>
      </c>
      <c r="Y82" s="248" t="str">
        <f t="shared" si="70"/>
        <v>-</v>
      </c>
      <c r="Z82" s="248" t="str">
        <f t="shared" si="70"/>
        <v>-</v>
      </c>
      <c r="AA82" s="248" t="str">
        <f t="shared" si="70"/>
        <v>-</v>
      </c>
      <c r="AB82" s="248" t="str">
        <f t="shared" si="70"/>
        <v>-</v>
      </c>
      <c r="AC82" s="248" t="str">
        <f t="shared" si="70"/>
        <v>-</v>
      </c>
      <c r="AD82" s="248" t="str">
        <f t="shared" si="70"/>
        <v>-</v>
      </c>
      <c r="AE82" s="248" t="str">
        <f t="shared" si="70"/>
        <v>-</v>
      </c>
      <c r="AF82" s="248" t="str">
        <f t="shared" si="70"/>
        <v>-</v>
      </c>
      <c r="AG82" s="248" t="str">
        <f t="shared" si="70"/>
        <v>-</v>
      </c>
      <c r="AH82" s="248" t="str">
        <f t="shared" ref="AH82:BM82" si="71">IFERROR(AH80/AH81,"-")</f>
        <v>-</v>
      </c>
      <c r="AI82" s="248" t="str">
        <f t="shared" si="71"/>
        <v>-</v>
      </c>
      <c r="AJ82" s="248" t="str">
        <f t="shared" si="71"/>
        <v>-</v>
      </c>
      <c r="AK82" s="248" t="str">
        <f t="shared" si="71"/>
        <v>-</v>
      </c>
      <c r="AL82" s="248" t="str">
        <f t="shared" si="71"/>
        <v>-</v>
      </c>
      <c r="AM82" s="248" t="str">
        <f t="shared" si="71"/>
        <v>-</v>
      </c>
      <c r="AN82" s="248" t="str">
        <f t="shared" si="71"/>
        <v>-</v>
      </c>
      <c r="AO82" s="248" t="str">
        <f t="shared" si="71"/>
        <v>-</v>
      </c>
      <c r="AP82" s="248" t="str">
        <f t="shared" si="71"/>
        <v>-</v>
      </c>
      <c r="AQ82" s="248" t="str">
        <f t="shared" si="71"/>
        <v>-</v>
      </c>
      <c r="AR82" s="248" t="str">
        <f t="shared" si="71"/>
        <v>-</v>
      </c>
      <c r="AS82" s="248" t="str">
        <f t="shared" si="71"/>
        <v>-</v>
      </c>
      <c r="AT82" s="248" t="str">
        <f t="shared" si="71"/>
        <v>-</v>
      </c>
      <c r="AU82" s="248" t="str">
        <f t="shared" si="71"/>
        <v>-</v>
      </c>
      <c r="AV82" s="248" t="str">
        <f t="shared" si="71"/>
        <v>-</v>
      </c>
      <c r="AW82" s="248" t="str">
        <f t="shared" si="71"/>
        <v>-</v>
      </c>
      <c r="AX82" s="248" t="str">
        <f t="shared" si="71"/>
        <v>-</v>
      </c>
      <c r="AY82" s="248" t="str">
        <f t="shared" si="71"/>
        <v>-</v>
      </c>
      <c r="AZ82" s="248" t="str">
        <f t="shared" si="71"/>
        <v>-</v>
      </c>
      <c r="BA82" s="248" t="str">
        <f t="shared" si="71"/>
        <v>-</v>
      </c>
      <c r="BB82" s="248" t="str">
        <f t="shared" si="71"/>
        <v>-</v>
      </c>
      <c r="BC82" s="248" t="str">
        <f t="shared" si="71"/>
        <v>-</v>
      </c>
      <c r="BD82" s="248" t="str">
        <f t="shared" si="71"/>
        <v>-</v>
      </c>
      <c r="BE82" s="248" t="str">
        <f t="shared" si="71"/>
        <v>-</v>
      </c>
      <c r="BF82" s="248" t="str">
        <f t="shared" si="71"/>
        <v>-</v>
      </c>
      <c r="BG82" s="248" t="str">
        <f t="shared" si="71"/>
        <v>-</v>
      </c>
      <c r="BH82" s="248" t="str">
        <f t="shared" si="71"/>
        <v>-</v>
      </c>
      <c r="BI82" s="248" t="str">
        <f t="shared" si="71"/>
        <v>-</v>
      </c>
      <c r="BJ82" s="248" t="str">
        <f t="shared" si="71"/>
        <v>-</v>
      </c>
      <c r="BK82" s="248" t="str">
        <f t="shared" si="71"/>
        <v>-</v>
      </c>
      <c r="BL82" s="248" t="str">
        <f t="shared" si="71"/>
        <v>-</v>
      </c>
      <c r="BM82" s="248" t="str">
        <f t="shared" si="71"/>
        <v>-</v>
      </c>
    </row>
    <row r="83" spans="2:65" ht="15" customHeight="1"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7"/>
      <c r="AJ83" s="37"/>
      <c r="AK83" s="37"/>
      <c r="AL83" s="37"/>
      <c r="AM83" s="37"/>
      <c r="AN83" s="37"/>
      <c r="AO83" s="37"/>
      <c r="AP83" s="37"/>
      <c r="AQ83" s="37"/>
      <c r="AR83" s="37"/>
      <c r="AS83" s="37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  <c r="BM83" s="37"/>
    </row>
    <row r="84" spans="2:65" ht="21">
      <c r="B84" s="40" t="s">
        <v>563</v>
      </c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  <c r="AL84" s="37"/>
      <c r="AM84" s="37"/>
      <c r="AN84" s="37"/>
      <c r="AO84" s="37"/>
      <c r="AP84" s="37"/>
      <c r="AQ84" s="37"/>
      <c r="AR84" s="37"/>
      <c r="AS84" s="37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  <c r="BM84" s="37"/>
    </row>
    <row r="85" spans="2:65" ht="15" customHeight="1">
      <c r="B85" s="112" t="str">
        <f>"Заём "&amp;IF(ISNUMBER(SEARCH("РФРП",Программа)),"ФРП и РФРП","ФРП")&amp;" (основной долг)"</f>
        <v>Заём ФРП (основной долг)</v>
      </c>
      <c r="C85" s="113" t="str">
        <f t="shared" ref="C85:C91" si="72">Единица_измерения</f>
        <v>тыс. руб.</v>
      </c>
      <c r="D85" s="114"/>
      <c r="E85" s="114">
        <f>-SUMIF('Квартальная отчетность'!$E$10:$BM$10,YEAR(E$8),Финансирование!$E$18:$BM$18)</f>
        <v>0</v>
      </c>
      <c r="F85" s="114">
        <f>-SUMIF('Квартальная отчетность'!$E$10:$BM$10,YEAR(F$8),Финансирование!$E$18:$BM$18)</f>
        <v>0</v>
      </c>
      <c r="G85" s="114">
        <f>-SUMIF('Квартальная отчетность'!$E$10:$BM$10,YEAR(G$8),Финансирование!$E$18:$BM$18)</f>
        <v>0</v>
      </c>
      <c r="H85" s="114">
        <f>-SUMIF('Квартальная отчетность'!$E$10:$BM$10,YEAR(H$8),Финансирование!$E$18:$BM$18)</f>
        <v>0</v>
      </c>
      <c r="I85" s="114">
        <f>-SUMIF('Квартальная отчетность'!$E$10:$BM$10,YEAR(I$8),Финансирование!$E$18:$BM$18)</f>
        <v>50000</v>
      </c>
      <c r="J85" s="114">
        <f>-SUMIF('Квартальная отчетность'!$E$10:$BM$10,YEAR(J$8),Финансирование!$E$18:$BM$18)</f>
        <v>50000</v>
      </c>
      <c r="K85" s="114">
        <f>-SUMIF('Квартальная отчетность'!$E$10:$BM$10,YEAR(K$8),Финансирование!$E$18:$BM$18)</f>
        <v>0</v>
      </c>
      <c r="L85" s="114">
        <f>-SUMIF('Квартальная отчетность'!$E$10:$BM$10,YEAR(L$8),Финансирование!$E$18:$BM$18)</f>
        <v>0</v>
      </c>
      <c r="M85" s="114">
        <f>-SUMIF('Квартальная отчетность'!$E$10:$BM$10,YEAR(M$8),Финансирование!$E$18:$BM$18)</f>
        <v>0</v>
      </c>
      <c r="N85" s="114">
        <f>-SUMIF('Квартальная отчетность'!$E$10:$BM$10,YEAR(N$8),Финансирование!$E$18:$BM$18)</f>
        <v>0</v>
      </c>
      <c r="O85" s="114">
        <f>-SUMIF('Квартальная отчетность'!$E$10:$BM$10,YEAR(O$8),Финансирование!$E$18:$BM$18)</f>
        <v>0</v>
      </c>
      <c r="P85" s="114">
        <f>-SUMIF('Квартальная отчетность'!$E$10:$BM$10,YEAR(P$8),Финансирование!$E$18:$BM$18)</f>
        <v>0</v>
      </c>
      <c r="Q85" s="114">
        <f>-SUMIF('Квартальная отчетность'!$E$10:$BM$10,YEAR(Q$8),Финансирование!$E$18:$BM$18)</f>
        <v>0</v>
      </c>
      <c r="R85" s="114">
        <f>-SUMIF('Квартальная отчетность'!$E$10:$BM$10,YEAR(R$8),Финансирование!$E$18:$BM$18)</f>
        <v>0</v>
      </c>
      <c r="S85" s="114">
        <f>-SUMIF('Квартальная отчетность'!$E$10:$BM$10,YEAR(S$8),Финансирование!$E$18:$BM$18)</f>
        <v>0</v>
      </c>
      <c r="T85" s="114">
        <f>-SUMIF('Квартальная отчетность'!$E$10:$BM$10,YEAR(T$8),Финансирование!$E$18:$BM$18)</f>
        <v>0</v>
      </c>
      <c r="U85" s="114">
        <f>-SUMIF('Квартальная отчетность'!$E$10:$BM$10,YEAR(U$8),Финансирование!$E$18:$BM$18)</f>
        <v>0</v>
      </c>
      <c r="V85" s="114">
        <f>-SUMIF('Квартальная отчетность'!$E$10:$BM$10,YEAR(V$8),Финансирование!$E$18:$BM$18)</f>
        <v>0</v>
      </c>
      <c r="W85" s="114">
        <f>-SUMIF('Квартальная отчетность'!$E$10:$BM$10,YEAR(W$8),Финансирование!$E$18:$BM$18)</f>
        <v>0</v>
      </c>
      <c r="X85" s="114">
        <f>-SUMIF('Квартальная отчетность'!$E$10:$BM$10,YEAR(X$8),Финансирование!$E$18:$BM$18)</f>
        <v>0</v>
      </c>
      <c r="Y85" s="114">
        <f>-SUMIF('Квартальная отчетность'!$E$10:$BM$10,YEAR(Y$8),Финансирование!$E$18:$BM$18)</f>
        <v>0</v>
      </c>
      <c r="Z85" s="114">
        <f>-SUMIF('Квартальная отчетность'!$E$10:$BM$10,YEAR(Z$8),Финансирование!$E$18:$BM$18)</f>
        <v>0</v>
      </c>
      <c r="AA85" s="114">
        <f>-SUMIF('Квартальная отчетность'!$E$10:$BM$10,YEAR(AA$8),Финансирование!$E$18:$BM$18)</f>
        <v>0</v>
      </c>
      <c r="AB85" s="114">
        <f>-SUMIF('Квартальная отчетность'!$E$10:$BM$10,YEAR(AB$8),Финансирование!$E$18:$BM$18)</f>
        <v>0</v>
      </c>
      <c r="AC85" s="114">
        <f>-SUMIF('Квартальная отчетность'!$E$10:$BM$10,YEAR(AC$8),Финансирование!$E$18:$BM$18)</f>
        <v>0</v>
      </c>
      <c r="AD85" s="114">
        <f>-SUMIF('Квартальная отчетность'!$E$10:$BM$10,YEAR(AD$8),Финансирование!$E$18:$BM$18)</f>
        <v>0</v>
      </c>
      <c r="AE85" s="114">
        <f>-SUMIF('Квартальная отчетность'!$E$10:$BM$10,YEAR(AE$8),Финансирование!$E$18:$BM$18)</f>
        <v>0</v>
      </c>
      <c r="AF85" s="114">
        <f>-SUMIF('Квартальная отчетность'!$E$10:$BM$10,YEAR(AF$8),Финансирование!$E$18:$BM$18)</f>
        <v>0</v>
      </c>
      <c r="AG85" s="114">
        <f>-SUMIF('Квартальная отчетность'!$E$10:$BM$10,YEAR(AG$8),Финансирование!$E$18:$BM$18)</f>
        <v>0</v>
      </c>
      <c r="AH85" s="114">
        <f>-SUMIF('Квартальная отчетность'!$E$10:$BM$10,YEAR(AH$8),Финансирование!$E$18:$BM$18)</f>
        <v>0</v>
      </c>
      <c r="AI85" s="114">
        <f>-SUMIF('Квартальная отчетность'!$E$10:$BM$10,YEAR(AI$8),Финансирование!$E$18:$BM$18)</f>
        <v>0</v>
      </c>
      <c r="AJ85" s="114">
        <f>-SUMIF('Квартальная отчетность'!$E$10:$BM$10,YEAR(AJ$8),Финансирование!$E$18:$BM$18)</f>
        <v>0</v>
      </c>
      <c r="AK85" s="114">
        <f>-SUMIF('Квартальная отчетность'!$E$10:$BM$10,YEAR(AK$8),Финансирование!$E$18:$BM$18)</f>
        <v>0</v>
      </c>
      <c r="AL85" s="114">
        <f>-SUMIF('Квартальная отчетность'!$E$10:$BM$10,YEAR(AL$8),Финансирование!$E$18:$BM$18)</f>
        <v>0</v>
      </c>
      <c r="AM85" s="114">
        <f>-SUMIF('Квартальная отчетность'!$E$10:$BM$10,YEAR(AM$8),Финансирование!$E$18:$BM$18)</f>
        <v>0</v>
      </c>
      <c r="AN85" s="114">
        <f>-SUMIF('Квартальная отчетность'!$E$10:$BM$10,YEAR(AN$8),Финансирование!$E$18:$BM$18)</f>
        <v>0</v>
      </c>
      <c r="AO85" s="114">
        <f>-SUMIF('Квартальная отчетность'!$E$10:$BM$10,YEAR(AO$8),Финансирование!$E$18:$BM$18)</f>
        <v>0</v>
      </c>
      <c r="AP85" s="114">
        <f>-SUMIF('Квартальная отчетность'!$E$10:$BM$10,YEAR(AP$8),Финансирование!$E$18:$BM$18)</f>
        <v>0</v>
      </c>
      <c r="AQ85" s="114">
        <f>-SUMIF('Квартальная отчетность'!$E$10:$BM$10,YEAR(AQ$8),Финансирование!$E$18:$BM$18)</f>
        <v>0</v>
      </c>
      <c r="AR85" s="114">
        <f>-SUMIF('Квартальная отчетность'!$E$10:$BM$10,YEAR(AR$8),Финансирование!$E$18:$BM$18)</f>
        <v>0</v>
      </c>
      <c r="AS85" s="114">
        <f>-SUMIF('Квартальная отчетность'!$E$10:$BM$10,YEAR(AS$8),Финансирование!$E$18:$BM$18)</f>
        <v>0</v>
      </c>
      <c r="AT85" s="114">
        <f>-SUMIF('Квартальная отчетность'!$E$10:$BM$10,YEAR(AT$8),Финансирование!$E$18:$BM$18)</f>
        <v>0</v>
      </c>
      <c r="AU85" s="114">
        <f>-SUMIF('Квартальная отчетность'!$E$10:$BM$10,YEAR(AU$8),Финансирование!$E$18:$BM$18)</f>
        <v>0</v>
      </c>
      <c r="AV85" s="114">
        <f>-SUMIF('Квартальная отчетность'!$E$10:$BM$10,YEAR(AV$8),Финансирование!$E$18:$BM$18)</f>
        <v>0</v>
      </c>
      <c r="AW85" s="114">
        <f>-SUMIF('Квартальная отчетность'!$E$10:$BM$10,YEAR(AW$8),Финансирование!$E$18:$BM$18)</f>
        <v>0</v>
      </c>
      <c r="AX85" s="114">
        <f>-SUMIF('Квартальная отчетность'!$E$10:$BM$10,YEAR(AX$8),Финансирование!$E$18:$BM$18)</f>
        <v>0</v>
      </c>
      <c r="AY85" s="114">
        <f>-SUMIF('Квартальная отчетность'!$E$10:$BM$10,YEAR(AY$8),Финансирование!$E$18:$BM$18)</f>
        <v>0</v>
      </c>
      <c r="AZ85" s="114">
        <f>-SUMIF('Квартальная отчетность'!$E$10:$BM$10,YEAR(AZ$8),Финансирование!$E$18:$BM$18)</f>
        <v>0</v>
      </c>
      <c r="BA85" s="114">
        <f>-SUMIF('Квартальная отчетность'!$E$10:$BM$10,YEAR(BA$8),Финансирование!$E$18:$BM$18)</f>
        <v>0</v>
      </c>
      <c r="BB85" s="114">
        <f>-SUMIF('Квартальная отчетность'!$E$10:$BM$10,YEAR(BB$8),Финансирование!$E$18:$BM$18)</f>
        <v>0</v>
      </c>
      <c r="BC85" s="114">
        <f>-SUMIF('Квартальная отчетность'!$E$10:$BM$10,YEAR(BC$8),Финансирование!$E$18:$BM$18)</f>
        <v>0</v>
      </c>
      <c r="BD85" s="114">
        <f>-SUMIF('Квартальная отчетность'!$E$10:$BM$10,YEAR(BD$8),Финансирование!$E$18:$BM$18)</f>
        <v>0</v>
      </c>
      <c r="BE85" s="114">
        <f>-SUMIF('Квартальная отчетность'!$E$10:$BM$10,YEAR(BE$8),Финансирование!$E$18:$BM$18)</f>
        <v>0</v>
      </c>
      <c r="BF85" s="114">
        <f>-SUMIF('Квартальная отчетность'!$E$10:$BM$10,YEAR(BF$8),Финансирование!$E$18:$BM$18)</f>
        <v>0</v>
      </c>
      <c r="BG85" s="114">
        <f>-SUMIF('Квартальная отчетность'!$E$10:$BM$10,YEAR(BG$8),Финансирование!$E$18:$BM$18)</f>
        <v>0</v>
      </c>
      <c r="BH85" s="114">
        <f>-SUMIF('Квартальная отчетность'!$E$10:$BM$10,YEAR(BH$8),Финансирование!$E$18:$BM$18)</f>
        <v>0</v>
      </c>
      <c r="BI85" s="114">
        <f>-SUMIF('Квартальная отчетность'!$E$10:$BM$10,YEAR(BI$8),Финансирование!$E$18:$BM$18)</f>
        <v>0</v>
      </c>
      <c r="BJ85" s="114">
        <f>-SUMIF('Квартальная отчетность'!$E$10:$BM$10,YEAR(BJ$8),Финансирование!$E$18:$BM$18)</f>
        <v>0</v>
      </c>
      <c r="BK85" s="114">
        <f>-SUMIF('Квартальная отчетность'!$E$10:$BM$10,YEAR(BK$8),Финансирование!$E$18:$BM$18)</f>
        <v>0</v>
      </c>
      <c r="BL85" s="114">
        <f>-SUMIF('Квартальная отчетность'!$E$10:$BM$10,YEAR(BL$8),Финансирование!$E$18:$BM$18)</f>
        <v>0</v>
      </c>
      <c r="BM85" s="114">
        <f>-SUMIF('Квартальная отчетность'!$E$10:$BM$10,YEAR(BM$8),Финансирование!$E$18:$BM$18)</f>
        <v>0</v>
      </c>
    </row>
    <row r="86" spans="2:65" ht="15" customHeight="1">
      <c r="B86" s="112" t="str">
        <f>"Заём "&amp;IF(ISNUMBER(SEARCH("РФРП",Программа)),"ФРП и РФРП","ФРП")&amp;" (проценты)"</f>
        <v>Заём ФРП (проценты)</v>
      </c>
      <c r="C86" s="113" t="str">
        <f t="shared" si="72"/>
        <v>тыс. руб.</v>
      </c>
      <c r="D86" s="114"/>
      <c r="E86" s="114">
        <f>-SUMIF('Квартальная отчетность'!$E$10:$BM$10,YEAR(E$8),Финансирование!$E$24:$BM$24)</f>
        <v>1726.0273972602738</v>
      </c>
      <c r="F86" s="114">
        <f>-SUMIF('Квартальная отчетность'!$E$10:$BM$10,YEAR(F$8),Финансирование!$E$24:$BM$24)</f>
        <v>4999.9999999999982</v>
      </c>
      <c r="G86" s="114">
        <f>-SUMIF('Квартальная отчетность'!$E$10:$BM$10,YEAR(G$8),Финансирование!$E$24:$BM$24)</f>
        <v>5000.4117074631331</v>
      </c>
      <c r="H86" s="114">
        <f>-SUMIF('Квартальная отчетность'!$E$10:$BM$10,YEAR(H$8),Финансирование!$E$24:$BM$24)</f>
        <v>4999.5882925368651</v>
      </c>
      <c r="I86" s="114">
        <f>-SUMIF('Квартальная отчетность'!$E$10:$BM$10,YEAR(I$8),Финансирование!$E$24:$BM$24)</f>
        <v>3532.5342465753415</v>
      </c>
      <c r="J86" s="114">
        <f>-SUMIF('Квартальная отчетность'!$E$10:$BM$10,YEAR(J$8),Финансирование!$E$24:$BM$24)</f>
        <v>955.47945205479414</v>
      </c>
      <c r="K86" s="114">
        <f>-SUMIF('Квартальная отчетность'!$E$10:$BM$10,YEAR(K$8),Финансирование!$E$24:$BM$24)</f>
        <v>0</v>
      </c>
      <c r="L86" s="114">
        <f>-SUMIF('Квартальная отчетность'!$E$10:$BM$10,YEAR(L$8),Финансирование!$E$24:$BM$24)</f>
        <v>0</v>
      </c>
      <c r="M86" s="114">
        <f>-SUMIF('Квартальная отчетность'!$E$10:$BM$10,YEAR(M$8),Финансирование!$E$24:$BM$24)</f>
        <v>0</v>
      </c>
      <c r="N86" s="114">
        <f>-SUMIF('Квартальная отчетность'!$E$10:$BM$10,YEAR(N$8),Финансирование!$E$24:$BM$24)</f>
        <v>0</v>
      </c>
      <c r="O86" s="114">
        <f>-SUMIF('Квартальная отчетность'!$E$10:$BM$10,YEAR(O$8),Финансирование!$E$24:$BM$24)</f>
        <v>0</v>
      </c>
      <c r="P86" s="114">
        <f>-SUMIF('Квартальная отчетность'!$E$10:$BM$10,YEAR(P$8),Финансирование!$E$24:$BM$24)</f>
        <v>0</v>
      </c>
      <c r="Q86" s="114">
        <f>-SUMIF('Квартальная отчетность'!$E$10:$BM$10,YEAR(Q$8),Финансирование!$E$24:$BM$24)</f>
        <v>0</v>
      </c>
      <c r="R86" s="114">
        <f>-SUMIF('Квартальная отчетность'!$E$10:$BM$10,YEAR(R$8),Финансирование!$E$24:$BM$24)</f>
        <v>0</v>
      </c>
      <c r="S86" s="114">
        <f>-SUMIF('Квартальная отчетность'!$E$10:$BM$10,YEAR(S$8),Финансирование!$E$24:$BM$24)</f>
        <v>0</v>
      </c>
      <c r="T86" s="114">
        <f>-SUMIF('Квартальная отчетность'!$E$10:$BM$10,YEAR(T$8),Финансирование!$E$24:$BM$24)</f>
        <v>0</v>
      </c>
      <c r="U86" s="114">
        <f>-SUMIF('Квартальная отчетность'!$E$10:$BM$10,YEAR(U$8),Финансирование!$E$24:$BM$24)</f>
        <v>0</v>
      </c>
      <c r="V86" s="114">
        <f>-SUMIF('Квартальная отчетность'!$E$10:$BM$10,YEAR(V$8),Финансирование!$E$24:$BM$24)</f>
        <v>0</v>
      </c>
      <c r="W86" s="114">
        <f>-SUMIF('Квартальная отчетность'!$E$10:$BM$10,YEAR(W$8),Финансирование!$E$24:$BM$24)</f>
        <v>0</v>
      </c>
      <c r="X86" s="114">
        <f>-SUMIF('Квартальная отчетность'!$E$10:$BM$10,YEAR(X$8),Финансирование!$E$24:$BM$24)</f>
        <v>0</v>
      </c>
      <c r="Y86" s="114">
        <f>-SUMIF('Квартальная отчетность'!$E$10:$BM$10,YEAR(Y$8),Финансирование!$E$24:$BM$24)</f>
        <v>0</v>
      </c>
      <c r="Z86" s="114">
        <f>-SUMIF('Квартальная отчетность'!$E$10:$BM$10,YEAR(Z$8),Финансирование!$E$24:$BM$24)</f>
        <v>0</v>
      </c>
      <c r="AA86" s="114">
        <f>-SUMIF('Квартальная отчетность'!$E$10:$BM$10,YEAR(AA$8),Финансирование!$E$24:$BM$24)</f>
        <v>0</v>
      </c>
      <c r="AB86" s="114">
        <f>-SUMIF('Квартальная отчетность'!$E$10:$BM$10,YEAR(AB$8),Финансирование!$E$24:$BM$24)</f>
        <v>0</v>
      </c>
      <c r="AC86" s="114">
        <f>-SUMIF('Квартальная отчетность'!$E$10:$BM$10,YEAR(AC$8),Финансирование!$E$24:$BM$24)</f>
        <v>0</v>
      </c>
      <c r="AD86" s="114">
        <f>-SUMIF('Квартальная отчетность'!$E$10:$BM$10,YEAR(AD$8),Финансирование!$E$24:$BM$24)</f>
        <v>0</v>
      </c>
      <c r="AE86" s="114">
        <f>-SUMIF('Квартальная отчетность'!$E$10:$BM$10,YEAR(AE$8),Финансирование!$E$24:$BM$24)</f>
        <v>0</v>
      </c>
      <c r="AF86" s="114">
        <f>-SUMIF('Квартальная отчетность'!$E$10:$BM$10,YEAR(AF$8),Финансирование!$E$24:$BM$24)</f>
        <v>0</v>
      </c>
      <c r="AG86" s="114">
        <f>-SUMIF('Квартальная отчетность'!$E$10:$BM$10,YEAR(AG$8),Финансирование!$E$24:$BM$24)</f>
        <v>0</v>
      </c>
      <c r="AH86" s="114">
        <f>-SUMIF('Квартальная отчетность'!$E$10:$BM$10,YEAR(AH$8),Финансирование!$E$24:$BM$24)</f>
        <v>0</v>
      </c>
      <c r="AI86" s="114">
        <f>-SUMIF('Квартальная отчетность'!$E$10:$BM$10,YEAR(AI$8),Финансирование!$E$24:$BM$24)</f>
        <v>0</v>
      </c>
      <c r="AJ86" s="114">
        <f>-SUMIF('Квартальная отчетность'!$E$10:$BM$10,YEAR(AJ$8),Финансирование!$E$24:$BM$24)</f>
        <v>0</v>
      </c>
      <c r="AK86" s="114">
        <f>-SUMIF('Квартальная отчетность'!$E$10:$BM$10,YEAR(AK$8),Финансирование!$E$24:$BM$24)</f>
        <v>0</v>
      </c>
      <c r="AL86" s="114">
        <f>-SUMIF('Квартальная отчетность'!$E$10:$BM$10,YEAR(AL$8),Финансирование!$E$24:$BM$24)</f>
        <v>0</v>
      </c>
      <c r="AM86" s="114">
        <f>-SUMIF('Квартальная отчетность'!$E$10:$BM$10,YEAR(AM$8),Финансирование!$E$24:$BM$24)</f>
        <v>0</v>
      </c>
      <c r="AN86" s="114">
        <f>-SUMIF('Квартальная отчетность'!$E$10:$BM$10,YEAR(AN$8),Финансирование!$E$24:$BM$24)</f>
        <v>0</v>
      </c>
      <c r="AO86" s="114">
        <f>-SUMIF('Квартальная отчетность'!$E$10:$BM$10,YEAR(AO$8),Финансирование!$E$24:$BM$24)</f>
        <v>0</v>
      </c>
      <c r="AP86" s="114">
        <f>-SUMIF('Квартальная отчетность'!$E$10:$BM$10,YEAR(AP$8),Финансирование!$E$24:$BM$24)</f>
        <v>0</v>
      </c>
      <c r="AQ86" s="114">
        <f>-SUMIF('Квартальная отчетность'!$E$10:$BM$10,YEAR(AQ$8),Финансирование!$E$24:$BM$24)</f>
        <v>0</v>
      </c>
      <c r="AR86" s="114">
        <f>-SUMIF('Квартальная отчетность'!$E$10:$BM$10,YEAR(AR$8),Финансирование!$E$24:$BM$24)</f>
        <v>0</v>
      </c>
      <c r="AS86" s="114">
        <f>-SUMIF('Квартальная отчетность'!$E$10:$BM$10,YEAR(AS$8),Финансирование!$E$24:$BM$24)</f>
        <v>0</v>
      </c>
      <c r="AT86" s="114">
        <f>-SUMIF('Квартальная отчетность'!$E$10:$BM$10,YEAR(AT$8),Финансирование!$E$24:$BM$24)</f>
        <v>0</v>
      </c>
      <c r="AU86" s="114">
        <f>-SUMIF('Квартальная отчетность'!$E$10:$BM$10,YEAR(AU$8),Финансирование!$E$24:$BM$24)</f>
        <v>0</v>
      </c>
      <c r="AV86" s="114">
        <f>-SUMIF('Квартальная отчетность'!$E$10:$BM$10,YEAR(AV$8),Финансирование!$E$24:$BM$24)</f>
        <v>0</v>
      </c>
      <c r="AW86" s="114">
        <f>-SUMIF('Квартальная отчетность'!$E$10:$BM$10,YEAR(AW$8),Финансирование!$E$24:$BM$24)</f>
        <v>0</v>
      </c>
      <c r="AX86" s="114">
        <f>-SUMIF('Квартальная отчетность'!$E$10:$BM$10,YEAR(AX$8),Финансирование!$E$24:$BM$24)</f>
        <v>0</v>
      </c>
      <c r="AY86" s="114">
        <f>-SUMIF('Квартальная отчетность'!$E$10:$BM$10,YEAR(AY$8),Финансирование!$E$24:$BM$24)</f>
        <v>0</v>
      </c>
      <c r="AZ86" s="114">
        <f>-SUMIF('Квартальная отчетность'!$E$10:$BM$10,YEAR(AZ$8),Финансирование!$E$24:$BM$24)</f>
        <v>0</v>
      </c>
      <c r="BA86" s="114">
        <f>-SUMIF('Квартальная отчетность'!$E$10:$BM$10,YEAR(BA$8),Финансирование!$E$24:$BM$24)</f>
        <v>0</v>
      </c>
      <c r="BB86" s="114">
        <f>-SUMIF('Квартальная отчетность'!$E$10:$BM$10,YEAR(BB$8),Финансирование!$E$24:$BM$24)</f>
        <v>0</v>
      </c>
      <c r="BC86" s="114">
        <f>-SUMIF('Квартальная отчетность'!$E$10:$BM$10,YEAR(BC$8),Финансирование!$E$24:$BM$24)</f>
        <v>0</v>
      </c>
      <c r="BD86" s="114">
        <f>-SUMIF('Квартальная отчетность'!$E$10:$BM$10,YEAR(BD$8),Финансирование!$E$24:$BM$24)</f>
        <v>0</v>
      </c>
      <c r="BE86" s="114">
        <f>-SUMIF('Квартальная отчетность'!$E$10:$BM$10,YEAR(BE$8),Финансирование!$E$24:$BM$24)</f>
        <v>0</v>
      </c>
      <c r="BF86" s="114">
        <f>-SUMIF('Квартальная отчетность'!$E$10:$BM$10,YEAR(BF$8),Финансирование!$E$24:$BM$24)</f>
        <v>0</v>
      </c>
      <c r="BG86" s="114">
        <f>-SUMIF('Квартальная отчетность'!$E$10:$BM$10,YEAR(BG$8),Финансирование!$E$24:$BM$24)</f>
        <v>0</v>
      </c>
      <c r="BH86" s="114">
        <f>-SUMIF('Квартальная отчетность'!$E$10:$BM$10,YEAR(BH$8),Финансирование!$E$24:$BM$24)</f>
        <v>0</v>
      </c>
      <c r="BI86" s="114">
        <f>-SUMIF('Квартальная отчетность'!$E$10:$BM$10,YEAR(BI$8),Финансирование!$E$24:$BM$24)</f>
        <v>0</v>
      </c>
      <c r="BJ86" s="114">
        <f>-SUMIF('Квартальная отчетность'!$E$10:$BM$10,YEAR(BJ$8),Финансирование!$E$24:$BM$24)</f>
        <v>0</v>
      </c>
      <c r="BK86" s="114">
        <f>-SUMIF('Квартальная отчетность'!$E$10:$BM$10,YEAR(BK$8),Финансирование!$E$24:$BM$24)</f>
        <v>0</v>
      </c>
      <c r="BL86" s="114">
        <f>-SUMIF('Квартальная отчетность'!$E$10:$BM$10,YEAR(BL$8),Финансирование!$E$24:$BM$24)</f>
        <v>0</v>
      </c>
      <c r="BM86" s="114">
        <f>-SUMIF('Квартальная отчетность'!$E$10:$BM$10,YEAR(BM$8),Финансирование!$E$24:$BM$24)</f>
        <v>0</v>
      </c>
    </row>
    <row r="87" spans="2:65" ht="15" customHeight="1">
      <c r="B87" s="112" t="s">
        <v>233</v>
      </c>
      <c r="C87" s="113" t="str">
        <f t="shared" si="72"/>
        <v>тыс. руб.</v>
      </c>
      <c r="D87" s="114"/>
      <c r="E87" s="114">
        <f>-SUMIF('Квартальная отчетность'!$E$10:$BM$10,YEAR(E$8),Финансирование!$E$31:$BM$31)-SUMIF('Квартальная отчетность'!$E$10:$BM$10,YEAR(E$8),Финансирование!$E$46:$BM$46)</f>
        <v>0</v>
      </c>
      <c r="F87" s="114">
        <f>-SUMIF('Квартальная отчетность'!$E$10:$BM$10,YEAR(F$8),Финансирование!$E$31:$BM$31)-SUMIF('Квартальная отчетность'!$E$10:$BM$10,YEAR(F$8),Финансирование!$E$46:$BM$46)</f>
        <v>0</v>
      </c>
      <c r="G87" s="114">
        <f>-SUMIF('Квартальная отчетность'!$E$10:$BM$10,YEAR(G$8),Финансирование!$E$31:$BM$31)-SUMIF('Квартальная отчетность'!$E$10:$BM$10,YEAR(G$8),Финансирование!$E$46:$BM$46)</f>
        <v>0</v>
      </c>
      <c r="H87" s="114">
        <f>-SUMIF('Квартальная отчетность'!$E$10:$BM$10,YEAR(H$8),Финансирование!$E$31:$BM$31)-SUMIF('Квартальная отчетность'!$E$10:$BM$10,YEAR(H$8),Финансирование!$E$46:$BM$46)</f>
        <v>0</v>
      </c>
      <c r="I87" s="114">
        <f>-SUMIF('Квартальная отчетность'!$E$10:$BM$10,YEAR(I$8),Финансирование!$E$31:$BM$31)-SUMIF('Квартальная отчетность'!$E$10:$BM$10,YEAR(I$8),Финансирование!$E$46:$BM$46)</f>
        <v>0</v>
      </c>
      <c r="J87" s="114">
        <f>-SUMIF('Квартальная отчетность'!$E$10:$BM$10,YEAR(J$8),Финансирование!$E$31:$BM$31)-SUMIF('Квартальная отчетность'!$E$10:$BM$10,YEAR(J$8),Финансирование!$E$46:$BM$46)</f>
        <v>0</v>
      </c>
      <c r="K87" s="114">
        <f>-SUMIF('Квартальная отчетность'!$E$10:$BM$10,YEAR(K$8),Финансирование!$E$31:$BM$31)-SUMIF('Квартальная отчетность'!$E$10:$BM$10,YEAR(K$8),Финансирование!$E$46:$BM$46)</f>
        <v>0</v>
      </c>
      <c r="L87" s="114">
        <f>-SUMIF('Квартальная отчетность'!$E$10:$BM$10,YEAR(L$8),Финансирование!$E$31:$BM$31)-SUMIF('Квартальная отчетность'!$E$10:$BM$10,YEAR(L$8),Финансирование!$E$46:$BM$46)</f>
        <v>0</v>
      </c>
      <c r="M87" s="114">
        <f>-SUMIF('Квартальная отчетность'!$E$10:$BM$10,YEAR(M$8),Финансирование!$E$31:$BM$31)-SUMIF('Квартальная отчетность'!$E$10:$BM$10,YEAR(M$8),Финансирование!$E$46:$BM$46)</f>
        <v>0</v>
      </c>
      <c r="N87" s="114">
        <f>-SUMIF('Квартальная отчетность'!$E$10:$BM$10,YEAR(N$8),Финансирование!$E$31:$BM$31)-SUMIF('Квартальная отчетность'!$E$10:$BM$10,YEAR(N$8),Финансирование!$E$46:$BM$46)</f>
        <v>0</v>
      </c>
      <c r="O87" s="114">
        <f>-SUMIF('Квартальная отчетность'!$E$10:$BM$10,YEAR(O$8),Финансирование!$E$31:$BM$31)-SUMIF('Квартальная отчетность'!$E$10:$BM$10,YEAR(O$8),Финансирование!$E$46:$BM$46)</f>
        <v>0</v>
      </c>
      <c r="P87" s="114">
        <f>-SUMIF('Квартальная отчетность'!$E$10:$BM$10,YEAR(P$8),Финансирование!$E$31:$BM$31)-SUMIF('Квартальная отчетность'!$E$10:$BM$10,YEAR(P$8),Финансирование!$E$46:$BM$46)</f>
        <v>0</v>
      </c>
      <c r="Q87" s="114">
        <f>-SUMIF('Квартальная отчетность'!$E$10:$BM$10,YEAR(Q$8),Финансирование!$E$31:$BM$31)-SUMIF('Квартальная отчетность'!$E$10:$BM$10,YEAR(Q$8),Финансирование!$E$46:$BM$46)</f>
        <v>0</v>
      </c>
      <c r="R87" s="114">
        <f>-SUMIF('Квартальная отчетность'!$E$10:$BM$10,YEAR(R$8),Финансирование!$E$31:$BM$31)-SUMIF('Квартальная отчетность'!$E$10:$BM$10,YEAR(R$8),Финансирование!$E$46:$BM$46)</f>
        <v>0</v>
      </c>
      <c r="S87" s="114">
        <f>-SUMIF('Квартальная отчетность'!$E$10:$BM$10,YEAR(S$8),Финансирование!$E$31:$BM$31)-SUMIF('Квартальная отчетность'!$E$10:$BM$10,YEAR(S$8),Финансирование!$E$46:$BM$46)</f>
        <v>0</v>
      </c>
      <c r="T87" s="114">
        <f>-SUMIF('Квартальная отчетность'!$E$10:$BM$10,YEAR(T$8),Финансирование!$E$31:$BM$31)-SUMIF('Квартальная отчетность'!$E$10:$BM$10,YEAR(T$8),Финансирование!$E$46:$BM$46)</f>
        <v>0</v>
      </c>
      <c r="U87" s="114">
        <f>-SUMIF('Квартальная отчетность'!$E$10:$BM$10,YEAR(U$8),Финансирование!$E$31:$BM$31)-SUMIF('Квартальная отчетность'!$E$10:$BM$10,YEAR(U$8),Финансирование!$E$46:$BM$46)</f>
        <v>0</v>
      </c>
      <c r="V87" s="114">
        <f>-SUMIF('Квартальная отчетность'!$E$10:$BM$10,YEAR(V$8),Финансирование!$E$31:$BM$31)-SUMIF('Квартальная отчетность'!$E$10:$BM$10,YEAR(V$8),Финансирование!$E$46:$BM$46)</f>
        <v>0</v>
      </c>
      <c r="W87" s="114">
        <f>-SUMIF('Квартальная отчетность'!$E$10:$BM$10,YEAR(W$8),Финансирование!$E$31:$BM$31)-SUMIF('Квартальная отчетность'!$E$10:$BM$10,YEAR(W$8),Финансирование!$E$46:$BM$46)</f>
        <v>0</v>
      </c>
      <c r="X87" s="114">
        <f>-SUMIF('Квартальная отчетность'!$E$10:$BM$10,YEAR(X$8),Финансирование!$E$31:$BM$31)-SUMIF('Квартальная отчетность'!$E$10:$BM$10,YEAR(X$8),Финансирование!$E$46:$BM$46)</f>
        <v>0</v>
      </c>
      <c r="Y87" s="114">
        <f>-SUMIF('Квартальная отчетность'!$E$10:$BM$10,YEAR(Y$8),Финансирование!$E$31:$BM$31)-SUMIF('Квартальная отчетность'!$E$10:$BM$10,YEAR(Y$8),Финансирование!$E$46:$BM$46)</f>
        <v>0</v>
      </c>
      <c r="Z87" s="114">
        <f>-SUMIF('Квартальная отчетность'!$E$10:$BM$10,YEAR(Z$8),Финансирование!$E$31:$BM$31)-SUMIF('Квартальная отчетность'!$E$10:$BM$10,YEAR(Z$8),Финансирование!$E$46:$BM$46)</f>
        <v>0</v>
      </c>
      <c r="AA87" s="114">
        <f>-SUMIF('Квартальная отчетность'!$E$10:$BM$10,YEAR(AA$8),Финансирование!$E$31:$BM$31)-SUMIF('Квартальная отчетность'!$E$10:$BM$10,YEAR(AA$8),Финансирование!$E$46:$BM$46)</f>
        <v>0</v>
      </c>
      <c r="AB87" s="114">
        <f>-SUMIF('Квартальная отчетность'!$E$10:$BM$10,YEAR(AB$8),Финансирование!$E$31:$BM$31)-SUMIF('Квартальная отчетность'!$E$10:$BM$10,YEAR(AB$8),Финансирование!$E$46:$BM$46)</f>
        <v>0</v>
      </c>
      <c r="AC87" s="114">
        <f>-SUMIF('Квартальная отчетность'!$E$10:$BM$10,YEAR(AC$8),Финансирование!$E$31:$BM$31)-SUMIF('Квартальная отчетность'!$E$10:$BM$10,YEAR(AC$8),Финансирование!$E$46:$BM$46)</f>
        <v>0</v>
      </c>
      <c r="AD87" s="114">
        <f>-SUMIF('Квартальная отчетность'!$E$10:$BM$10,YEAR(AD$8),Финансирование!$E$31:$BM$31)-SUMIF('Квартальная отчетность'!$E$10:$BM$10,YEAR(AD$8),Финансирование!$E$46:$BM$46)</f>
        <v>0</v>
      </c>
      <c r="AE87" s="114">
        <f>-SUMIF('Квартальная отчетность'!$E$10:$BM$10,YEAR(AE$8),Финансирование!$E$31:$BM$31)-SUMIF('Квартальная отчетность'!$E$10:$BM$10,YEAR(AE$8),Финансирование!$E$46:$BM$46)</f>
        <v>0</v>
      </c>
      <c r="AF87" s="114">
        <f>-SUMIF('Квартальная отчетность'!$E$10:$BM$10,YEAR(AF$8),Финансирование!$E$31:$BM$31)-SUMIF('Квартальная отчетность'!$E$10:$BM$10,YEAR(AF$8),Финансирование!$E$46:$BM$46)</f>
        <v>0</v>
      </c>
      <c r="AG87" s="114">
        <f>-SUMIF('Квартальная отчетность'!$E$10:$BM$10,YEAR(AG$8),Финансирование!$E$31:$BM$31)-SUMIF('Квартальная отчетность'!$E$10:$BM$10,YEAR(AG$8),Финансирование!$E$46:$BM$46)</f>
        <v>0</v>
      </c>
      <c r="AH87" s="114">
        <f>-SUMIF('Квартальная отчетность'!$E$10:$BM$10,YEAR(AH$8),Финансирование!$E$31:$BM$31)-SUMIF('Квартальная отчетность'!$E$10:$BM$10,YEAR(AH$8),Финансирование!$E$46:$BM$46)</f>
        <v>0</v>
      </c>
      <c r="AI87" s="114">
        <f>-SUMIF('Квартальная отчетность'!$E$10:$BM$10,YEAR(AI$8),Финансирование!$E$31:$BM$31)-SUMIF('Квартальная отчетность'!$E$10:$BM$10,YEAR(AI$8),Финансирование!$E$46:$BM$46)</f>
        <v>0</v>
      </c>
      <c r="AJ87" s="114">
        <f>-SUMIF('Квартальная отчетность'!$E$10:$BM$10,YEAR(AJ$8),Финансирование!$E$31:$BM$31)-SUMIF('Квартальная отчетность'!$E$10:$BM$10,YEAR(AJ$8),Финансирование!$E$46:$BM$46)</f>
        <v>0</v>
      </c>
      <c r="AK87" s="114">
        <f>-SUMIF('Квартальная отчетность'!$E$10:$BM$10,YEAR(AK$8),Финансирование!$E$31:$BM$31)-SUMIF('Квартальная отчетность'!$E$10:$BM$10,YEAR(AK$8),Финансирование!$E$46:$BM$46)</f>
        <v>0</v>
      </c>
      <c r="AL87" s="114">
        <f>-SUMIF('Квартальная отчетность'!$E$10:$BM$10,YEAR(AL$8),Финансирование!$E$31:$BM$31)-SUMIF('Квартальная отчетность'!$E$10:$BM$10,YEAR(AL$8),Финансирование!$E$46:$BM$46)</f>
        <v>0</v>
      </c>
      <c r="AM87" s="114">
        <f>-SUMIF('Квартальная отчетность'!$E$10:$BM$10,YEAR(AM$8),Финансирование!$E$31:$BM$31)-SUMIF('Квартальная отчетность'!$E$10:$BM$10,YEAR(AM$8),Финансирование!$E$46:$BM$46)</f>
        <v>0</v>
      </c>
      <c r="AN87" s="114">
        <f>-SUMIF('Квартальная отчетность'!$E$10:$BM$10,YEAR(AN$8),Финансирование!$E$31:$BM$31)-SUMIF('Квартальная отчетность'!$E$10:$BM$10,YEAR(AN$8),Финансирование!$E$46:$BM$46)</f>
        <v>0</v>
      </c>
      <c r="AO87" s="114">
        <f>-SUMIF('Квартальная отчетность'!$E$10:$BM$10,YEAR(AO$8),Финансирование!$E$31:$BM$31)-SUMIF('Квартальная отчетность'!$E$10:$BM$10,YEAR(AO$8),Финансирование!$E$46:$BM$46)</f>
        <v>0</v>
      </c>
      <c r="AP87" s="114">
        <f>-SUMIF('Квартальная отчетность'!$E$10:$BM$10,YEAR(AP$8),Финансирование!$E$31:$BM$31)-SUMIF('Квартальная отчетность'!$E$10:$BM$10,YEAR(AP$8),Финансирование!$E$46:$BM$46)</f>
        <v>0</v>
      </c>
      <c r="AQ87" s="114">
        <f>-SUMIF('Квартальная отчетность'!$E$10:$BM$10,YEAR(AQ$8),Финансирование!$E$31:$BM$31)-SUMIF('Квартальная отчетность'!$E$10:$BM$10,YEAR(AQ$8),Финансирование!$E$46:$BM$46)</f>
        <v>0</v>
      </c>
      <c r="AR87" s="114">
        <f>-SUMIF('Квартальная отчетность'!$E$10:$BM$10,YEAR(AR$8),Финансирование!$E$31:$BM$31)-SUMIF('Квартальная отчетность'!$E$10:$BM$10,YEAR(AR$8),Финансирование!$E$46:$BM$46)</f>
        <v>0</v>
      </c>
      <c r="AS87" s="114">
        <f>-SUMIF('Квартальная отчетность'!$E$10:$BM$10,YEAR(AS$8),Финансирование!$E$31:$BM$31)-SUMIF('Квартальная отчетность'!$E$10:$BM$10,YEAR(AS$8),Финансирование!$E$46:$BM$46)</f>
        <v>0</v>
      </c>
      <c r="AT87" s="114">
        <f>-SUMIF('Квартальная отчетность'!$E$10:$BM$10,YEAR(AT$8),Финансирование!$E$31:$BM$31)-SUMIF('Квартальная отчетность'!$E$10:$BM$10,YEAR(AT$8),Финансирование!$E$46:$BM$46)</f>
        <v>0</v>
      </c>
      <c r="AU87" s="114">
        <f>-SUMIF('Квартальная отчетность'!$E$10:$BM$10,YEAR(AU$8),Финансирование!$E$31:$BM$31)-SUMIF('Квартальная отчетность'!$E$10:$BM$10,YEAR(AU$8),Финансирование!$E$46:$BM$46)</f>
        <v>0</v>
      </c>
      <c r="AV87" s="114">
        <f>-SUMIF('Квартальная отчетность'!$E$10:$BM$10,YEAR(AV$8),Финансирование!$E$31:$BM$31)-SUMIF('Квартальная отчетность'!$E$10:$BM$10,YEAR(AV$8),Финансирование!$E$46:$BM$46)</f>
        <v>0</v>
      </c>
      <c r="AW87" s="114">
        <f>-SUMIF('Квартальная отчетность'!$E$10:$BM$10,YEAR(AW$8),Финансирование!$E$31:$BM$31)-SUMIF('Квартальная отчетность'!$E$10:$BM$10,YEAR(AW$8),Финансирование!$E$46:$BM$46)</f>
        <v>0</v>
      </c>
      <c r="AX87" s="114">
        <f>-SUMIF('Квартальная отчетность'!$E$10:$BM$10,YEAR(AX$8),Финансирование!$E$31:$BM$31)-SUMIF('Квартальная отчетность'!$E$10:$BM$10,YEAR(AX$8),Финансирование!$E$46:$BM$46)</f>
        <v>0</v>
      </c>
      <c r="AY87" s="114">
        <f>-SUMIF('Квартальная отчетность'!$E$10:$BM$10,YEAR(AY$8),Финансирование!$E$31:$BM$31)-SUMIF('Квартальная отчетность'!$E$10:$BM$10,YEAR(AY$8),Финансирование!$E$46:$BM$46)</f>
        <v>0</v>
      </c>
      <c r="AZ87" s="114">
        <f>-SUMIF('Квартальная отчетность'!$E$10:$BM$10,YEAR(AZ$8),Финансирование!$E$31:$BM$31)-SUMIF('Квартальная отчетность'!$E$10:$BM$10,YEAR(AZ$8),Финансирование!$E$46:$BM$46)</f>
        <v>0</v>
      </c>
      <c r="BA87" s="114">
        <f>-SUMIF('Квартальная отчетность'!$E$10:$BM$10,YEAR(BA$8),Финансирование!$E$31:$BM$31)-SUMIF('Квартальная отчетность'!$E$10:$BM$10,YEAR(BA$8),Финансирование!$E$46:$BM$46)</f>
        <v>0</v>
      </c>
      <c r="BB87" s="114">
        <f>-SUMIF('Квартальная отчетность'!$E$10:$BM$10,YEAR(BB$8),Финансирование!$E$31:$BM$31)-SUMIF('Квартальная отчетность'!$E$10:$BM$10,YEAR(BB$8),Финансирование!$E$46:$BM$46)</f>
        <v>0</v>
      </c>
      <c r="BC87" s="114">
        <f>-SUMIF('Квартальная отчетность'!$E$10:$BM$10,YEAR(BC$8),Финансирование!$E$31:$BM$31)-SUMIF('Квартальная отчетность'!$E$10:$BM$10,YEAR(BC$8),Финансирование!$E$46:$BM$46)</f>
        <v>0</v>
      </c>
      <c r="BD87" s="114">
        <f>-SUMIF('Квартальная отчетность'!$E$10:$BM$10,YEAR(BD$8),Финансирование!$E$31:$BM$31)-SUMIF('Квартальная отчетность'!$E$10:$BM$10,YEAR(BD$8),Финансирование!$E$46:$BM$46)</f>
        <v>0</v>
      </c>
      <c r="BE87" s="114">
        <f>-SUMIF('Квартальная отчетность'!$E$10:$BM$10,YEAR(BE$8),Финансирование!$E$31:$BM$31)-SUMIF('Квартальная отчетность'!$E$10:$BM$10,YEAR(BE$8),Финансирование!$E$46:$BM$46)</f>
        <v>0</v>
      </c>
      <c r="BF87" s="114">
        <f>-SUMIF('Квартальная отчетность'!$E$10:$BM$10,YEAR(BF$8),Финансирование!$E$31:$BM$31)-SUMIF('Квартальная отчетность'!$E$10:$BM$10,YEAR(BF$8),Финансирование!$E$46:$BM$46)</f>
        <v>0</v>
      </c>
      <c r="BG87" s="114">
        <f>-SUMIF('Квартальная отчетность'!$E$10:$BM$10,YEAR(BG$8),Финансирование!$E$31:$BM$31)-SUMIF('Квартальная отчетность'!$E$10:$BM$10,YEAR(BG$8),Финансирование!$E$46:$BM$46)</f>
        <v>0</v>
      </c>
      <c r="BH87" s="114">
        <f>-SUMIF('Квартальная отчетность'!$E$10:$BM$10,YEAR(BH$8),Финансирование!$E$31:$BM$31)-SUMIF('Квартальная отчетность'!$E$10:$BM$10,YEAR(BH$8),Финансирование!$E$46:$BM$46)</f>
        <v>0</v>
      </c>
      <c r="BI87" s="114">
        <f>-SUMIF('Квартальная отчетность'!$E$10:$BM$10,YEAR(BI$8),Финансирование!$E$31:$BM$31)-SUMIF('Квартальная отчетность'!$E$10:$BM$10,YEAR(BI$8),Финансирование!$E$46:$BM$46)</f>
        <v>0</v>
      </c>
      <c r="BJ87" s="114">
        <f>-SUMIF('Квартальная отчетность'!$E$10:$BM$10,YEAR(BJ$8),Финансирование!$E$31:$BM$31)-SUMIF('Квартальная отчетность'!$E$10:$BM$10,YEAR(BJ$8),Финансирование!$E$46:$BM$46)</f>
        <v>0</v>
      </c>
      <c r="BK87" s="114">
        <f>-SUMIF('Квартальная отчетность'!$E$10:$BM$10,YEAR(BK$8),Финансирование!$E$31:$BM$31)-SUMIF('Квартальная отчетность'!$E$10:$BM$10,YEAR(BK$8),Финансирование!$E$46:$BM$46)</f>
        <v>0</v>
      </c>
      <c r="BL87" s="114">
        <f>-SUMIF('Квартальная отчетность'!$E$10:$BM$10,YEAR(BL$8),Финансирование!$E$31:$BM$31)-SUMIF('Квартальная отчетность'!$E$10:$BM$10,YEAR(BL$8),Финансирование!$E$46:$BM$46)</f>
        <v>0</v>
      </c>
      <c r="BM87" s="114">
        <f>-SUMIF('Квартальная отчетность'!$E$10:$BM$10,YEAR(BM$8),Финансирование!$E$31:$BM$31)-SUMIF('Квартальная отчетность'!$E$10:$BM$10,YEAR(BM$8),Финансирование!$E$46:$BM$46)</f>
        <v>0</v>
      </c>
    </row>
    <row r="88" spans="2:65" ht="15" customHeight="1">
      <c r="B88" s="112" t="s">
        <v>234</v>
      </c>
      <c r="C88" s="113" t="str">
        <f t="shared" si="72"/>
        <v>тыс. руб.</v>
      </c>
      <c r="D88" s="114"/>
      <c r="E88" s="114">
        <f>-SUMIF('Квартальная отчетность'!$E$10:$BM$10,YEAR(E$8),Финансирование!$E$39:$BM$39)-SUMIF('Квартальная отчетность'!$E$10:$BM$10,YEAR(E$8),Финансирование!$E$54:$BM$54)</f>
        <v>0</v>
      </c>
      <c r="F88" s="114">
        <f>-SUMIF('Квартальная отчетность'!$E$10:$BM$10,YEAR(F$8),Финансирование!$E$39:$BM$39)-SUMIF('Квартальная отчетность'!$E$10:$BM$10,YEAR(F$8),Финансирование!$E$54:$BM$54)</f>
        <v>0</v>
      </c>
      <c r="G88" s="114">
        <f>-SUMIF('Квартальная отчетность'!$E$10:$BM$10,YEAR(G$8),Финансирование!$E$39:$BM$39)-SUMIF('Квартальная отчетность'!$E$10:$BM$10,YEAR(G$8),Финансирование!$E$54:$BM$54)</f>
        <v>0</v>
      </c>
      <c r="H88" s="114">
        <f>-SUMIF('Квартальная отчетность'!$E$10:$BM$10,YEAR(H$8),Финансирование!$E$39:$BM$39)-SUMIF('Квартальная отчетность'!$E$10:$BM$10,YEAR(H$8),Финансирование!$E$54:$BM$54)</f>
        <v>0</v>
      </c>
      <c r="I88" s="114">
        <f>-SUMIF('Квартальная отчетность'!$E$10:$BM$10,YEAR(I$8),Финансирование!$E$39:$BM$39)-SUMIF('Квартальная отчетность'!$E$10:$BM$10,YEAR(I$8),Финансирование!$E$54:$BM$54)</f>
        <v>0</v>
      </c>
      <c r="J88" s="114">
        <f>-SUMIF('Квартальная отчетность'!$E$10:$BM$10,YEAR(J$8),Финансирование!$E$39:$BM$39)-SUMIF('Квартальная отчетность'!$E$10:$BM$10,YEAR(J$8),Финансирование!$E$54:$BM$54)</f>
        <v>0</v>
      </c>
      <c r="K88" s="114">
        <f>-SUMIF('Квартальная отчетность'!$E$10:$BM$10,YEAR(K$8),Финансирование!$E$39:$BM$39)-SUMIF('Квартальная отчетность'!$E$10:$BM$10,YEAR(K$8),Финансирование!$E$54:$BM$54)</f>
        <v>0</v>
      </c>
      <c r="L88" s="114">
        <f>-SUMIF('Квартальная отчетность'!$E$10:$BM$10,YEAR(L$8),Финансирование!$E$39:$BM$39)-SUMIF('Квартальная отчетность'!$E$10:$BM$10,YEAR(L$8),Финансирование!$E$54:$BM$54)</f>
        <v>0</v>
      </c>
      <c r="M88" s="114">
        <f>-SUMIF('Квартальная отчетность'!$E$10:$BM$10,YEAR(M$8),Финансирование!$E$39:$BM$39)-SUMIF('Квартальная отчетность'!$E$10:$BM$10,YEAR(M$8),Финансирование!$E$54:$BM$54)</f>
        <v>0</v>
      </c>
      <c r="N88" s="114">
        <f>-SUMIF('Квартальная отчетность'!$E$10:$BM$10,YEAR(N$8),Финансирование!$E$39:$BM$39)-SUMIF('Квартальная отчетность'!$E$10:$BM$10,YEAR(N$8),Финансирование!$E$54:$BM$54)</f>
        <v>0</v>
      </c>
      <c r="O88" s="114">
        <f>-SUMIF('Квартальная отчетность'!$E$10:$BM$10,YEAR(O$8),Финансирование!$E$39:$BM$39)-SUMIF('Квартальная отчетность'!$E$10:$BM$10,YEAR(O$8),Финансирование!$E$54:$BM$54)</f>
        <v>0</v>
      </c>
      <c r="P88" s="114">
        <f>-SUMIF('Квартальная отчетность'!$E$10:$BM$10,YEAR(P$8),Финансирование!$E$39:$BM$39)-SUMIF('Квартальная отчетность'!$E$10:$BM$10,YEAR(P$8),Финансирование!$E$54:$BM$54)</f>
        <v>0</v>
      </c>
      <c r="Q88" s="114">
        <f>-SUMIF('Квартальная отчетность'!$E$10:$BM$10,YEAR(Q$8),Финансирование!$E$39:$BM$39)-SUMIF('Квартальная отчетность'!$E$10:$BM$10,YEAR(Q$8),Финансирование!$E$54:$BM$54)</f>
        <v>0</v>
      </c>
      <c r="R88" s="114">
        <f>-SUMIF('Квартальная отчетность'!$E$10:$BM$10,YEAR(R$8),Финансирование!$E$39:$BM$39)-SUMIF('Квартальная отчетность'!$E$10:$BM$10,YEAR(R$8),Финансирование!$E$54:$BM$54)</f>
        <v>0</v>
      </c>
      <c r="S88" s="114">
        <f>-SUMIF('Квартальная отчетность'!$E$10:$BM$10,YEAR(S$8),Финансирование!$E$39:$BM$39)-SUMIF('Квартальная отчетность'!$E$10:$BM$10,YEAR(S$8),Финансирование!$E$54:$BM$54)</f>
        <v>0</v>
      </c>
      <c r="T88" s="114">
        <f>-SUMIF('Квартальная отчетность'!$E$10:$BM$10,YEAR(T$8),Финансирование!$E$39:$BM$39)-SUMIF('Квартальная отчетность'!$E$10:$BM$10,YEAR(T$8),Финансирование!$E$54:$BM$54)</f>
        <v>0</v>
      </c>
      <c r="U88" s="114">
        <f>-SUMIF('Квартальная отчетность'!$E$10:$BM$10,YEAR(U$8),Финансирование!$E$39:$BM$39)-SUMIF('Квартальная отчетность'!$E$10:$BM$10,YEAR(U$8),Финансирование!$E$54:$BM$54)</f>
        <v>0</v>
      </c>
      <c r="V88" s="114">
        <f>-SUMIF('Квартальная отчетность'!$E$10:$BM$10,YEAR(V$8),Финансирование!$E$39:$BM$39)-SUMIF('Квартальная отчетность'!$E$10:$BM$10,YEAR(V$8),Финансирование!$E$54:$BM$54)</f>
        <v>0</v>
      </c>
      <c r="W88" s="114">
        <f>-SUMIF('Квартальная отчетность'!$E$10:$BM$10,YEAR(W$8),Финансирование!$E$39:$BM$39)-SUMIF('Квартальная отчетность'!$E$10:$BM$10,YEAR(W$8),Финансирование!$E$54:$BM$54)</f>
        <v>0</v>
      </c>
      <c r="X88" s="114">
        <f>-SUMIF('Квартальная отчетность'!$E$10:$BM$10,YEAR(X$8),Финансирование!$E$39:$BM$39)-SUMIF('Квартальная отчетность'!$E$10:$BM$10,YEAR(X$8),Финансирование!$E$54:$BM$54)</f>
        <v>0</v>
      </c>
      <c r="Y88" s="114">
        <f>-SUMIF('Квартальная отчетность'!$E$10:$BM$10,YEAR(Y$8),Финансирование!$E$39:$BM$39)-SUMIF('Квартальная отчетность'!$E$10:$BM$10,YEAR(Y$8),Финансирование!$E$54:$BM$54)</f>
        <v>0</v>
      </c>
      <c r="Z88" s="114">
        <f>-SUMIF('Квартальная отчетность'!$E$10:$BM$10,YEAR(Z$8),Финансирование!$E$39:$BM$39)-SUMIF('Квартальная отчетность'!$E$10:$BM$10,YEAR(Z$8),Финансирование!$E$54:$BM$54)</f>
        <v>0</v>
      </c>
      <c r="AA88" s="114">
        <f>-SUMIF('Квартальная отчетность'!$E$10:$BM$10,YEAR(AA$8),Финансирование!$E$39:$BM$39)-SUMIF('Квартальная отчетность'!$E$10:$BM$10,YEAR(AA$8),Финансирование!$E$54:$BM$54)</f>
        <v>0</v>
      </c>
      <c r="AB88" s="114">
        <f>-SUMIF('Квартальная отчетность'!$E$10:$BM$10,YEAR(AB$8),Финансирование!$E$39:$BM$39)-SUMIF('Квартальная отчетность'!$E$10:$BM$10,YEAR(AB$8),Финансирование!$E$54:$BM$54)</f>
        <v>0</v>
      </c>
      <c r="AC88" s="114">
        <f>-SUMIF('Квартальная отчетность'!$E$10:$BM$10,YEAR(AC$8),Финансирование!$E$39:$BM$39)-SUMIF('Квартальная отчетность'!$E$10:$BM$10,YEAR(AC$8),Финансирование!$E$54:$BM$54)</f>
        <v>0</v>
      </c>
      <c r="AD88" s="114">
        <f>-SUMIF('Квартальная отчетность'!$E$10:$BM$10,YEAR(AD$8),Финансирование!$E$39:$BM$39)-SUMIF('Квартальная отчетность'!$E$10:$BM$10,YEAR(AD$8),Финансирование!$E$54:$BM$54)</f>
        <v>0</v>
      </c>
      <c r="AE88" s="114">
        <f>-SUMIF('Квартальная отчетность'!$E$10:$BM$10,YEAR(AE$8),Финансирование!$E$39:$BM$39)-SUMIF('Квартальная отчетность'!$E$10:$BM$10,YEAR(AE$8),Финансирование!$E$54:$BM$54)</f>
        <v>0</v>
      </c>
      <c r="AF88" s="114">
        <f>-SUMIF('Квартальная отчетность'!$E$10:$BM$10,YEAR(AF$8),Финансирование!$E$39:$BM$39)-SUMIF('Квартальная отчетность'!$E$10:$BM$10,YEAR(AF$8),Финансирование!$E$54:$BM$54)</f>
        <v>0</v>
      </c>
      <c r="AG88" s="114">
        <f>-SUMIF('Квартальная отчетность'!$E$10:$BM$10,YEAR(AG$8),Финансирование!$E$39:$BM$39)-SUMIF('Квартальная отчетность'!$E$10:$BM$10,YEAR(AG$8),Финансирование!$E$54:$BM$54)</f>
        <v>0</v>
      </c>
      <c r="AH88" s="114">
        <f>-SUMIF('Квартальная отчетность'!$E$10:$BM$10,YEAR(AH$8),Финансирование!$E$39:$BM$39)-SUMIF('Квартальная отчетность'!$E$10:$BM$10,YEAR(AH$8),Финансирование!$E$54:$BM$54)</f>
        <v>0</v>
      </c>
      <c r="AI88" s="114">
        <f>-SUMIF('Квартальная отчетность'!$E$10:$BM$10,YEAR(AI$8),Финансирование!$E$39:$BM$39)-SUMIF('Квартальная отчетность'!$E$10:$BM$10,YEAR(AI$8),Финансирование!$E$54:$BM$54)</f>
        <v>0</v>
      </c>
      <c r="AJ88" s="114">
        <f>-SUMIF('Квартальная отчетность'!$E$10:$BM$10,YEAR(AJ$8),Финансирование!$E$39:$BM$39)-SUMIF('Квартальная отчетность'!$E$10:$BM$10,YEAR(AJ$8),Финансирование!$E$54:$BM$54)</f>
        <v>0</v>
      </c>
      <c r="AK88" s="114">
        <f>-SUMIF('Квартальная отчетность'!$E$10:$BM$10,YEAR(AK$8),Финансирование!$E$39:$BM$39)-SUMIF('Квартальная отчетность'!$E$10:$BM$10,YEAR(AK$8),Финансирование!$E$54:$BM$54)</f>
        <v>0</v>
      </c>
      <c r="AL88" s="114">
        <f>-SUMIF('Квартальная отчетность'!$E$10:$BM$10,YEAR(AL$8),Финансирование!$E$39:$BM$39)-SUMIF('Квартальная отчетность'!$E$10:$BM$10,YEAR(AL$8),Финансирование!$E$54:$BM$54)</f>
        <v>0</v>
      </c>
      <c r="AM88" s="114">
        <f>-SUMIF('Квартальная отчетность'!$E$10:$BM$10,YEAR(AM$8),Финансирование!$E$39:$BM$39)-SUMIF('Квартальная отчетность'!$E$10:$BM$10,YEAR(AM$8),Финансирование!$E$54:$BM$54)</f>
        <v>0</v>
      </c>
      <c r="AN88" s="114">
        <f>-SUMIF('Квартальная отчетность'!$E$10:$BM$10,YEAR(AN$8),Финансирование!$E$39:$BM$39)-SUMIF('Квартальная отчетность'!$E$10:$BM$10,YEAR(AN$8),Финансирование!$E$54:$BM$54)</f>
        <v>0</v>
      </c>
      <c r="AO88" s="114">
        <f>-SUMIF('Квартальная отчетность'!$E$10:$BM$10,YEAR(AO$8),Финансирование!$E$39:$BM$39)-SUMIF('Квартальная отчетность'!$E$10:$BM$10,YEAR(AO$8),Финансирование!$E$54:$BM$54)</f>
        <v>0</v>
      </c>
      <c r="AP88" s="114">
        <f>-SUMIF('Квартальная отчетность'!$E$10:$BM$10,YEAR(AP$8),Финансирование!$E$39:$BM$39)-SUMIF('Квартальная отчетность'!$E$10:$BM$10,YEAR(AP$8),Финансирование!$E$54:$BM$54)</f>
        <v>0</v>
      </c>
      <c r="AQ88" s="114">
        <f>-SUMIF('Квартальная отчетность'!$E$10:$BM$10,YEAR(AQ$8),Финансирование!$E$39:$BM$39)-SUMIF('Квартальная отчетность'!$E$10:$BM$10,YEAR(AQ$8),Финансирование!$E$54:$BM$54)</f>
        <v>0</v>
      </c>
      <c r="AR88" s="114">
        <f>-SUMIF('Квартальная отчетность'!$E$10:$BM$10,YEAR(AR$8),Финансирование!$E$39:$BM$39)-SUMIF('Квартальная отчетность'!$E$10:$BM$10,YEAR(AR$8),Финансирование!$E$54:$BM$54)</f>
        <v>0</v>
      </c>
      <c r="AS88" s="114">
        <f>-SUMIF('Квартальная отчетность'!$E$10:$BM$10,YEAR(AS$8),Финансирование!$E$39:$BM$39)-SUMIF('Квартальная отчетность'!$E$10:$BM$10,YEAR(AS$8),Финансирование!$E$54:$BM$54)</f>
        <v>0</v>
      </c>
      <c r="AT88" s="114">
        <f>-SUMIF('Квартальная отчетность'!$E$10:$BM$10,YEAR(AT$8),Финансирование!$E$39:$BM$39)-SUMIF('Квартальная отчетность'!$E$10:$BM$10,YEAR(AT$8),Финансирование!$E$54:$BM$54)</f>
        <v>0</v>
      </c>
      <c r="AU88" s="114">
        <f>-SUMIF('Квартальная отчетность'!$E$10:$BM$10,YEAR(AU$8),Финансирование!$E$39:$BM$39)-SUMIF('Квартальная отчетность'!$E$10:$BM$10,YEAR(AU$8),Финансирование!$E$54:$BM$54)</f>
        <v>0</v>
      </c>
      <c r="AV88" s="114">
        <f>-SUMIF('Квартальная отчетность'!$E$10:$BM$10,YEAR(AV$8),Финансирование!$E$39:$BM$39)-SUMIF('Квартальная отчетность'!$E$10:$BM$10,YEAR(AV$8),Финансирование!$E$54:$BM$54)</f>
        <v>0</v>
      </c>
      <c r="AW88" s="114">
        <f>-SUMIF('Квартальная отчетность'!$E$10:$BM$10,YEAR(AW$8),Финансирование!$E$39:$BM$39)-SUMIF('Квартальная отчетность'!$E$10:$BM$10,YEAR(AW$8),Финансирование!$E$54:$BM$54)</f>
        <v>0</v>
      </c>
      <c r="AX88" s="114">
        <f>-SUMIF('Квартальная отчетность'!$E$10:$BM$10,YEAR(AX$8),Финансирование!$E$39:$BM$39)-SUMIF('Квартальная отчетность'!$E$10:$BM$10,YEAR(AX$8),Финансирование!$E$54:$BM$54)</f>
        <v>0</v>
      </c>
      <c r="AY88" s="114">
        <f>-SUMIF('Квартальная отчетность'!$E$10:$BM$10,YEAR(AY$8),Финансирование!$E$39:$BM$39)-SUMIF('Квартальная отчетность'!$E$10:$BM$10,YEAR(AY$8),Финансирование!$E$54:$BM$54)</f>
        <v>0</v>
      </c>
      <c r="AZ88" s="114">
        <f>-SUMIF('Квартальная отчетность'!$E$10:$BM$10,YEAR(AZ$8),Финансирование!$E$39:$BM$39)-SUMIF('Квартальная отчетность'!$E$10:$BM$10,YEAR(AZ$8),Финансирование!$E$54:$BM$54)</f>
        <v>0</v>
      </c>
      <c r="BA88" s="114">
        <f>-SUMIF('Квартальная отчетность'!$E$10:$BM$10,YEAR(BA$8),Финансирование!$E$39:$BM$39)-SUMIF('Квартальная отчетность'!$E$10:$BM$10,YEAR(BA$8),Финансирование!$E$54:$BM$54)</f>
        <v>0</v>
      </c>
      <c r="BB88" s="114">
        <f>-SUMIF('Квартальная отчетность'!$E$10:$BM$10,YEAR(BB$8),Финансирование!$E$39:$BM$39)-SUMIF('Квартальная отчетность'!$E$10:$BM$10,YEAR(BB$8),Финансирование!$E$54:$BM$54)</f>
        <v>0</v>
      </c>
      <c r="BC88" s="114">
        <f>-SUMIF('Квартальная отчетность'!$E$10:$BM$10,YEAR(BC$8),Финансирование!$E$39:$BM$39)-SUMIF('Квартальная отчетность'!$E$10:$BM$10,YEAR(BC$8),Финансирование!$E$54:$BM$54)</f>
        <v>0</v>
      </c>
      <c r="BD88" s="114">
        <f>-SUMIF('Квартальная отчетность'!$E$10:$BM$10,YEAR(BD$8),Финансирование!$E$39:$BM$39)-SUMIF('Квартальная отчетность'!$E$10:$BM$10,YEAR(BD$8),Финансирование!$E$54:$BM$54)</f>
        <v>0</v>
      </c>
      <c r="BE88" s="114">
        <f>-SUMIF('Квартальная отчетность'!$E$10:$BM$10,YEAR(BE$8),Финансирование!$E$39:$BM$39)-SUMIF('Квартальная отчетность'!$E$10:$BM$10,YEAR(BE$8),Финансирование!$E$54:$BM$54)</f>
        <v>0</v>
      </c>
      <c r="BF88" s="114">
        <f>-SUMIF('Квартальная отчетность'!$E$10:$BM$10,YEAR(BF$8),Финансирование!$E$39:$BM$39)-SUMIF('Квартальная отчетность'!$E$10:$BM$10,YEAR(BF$8),Финансирование!$E$54:$BM$54)</f>
        <v>0</v>
      </c>
      <c r="BG88" s="114">
        <f>-SUMIF('Квартальная отчетность'!$E$10:$BM$10,YEAR(BG$8),Финансирование!$E$39:$BM$39)-SUMIF('Квартальная отчетность'!$E$10:$BM$10,YEAR(BG$8),Финансирование!$E$54:$BM$54)</f>
        <v>0</v>
      </c>
      <c r="BH88" s="114">
        <f>-SUMIF('Квартальная отчетность'!$E$10:$BM$10,YEAR(BH$8),Финансирование!$E$39:$BM$39)-SUMIF('Квартальная отчетность'!$E$10:$BM$10,YEAR(BH$8),Финансирование!$E$54:$BM$54)</f>
        <v>0</v>
      </c>
      <c r="BI88" s="114">
        <f>-SUMIF('Квартальная отчетность'!$E$10:$BM$10,YEAR(BI$8),Финансирование!$E$39:$BM$39)-SUMIF('Квартальная отчетность'!$E$10:$BM$10,YEAR(BI$8),Финансирование!$E$54:$BM$54)</f>
        <v>0</v>
      </c>
      <c r="BJ88" s="114">
        <f>-SUMIF('Квартальная отчетность'!$E$10:$BM$10,YEAR(BJ$8),Финансирование!$E$39:$BM$39)-SUMIF('Квартальная отчетность'!$E$10:$BM$10,YEAR(BJ$8),Финансирование!$E$54:$BM$54)</f>
        <v>0</v>
      </c>
      <c r="BK88" s="114">
        <f>-SUMIF('Квартальная отчетность'!$E$10:$BM$10,YEAR(BK$8),Финансирование!$E$39:$BM$39)-SUMIF('Квартальная отчетность'!$E$10:$BM$10,YEAR(BK$8),Финансирование!$E$54:$BM$54)</f>
        <v>0</v>
      </c>
      <c r="BL88" s="114">
        <f>-SUMIF('Квартальная отчетность'!$E$10:$BM$10,YEAR(BL$8),Финансирование!$E$39:$BM$39)-SUMIF('Квартальная отчетность'!$E$10:$BM$10,YEAR(BL$8),Финансирование!$E$54:$BM$54)</f>
        <v>0</v>
      </c>
      <c r="BM88" s="114">
        <f>-SUMIF('Квартальная отчетность'!$E$10:$BM$10,YEAR(BM$8),Финансирование!$E$39:$BM$39)-SUMIF('Квартальная отчетность'!$E$10:$BM$10,YEAR(BM$8),Финансирование!$E$54:$BM$54)</f>
        <v>0</v>
      </c>
    </row>
    <row r="89" spans="2:65" ht="15" customHeight="1">
      <c r="B89" s="112" t="s">
        <v>235</v>
      </c>
      <c r="C89" s="113" t="str">
        <f t="shared" si="72"/>
        <v>тыс. руб.</v>
      </c>
      <c r="D89" s="114"/>
      <c r="E89" s="114">
        <f ca="1">-'Годовая отчетность'!E86-IF(E$6=1,IFERROR(OFFSET(Предпосылки!F$320,,,,1-LEFT('Квартальная отчетность'!$E$11,1)),0))</f>
        <v>0</v>
      </c>
      <c r="F89" s="114">
        <f ca="1">-'Годовая отчетность'!F86-IF(F$6=1,IFERROR(OFFSET(Предпосылки!G$320,,,,1-LEFT('Квартальная отчетность'!$E$11,1)),0))</f>
        <v>0</v>
      </c>
      <c r="G89" s="114">
        <f ca="1">-'Годовая отчетность'!G86-IF(G$6=1,IFERROR(OFFSET(Предпосылки!H$320,,,,1-LEFT('Квартальная отчетность'!$E$11,1)),0))</f>
        <v>0</v>
      </c>
      <c r="H89" s="114">
        <f ca="1">-'Годовая отчетность'!H86-IF(H$6=1,IFERROR(OFFSET(Предпосылки!I$320,,,,1-LEFT('Квартальная отчетность'!$E$11,1)),0))</f>
        <v>0</v>
      </c>
      <c r="I89" s="114">
        <f ca="1">-'Годовая отчетность'!I86-IF(I$6=1,IFERROR(OFFSET(Предпосылки!J$320,,,,1-LEFT('Квартальная отчетность'!$E$11,1)),0))</f>
        <v>0</v>
      </c>
      <c r="J89" s="114">
        <f ca="1">-'Годовая отчетность'!J86-IF(J$6=1,IFERROR(OFFSET(Предпосылки!K$320,,,,1-LEFT('Квартальная отчетность'!$E$11,1)),0))</f>
        <v>0</v>
      </c>
      <c r="K89" s="114">
        <f ca="1">-'Годовая отчетность'!K86-IF(K$6=1,IFERROR(OFFSET(Предпосылки!L$320,,,,1-LEFT('Квартальная отчетность'!$E$11,1)),0))</f>
        <v>0</v>
      </c>
      <c r="L89" s="114">
        <f ca="1">-'Годовая отчетность'!L86-IF(L$6=1,IFERROR(OFFSET(Предпосылки!M$320,,,,1-LEFT('Квартальная отчетность'!$E$11,1)),0))</f>
        <v>0</v>
      </c>
      <c r="M89" s="114">
        <f ca="1">-'Годовая отчетность'!M86-IF(M$6=1,IFERROR(OFFSET(Предпосылки!N$320,,,,1-LEFT('Квартальная отчетность'!$E$11,1)),0))</f>
        <v>0</v>
      </c>
      <c r="N89" s="114">
        <f ca="1">-'Годовая отчетность'!N86-IF(N$6=1,IFERROR(OFFSET(Предпосылки!O$320,,,,1-LEFT('Квартальная отчетность'!$E$11,1)),0))</f>
        <v>0</v>
      </c>
      <c r="O89" s="114">
        <f ca="1">-'Годовая отчетность'!O86-IF(O$6=1,IFERROR(OFFSET(Предпосылки!P$320,,,,1-LEFT('Квартальная отчетность'!$E$11,1)),0))</f>
        <v>0</v>
      </c>
      <c r="P89" s="114">
        <f ca="1">-'Годовая отчетность'!P86-IF(P$6=1,IFERROR(OFFSET(Предпосылки!Q$320,,,,1-LEFT('Квартальная отчетность'!$E$11,1)),0))</f>
        <v>0</v>
      </c>
      <c r="Q89" s="114">
        <f ca="1">-'Годовая отчетность'!Q86-IF(Q$6=1,IFERROR(OFFSET(Предпосылки!R$320,,,,1-LEFT('Квартальная отчетность'!$E$11,1)),0))</f>
        <v>0</v>
      </c>
      <c r="R89" s="114">
        <f ca="1">-'Годовая отчетность'!R86-IF(R$6=1,IFERROR(OFFSET(Предпосылки!S$320,,,,1-LEFT('Квартальная отчетность'!$E$11,1)),0))</f>
        <v>0</v>
      </c>
      <c r="S89" s="114">
        <f ca="1">-'Годовая отчетность'!S86-IF(S$6=1,IFERROR(OFFSET(Предпосылки!T$320,,,,1-LEFT('Квартальная отчетность'!$E$11,1)),0))</f>
        <v>0</v>
      </c>
      <c r="T89" s="114">
        <f ca="1">-'Годовая отчетность'!T86-IF(T$6=1,IFERROR(OFFSET(Предпосылки!U$320,,,,1-LEFT('Квартальная отчетность'!$E$11,1)),0))</f>
        <v>0</v>
      </c>
      <c r="U89" s="114">
        <f>-'Годовая отчетность'!U86</f>
        <v>0</v>
      </c>
      <c r="V89" s="114">
        <f>-'Годовая отчетность'!V86</f>
        <v>0</v>
      </c>
      <c r="W89" s="114">
        <f>-'Годовая отчетность'!W86</f>
        <v>0</v>
      </c>
      <c r="X89" s="114">
        <f>-'Годовая отчетность'!X86</f>
        <v>0</v>
      </c>
      <c r="Y89" s="114">
        <f>-'Годовая отчетность'!Y86</f>
        <v>0</v>
      </c>
      <c r="Z89" s="114">
        <f>-'Годовая отчетность'!Z86</f>
        <v>0</v>
      </c>
      <c r="AA89" s="114">
        <f>-'Годовая отчетность'!AA86</f>
        <v>0</v>
      </c>
      <c r="AB89" s="114">
        <f>-'Годовая отчетность'!AB86</f>
        <v>0</v>
      </c>
      <c r="AC89" s="114">
        <f>-'Годовая отчетность'!AC86</f>
        <v>0</v>
      </c>
      <c r="AD89" s="114">
        <f>-'Годовая отчетность'!AD86</f>
        <v>0</v>
      </c>
      <c r="AE89" s="114">
        <f>-'Годовая отчетность'!AE86</f>
        <v>0</v>
      </c>
      <c r="AF89" s="114">
        <f>-'Годовая отчетность'!AF86</f>
        <v>0</v>
      </c>
      <c r="AG89" s="114">
        <f>-'Годовая отчетность'!AG86</f>
        <v>0</v>
      </c>
      <c r="AH89" s="114">
        <f>-'Годовая отчетность'!AH86</f>
        <v>0</v>
      </c>
      <c r="AI89" s="114">
        <f>-'Годовая отчетность'!AI86</f>
        <v>0</v>
      </c>
      <c r="AJ89" s="114">
        <f>-'Годовая отчетность'!AJ86</f>
        <v>0</v>
      </c>
      <c r="AK89" s="114">
        <f>-'Годовая отчетность'!AK86</f>
        <v>0</v>
      </c>
      <c r="AL89" s="114">
        <f>-'Годовая отчетность'!AL86</f>
        <v>0</v>
      </c>
      <c r="AM89" s="114">
        <f>-'Годовая отчетность'!AM86</f>
        <v>0</v>
      </c>
      <c r="AN89" s="114">
        <f>-'Годовая отчетность'!AN86</f>
        <v>0</v>
      </c>
      <c r="AO89" s="114">
        <f>-'Годовая отчетность'!AO86</f>
        <v>0</v>
      </c>
      <c r="AP89" s="114">
        <f>-'Годовая отчетность'!AP86</f>
        <v>0</v>
      </c>
      <c r="AQ89" s="114">
        <f>-'Годовая отчетность'!AQ86</f>
        <v>0</v>
      </c>
      <c r="AR89" s="114">
        <f>-'Годовая отчетность'!AR86</f>
        <v>0</v>
      </c>
      <c r="AS89" s="114">
        <f>-'Годовая отчетность'!AS86</f>
        <v>0</v>
      </c>
      <c r="AT89" s="114">
        <f>-'Годовая отчетность'!AT86</f>
        <v>0</v>
      </c>
      <c r="AU89" s="114">
        <f>-'Годовая отчетность'!AU86</f>
        <v>0</v>
      </c>
      <c r="AV89" s="114">
        <f>-'Годовая отчетность'!AV86</f>
        <v>0</v>
      </c>
      <c r="AW89" s="114">
        <f>-'Годовая отчетность'!AW86</f>
        <v>0</v>
      </c>
      <c r="AX89" s="114">
        <f>-'Годовая отчетность'!AX86</f>
        <v>0</v>
      </c>
      <c r="AY89" s="114">
        <f>-'Годовая отчетность'!AY86</f>
        <v>0</v>
      </c>
      <c r="AZ89" s="114">
        <f>-'Годовая отчетность'!AZ86</f>
        <v>0</v>
      </c>
      <c r="BA89" s="114">
        <f>-'Годовая отчетность'!BA86</f>
        <v>0</v>
      </c>
      <c r="BB89" s="114">
        <f>-'Годовая отчетность'!BB86</f>
        <v>0</v>
      </c>
      <c r="BC89" s="114">
        <f>-'Годовая отчетность'!BC86</f>
        <v>0</v>
      </c>
      <c r="BD89" s="114">
        <f>-'Годовая отчетность'!BD86</f>
        <v>0</v>
      </c>
      <c r="BE89" s="114">
        <f>-'Годовая отчетность'!BE86</f>
        <v>0</v>
      </c>
      <c r="BF89" s="114">
        <f>-'Годовая отчетность'!BF86</f>
        <v>0</v>
      </c>
      <c r="BG89" s="114">
        <f>-'Годовая отчетность'!BG86</f>
        <v>0</v>
      </c>
      <c r="BH89" s="114">
        <f>-'Годовая отчетность'!BH86</f>
        <v>0</v>
      </c>
      <c r="BI89" s="114">
        <f>-'Годовая отчетность'!BI86</f>
        <v>0</v>
      </c>
      <c r="BJ89" s="114">
        <f>-'Годовая отчетность'!BJ86</f>
        <v>0</v>
      </c>
      <c r="BK89" s="114">
        <f>-'Годовая отчетность'!BK86</f>
        <v>0</v>
      </c>
      <c r="BL89" s="114">
        <f>-'Годовая отчетность'!BL86</f>
        <v>0</v>
      </c>
      <c r="BM89" s="114">
        <f>-'Годовая отчетность'!BM86</f>
        <v>0</v>
      </c>
    </row>
    <row r="90" spans="2:65" ht="15" customHeight="1">
      <c r="B90" s="112" t="s">
        <v>236</v>
      </c>
      <c r="C90" s="113" t="str">
        <f t="shared" si="72"/>
        <v>тыс. руб.</v>
      </c>
      <c r="D90" s="114"/>
      <c r="E90" s="114">
        <f ca="1">-'Годовая отчетность'!E49-IF(E$6=1,IFERROR(OFFSET(Предпосылки!F$321,,,,1-LEFT('Квартальная отчетность'!$E$11,1)),0))</f>
        <v>0</v>
      </c>
      <c r="F90" s="114">
        <f ca="1">-'Годовая отчетность'!F49-IF(F$6=1,IFERROR(OFFSET(Предпосылки!G$321,,,,1-LEFT('Квартальная отчетность'!$E$11,1)),0))</f>
        <v>0</v>
      </c>
      <c r="G90" s="114">
        <f ca="1">-'Годовая отчетность'!G49-IF(G$6=1,IFERROR(OFFSET(Предпосылки!H$321,,,,1-LEFT('Квартальная отчетность'!$E$11,1)),0))</f>
        <v>0</v>
      </c>
      <c r="H90" s="114">
        <f ca="1">-'Годовая отчетность'!H49-IF(H$6=1,IFERROR(OFFSET(Предпосылки!I$321,,,,1-LEFT('Квартальная отчетность'!$E$11,1)),0))</f>
        <v>0</v>
      </c>
      <c r="I90" s="114">
        <f ca="1">-'Годовая отчетность'!I49-IF(I$6=1,IFERROR(OFFSET(Предпосылки!J$321,,,,1-LEFT('Квартальная отчетность'!$E$11,1)),0))</f>
        <v>0</v>
      </c>
      <c r="J90" s="114">
        <f ca="1">-'Годовая отчетность'!J49-IF(J$6=1,IFERROR(OFFSET(Предпосылки!K$321,,,,1-LEFT('Квартальная отчетность'!$E$11,1)),0))</f>
        <v>0</v>
      </c>
      <c r="K90" s="114">
        <f ca="1">-'Годовая отчетность'!K49-IF(K$6=1,IFERROR(OFFSET(Предпосылки!L$321,,,,1-LEFT('Квартальная отчетность'!$E$11,1)),0))</f>
        <v>0</v>
      </c>
      <c r="L90" s="114">
        <f ca="1">-'Годовая отчетность'!L49-IF(L$6=1,IFERROR(OFFSET(Предпосылки!M$321,,,,1-LEFT('Квартальная отчетность'!$E$11,1)),0))</f>
        <v>0</v>
      </c>
      <c r="M90" s="114">
        <f ca="1">-'Годовая отчетность'!M49-IF(M$6=1,IFERROR(OFFSET(Предпосылки!N$321,,,,1-LEFT('Квартальная отчетность'!$E$11,1)),0))</f>
        <v>0</v>
      </c>
      <c r="N90" s="114">
        <f ca="1">-'Годовая отчетность'!N49-IF(N$6=1,IFERROR(OFFSET(Предпосылки!O$321,,,,1-LEFT('Квартальная отчетность'!$E$11,1)),0))</f>
        <v>0</v>
      </c>
      <c r="O90" s="114">
        <f ca="1">-'Годовая отчетность'!O49-IF(O$6=1,IFERROR(OFFSET(Предпосылки!P$321,,,,1-LEFT('Квартальная отчетность'!$E$11,1)),0))</f>
        <v>0</v>
      </c>
      <c r="P90" s="114">
        <f ca="1">-'Годовая отчетность'!P49-IF(P$6=1,IFERROR(OFFSET(Предпосылки!Q$321,,,,1-LEFT('Квартальная отчетность'!$E$11,1)),0))</f>
        <v>0</v>
      </c>
      <c r="Q90" s="114">
        <f ca="1">-'Годовая отчетность'!Q49-IF(Q$6=1,IFERROR(OFFSET(Предпосылки!R$321,,,,1-LEFT('Квартальная отчетность'!$E$11,1)),0))</f>
        <v>0</v>
      </c>
      <c r="R90" s="114">
        <f ca="1">-'Годовая отчетность'!R49-IF(R$6=1,IFERROR(OFFSET(Предпосылки!S$321,,,,1-LEFT('Квартальная отчетность'!$E$11,1)),0))</f>
        <v>0</v>
      </c>
      <c r="S90" s="114">
        <f ca="1">-'Годовая отчетность'!S49-IF(S$6=1,IFERROR(OFFSET(Предпосылки!T$321,,,,1-LEFT('Квартальная отчетность'!$E$11,1)),0))</f>
        <v>0</v>
      </c>
      <c r="T90" s="114">
        <f ca="1">-'Годовая отчетность'!T49-IF(T$6=1,IFERROR(OFFSET(Предпосылки!U$321,,,,1-LEFT('Квартальная отчетность'!$E$11,1)),0))</f>
        <v>0</v>
      </c>
      <c r="U90" s="114">
        <f>-'Годовая отчетность'!U49</f>
        <v>0</v>
      </c>
      <c r="V90" s="114">
        <f>-'Годовая отчетность'!V49</f>
        <v>0</v>
      </c>
      <c r="W90" s="114">
        <f>-'Годовая отчетность'!W49</f>
        <v>0</v>
      </c>
      <c r="X90" s="114">
        <f>-'Годовая отчетность'!X49</f>
        <v>0</v>
      </c>
      <c r="Y90" s="114">
        <f>-'Годовая отчетность'!Y49</f>
        <v>0</v>
      </c>
      <c r="Z90" s="114">
        <f>-'Годовая отчетность'!Z49</f>
        <v>0</v>
      </c>
      <c r="AA90" s="114">
        <f>-'Годовая отчетность'!AA49</f>
        <v>0</v>
      </c>
      <c r="AB90" s="114">
        <f>-'Годовая отчетность'!AB49</f>
        <v>0</v>
      </c>
      <c r="AC90" s="114">
        <f>-'Годовая отчетность'!AC49</f>
        <v>0</v>
      </c>
      <c r="AD90" s="114">
        <f>-'Годовая отчетность'!AD49</f>
        <v>0</v>
      </c>
      <c r="AE90" s="114">
        <f>-'Годовая отчетность'!AE49</f>
        <v>0</v>
      </c>
      <c r="AF90" s="114">
        <f>-'Годовая отчетность'!AF49</f>
        <v>0</v>
      </c>
      <c r="AG90" s="114">
        <f>-'Годовая отчетность'!AG49</f>
        <v>0</v>
      </c>
      <c r="AH90" s="114">
        <f>-'Годовая отчетность'!AH49</f>
        <v>0</v>
      </c>
      <c r="AI90" s="114">
        <f>-'Годовая отчетность'!AI49</f>
        <v>0</v>
      </c>
      <c r="AJ90" s="114">
        <f>-'Годовая отчетность'!AJ49</f>
        <v>0</v>
      </c>
      <c r="AK90" s="114">
        <f>-'Годовая отчетность'!AK49</f>
        <v>0</v>
      </c>
      <c r="AL90" s="114">
        <f>-'Годовая отчетность'!AL49</f>
        <v>0</v>
      </c>
      <c r="AM90" s="114">
        <f>-'Годовая отчетность'!AM49</f>
        <v>0</v>
      </c>
      <c r="AN90" s="114">
        <f>-'Годовая отчетность'!AN49</f>
        <v>0</v>
      </c>
      <c r="AO90" s="114">
        <f>-'Годовая отчетность'!AO49</f>
        <v>0</v>
      </c>
      <c r="AP90" s="114">
        <f>-'Годовая отчетность'!AP49</f>
        <v>0</v>
      </c>
      <c r="AQ90" s="114">
        <f>-'Годовая отчетность'!AQ49</f>
        <v>0</v>
      </c>
      <c r="AR90" s="114">
        <f>-'Годовая отчетность'!AR49</f>
        <v>0</v>
      </c>
      <c r="AS90" s="114">
        <f>-'Годовая отчетность'!AS49</f>
        <v>0</v>
      </c>
      <c r="AT90" s="114">
        <f>-'Годовая отчетность'!AT49</f>
        <v>0</v>
      </c>
      <c r="AU90" s="114">
        <f>-'Годовая отчетность'!AU49</f>
        <v>0</v>
      </c>
      <c r="AV90" s="114">
        <f>-'Годовая отчетность'!AV49</f>
        <v>0</v>
      </c>
      <c r="AW90" s="114">
        <f>-'Годовая отчетность'!AW49</f>
        <v>0</v>
      </c>
      <c r="AX90" s="114">
        <f>-'Годовая отчетность'!AX49</f>
        <v>0</v>
      </c>
      <c r="AY90" s="114">
        <f>-'Годовая отчетность'!AY49</f>
        <v>0</v>
      </c>
      <c r="AZ90" s="114">
        <f>-'Годовая отчетность'!AZ49</f>
        <v>0</v>
      </c>
      <c r="BA90" s="114">
        <f>-'Годовая отчетность'!BA49</f>
        <v>0</v>
      </c>
      <c r="BB90" s="114">
        <f>-'Годовая отчетность'!BB49</f>
        <v>0</v>
      </c>
      <c r="BC90" s="114">
        <f>-'Годовая отчетность'!BC49</f>
        <v>0</v>
      </c>
      <c r="BD90" s="114">
        <f>-'Годовая отчетность'!BD49</f>
        <v>0</v>
      </c>
      <c r="BE90" s="114">
        <f>-'Годовая отчетность'!BE49</f>
        <v>0</v>
      </c>
      <c r="BF90" s="114">
        <f>-'Годовая отчетность'!BF49</f>
        <v>0</v>
      </c>
      <c r="BG90" s="114">
        <f>-'Годовая отчетность'!BG49</f>
        <v>0</v>
      </c>
      <c r="BH90" s="114">
        <f>-'Годовая отчетность'!BH49</f>
        <v>0</v>
      </c>
      <c r="BI90" s="114">
        <f>-'Годовая отчетность'!BI49</f>
        <v>0</v>
      </c>
      <c r="BJ90" s="114">
        <f>-'Годовая отчетность'!BJ49</f>
        <v>0</v>
      </c>
      <c r="BK90" s="114">
        <f>-'Годовая отчетность'!BK49</f>
        <v>0</v>
      </c>
      <c r="BL90" s="114">
        <f>-'Годовая отчетность'!BL49</f>
        <v>0</v>
      </c>
      <c r="BM90" s="114">
        <f>-'Годовая отчетность'!BM49</f>
        <v>0</v>
      </c>
    </row>
    <row r="91" spans="2:65" ht="15" customHeight="1">
      <c r="B91" s="259" t="s">
        <v>12</v>
      </c>
      <c r="C91" s="260" t="str">
        <f t="shared" si="72"/>
        <v>тыс. руб.</v>
      </c>
      <c r="D91" s="248"/>
      <c r="E91" s="248">
        <f t="shared" ref="E91:AG91" ca="1" si="73">SUM(E85:E90)</f>
        <v>1726.0273972602738</v>
      </c>
      <c r="F91" s="248">
        <f t="shared" ca="1" si="73"/>
        <v>4999.9999999999982</v>
      </c>
      <c r="G91" s="248">
        <f t="shared" ca="1" si="73"/>
        <v>5000.4117074631331</v>
      </c>
      <c r="H91" s="248">
        <f t="shared" ca="1" si="73"/>
        <v>4999.5882925368651</v>
      </c>
      <c r="I91" s="248">
        <f t="shared" ca="1" si="73"/>
        <v>53532.534246575342</v>
      </c>
      <c r="J91" s="248">
        <f t="shared" ca="1" si="73"/>
        <v>50955.479452054795</v>
      </c>
      <c r="K91" s="248">
        <f t="shared" ca="1" si="73"/>
        <v>0</v>
      </c>
      <c r="L91" s="248">
        <f t="shared" ca="1" si="73"/>
        <v>0</v>
      </c>
      <c r="M91" s="248">
        <f t="shared" ca="1" si="73"/>
        <v>0</v>
      </c>
      <c r="N91" s="248">
        <f t="shared" ca="1" si="73"/>
        <v>0</v>
      </c>
      <c r="O91" s="248">
        <f t="shared" ca="1" si="73"/>
        <v>0</v>
      </c>
      <c r="P91" s="248">
        <f t="shared" ca="1" si="73"/>
        <v>0</v>
      </c>
      <c r="Q91" s="248">
        <f t="shared" ca="1" si="73"/>
        <v>0</v>
      </c>
      <c r="R91" s="248">
        <f t="shared" ca="1" si="73"/>
        <v>0</v>
      </c>
      <c r="S91" s="248">
        <f t="shared" ca="1" si="73"/>
        <v>0</v>
      </c>
      <c r="T91" s="248">
        <f t="shared" ca="1" si="73"/>
        <v>0</v>
      </c>
      <c r="U91" s="248">
        <f t="shared" si="73"/>
        <v>0</v>
      </c>
      <c r="V91" s="248">
        <f t="shared" si="73"/>
        <v>0</v>
      </c>
      <c r="W91" s="248">
        <f t="shared" si="73"/>
        <v>0</v>
      </c>
      <c r="X91" s="248">
        <f t="shared" si="73"/>
        <v>0</v>
      </c>
      <c r="Y91" s="248">
        <f t="shared" si="73"/>
        <v>0</v>
      </c>
      <c r="Z91" s="248">
        <f t="shared" si="73"/>
        <v>0</v>
      </c>
      <c r="AA91" s="248">
        <f t="shared" si="73"/>
        <v>0</v>
      </c>
      <c r="AB91" s="248">
        <f t="shared" si="73"/>
        <v>0</v>
      </c>
      <c r="AC91" s="248">
        <f t="shared" si="73"/>
        <v>0</v>
      </c>
      <c r="AD91" s="248">
        <f t="shared" si="73"/>
        <v>0</v>
      </c>
      <c r="AE91" s="248">
        <f t="shared" si="73"/>
        <v>0</v>
      </c>
      <c r="AF91" s="248">
        <f t="shared" si="73"/>
        <v>0</v>
      </c>
      <c r="AG91" s="248">
        <f t="shared" si="73"/>
        <v>0</v>
      </c>
      <c r="AH91" s="248">
        <f t="shared" ref="AH91:BM91" si="74">SUM(AH85:AH90)</f>
        <v>0</v>
      </c>
      <c r="AI91" s="248">
        <f t="shared" si="74"/>
        <v>0</v>
      </c>
      <c r="AJ91" s="248">
        <f t="shared" si="74"/>
        <v>0</v>
      </c>
      <c r="AK91" s="248">
        <f t="shared" si="74"/>
        <v>0</v>
      </c>
      <c r="AL91" s="248">
        <f t="shared" si="74"/>
        <v>0</v>
      </c>
      <c r="AM91" s="248">
        <f t="shared" si="74"/>
        <v>0</v>
      </c>
      <c r="AN91" s="248">
        <f t="shared" si="74"/>
        <v>0</v>
      </c>
      <c r="AO91" s="248">
        <f t="shared" si="74"/>
        <v>0</v>
      </c>
      <c r="AP91" s="248">
        <f t="shared" si="74"/>
        <v>0</v>
      </c>
      <c r="AQ91" s="248">
        <f t="shared" si="74"/>
        <v>0</v>
      </c>
      <c r="AR91" s="248">
        <f t="shared" si="74"/>
        <v>0</v>
      </c>
      <c r="AS91" s="248">
        <f t="shared" si="74"/>
        <v>0</v>
      </c>
      <c r="AT91" s="248">
        <f t="shared" si="74"/>
        <v>0</v>
      </c>
      <c r="AU91" s="248">
        <f t="shared" si="74"/>
        <v>0</v>
      </c>
      <c r="AV91" s="248">
        <f t="shared" si="74"/>
        <v>0</v>
      </c>
      <c r="AW91" s="248">
        <f t="shared" si="74"/>
        <v>0</v>
      </c>
      <c r="AX91" s="248">
        <f t="shared" si="74"/>
        <v>0</v>
      </c>
      <c r="AY91" s="248">
        <f t="shared" si="74"/>
        <v>0</v>
      </c>
      <c r="AZ91" s="248">
        <f t="shared" si="74"/>
        <v>0</v>
      </c>
      <c r="BA91" s="248">
        <f t="shared" si="74"/>
        <v>0</v>
      </c>
      <c r="BB91" s="248">
        <f t="shared" si="74"/>
        <v>0</v>
      </c>
      <c r="BC91" s="248">
        <f t="shared" si="74"/>
        <v>0</v>
      </c>
      <c r="BD91" s="248">
        <f t="shared" si="74"/>
        <v>0</v>
      </c>
      <c r="BE91" s="248">
        <f t="shared" si="74"/>
        <v>0</v>
      </c>
      <c r="BF91" s="248">
        <f t="shared" si="74"/>
        <v>0</v>
      </c>
      <c r="BG91" s="248">
        <f t="shared" si="74"/>
        <v>0</v>
      </c>
      <c r="BH91" s="248">
        <f t="shared" si="74"/>
        <v>0</v>
      </c>
      <c r="BI91" s="248">
        <f t="shared" si="74"/>
        <v>0</v>
      </c>
      <c r="BJ91" s="248">
        <f t="shared" si="74"/>
        <v>0</v>
      </c>
      <c r="BK91" s="248">
        <f t="shared" si="74"/>
        <v>0</v>
      </c>
      <c r="BL91" s="248">
        <f t="shared" si="74"/>
        <v>0</v>
      </c>
      <c r="BM91" s="248">
        <f t="shared" si="74"/>
        <v>0</v>
      </c>
    </row>
    <row r="92" spans="2:65" ht="15" customHeight="1">
      <c r="B92" s="37"/>
      <c r="C92" s="37"/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37"/>
      <c r="U92" s="37"/>
      <c r="V92" s="37"/>
      <c r="W92" s="37"/>
      <c r="X92" s="37"/>
      <c r="Y92" s="37"/>
      <c r="Z92" s="37"/>
      <c r="AA92" s="37"/>
      <c r="AB92" s="37"/>
      <c r="AC92" s="37"/>
      <c r="AD92" s="37"/>
      <c r="AE92" s="37"/>
      <c r="AF92" s="37"/>
      <c r="AG92" s="37"/>
      <c r="AH92" s="37"/>
      <c r="AI92" s="37"/>
      <c r="AJ92" s="37"/>
      <c r="AK92" s="37"/>
      <c r="AL92" s="37"/>
      <c r="AM92" s="37"/>
      <c r="AN92" s="37"/>
      <c r="AO92" s="37"/>
      <c r="AP92" s="37"/>
      <c r="AQ92" s="37"/>
      <c r="AR92" s="37"/>
      <c r="AS92" s="37"/>
      <c r="AT92" s="37"/>
      <c r="AU92" s="37"/>
      <c r="AV92" s="37"/>
      <c r="AW92" s="37"/>
      <c r="AX92" s="37"/>
      <c r="AY92" s="37"/>
      <c r="AZ92" s="37"/>
      <c r="BA92" s="37"/>
      <c r="BB92" s="37"/>
      <c r="BC92" s="37"/>
      <c r="BD92" s="37"/>
      <c r="BE92" s="37"/>
      <c r="BF92" s="37"/>
      <c r="BG92" s="37"/>
      <c r="BH92" s="37"/>
      <c r="BI92" s="37"/>
      <c r="BJ92" s="37"/>
      <c r="BK92" s="37"/>
      <c r="BL92" s="37"/>
      <c r="BM92" s="37"/>
    </row>
    <row r="93" spans="2:65" ht="15" customHeight="1"/>
    <row r="94" spans="2:65" ht="15" customHeight="1"/>
    <row r="95" spans="2:65" ht="15" customHeight="1"/>
    <row r="96" spans="2:65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  <row r="425" ht="15" customHeight="1"/>
    <row r="426" ht="15" customHeight="1"/>
    <row r="427" ht="15" customHeight="1"/>
    <row r="428" ht="15" customHeight="1"/>
    <row r="429" ht="15" customHeight="1"/>
    <row r="430" ht="15" customHeight="1"/>
    <row r="431" ht="15" customHeight="1"/>
    <row r="432" ht="15" customHeight="1"/>
    <row r="433" ht="15" customHeight="1"/>
    <row r="434" ht="15" customHeight="1"/>
    <row r="435" ht="15" customHeight="1"/>
    <row r="436" ht="15" customHeight="1"/>
    <row r="437" ht="15" customHeight="1"/>
    <row r="438" ht="15" customHeight="1"/>
    <row r="439" ht="15" customHeight="1"/>
    <row r="440" ht="15" customHeight="1"/>
    <row r="441" ht="15" customHeight="1"/>
    <row r="442" ht="15" customHeight="1"/>
    <row r="443" ht="15" customHeight="1"/>
    <row r="444" ht="15" customHeight="1"/>
    <row r="445" ht="15" customHeight="1"/>
    <row r="446" ht="15" customHeight="1"/>
    <row r="447" ht="15" customHeight="1"/>
    <row r="448" ht="15" customHeight="1"/>
    <row r="449" ht="15" customHeight="1"/>
    <row r="450" ht="15" customHeight="1"/>
    <row r="451" ht="15" customHeight="1"/>
    <row r="452" ht="15" customHeight="1"/>
    <row r="453" ht="15" customHeight="1"/>
    <row r="454" ht="15" customHeight="1"/>
    <row r="455" ht="15" customHeight="1"/>
    <row r="456" ht="15" customHeight="1"/>
    <row r="457" ht="15" customHeight="1"/>
    <row r="458" ht="15" customHeight="1"/>
    <row r="459" ht="15" customHeight="1"/>
    <row r="460" ht="15" customHeight="1"/>
    <row r="461" ht="15" customHeight="1"/>
    <row r="462" ht="15" customHeight="1"/>
    <row r="463" ht="15" customHeight="1"/>
    <row r="464" ht="15" customHeight="1"/>
    <row r="465" ht="15" customHeight="1"/>
    <row r="466" ht="15" customHeight="1"/>
    <row r="467" ht="15" customHeight="1"/>
    <row r="468" ht="15" customHeight="1"/>
    <row r="469" ht="15" customHeight="1"/>
    <row r="470" ht="15" customHeight="1"/>
    <row r="471" ht="15" customHeight="1"/>
    <row r="472" ht="15" customHeight="1"/>
    <row r="473" ht="15" customHeight="1"/>
    <row r="474" ht="15" customHeight="1"/>
    <row r="475" ht="15" customHeight="1"/>
    <row r="476" ht="15" customHeight="1"/>
    <row r="477" ht="15" customHeight="1"/>
    <row r="478" ht="15" customHeight="1"/>
    <row r="479" ht="15" customHeight="1"/>
    <row r="480" ht="15" customHeight="1"/>
    <row r="481" ht="15" customHeight="1"/>
    <row r="482" ht="15" customHeight="1"/>
    <row r="483" ht="15" customHeight="1"/>
    <row r="484" ht="15" customHeight="1"/>
    <row r="485" ht="15" customHeight="1"/>
    <row r="486" ht="15" customHeight="1"/>
    <row r="487" ht="15" customHeight="1"/>
    <row r="488" ht="15" customHeight="1"/>
    <row r="489" ht="15" customHeight="1"/>
    <row r="490" ht="15" customHeight="1"/>
    <row r="491" ht="15" customHeight="1"/>
    <row r="492" ht="15" customHeight="1"/>
    <row r="493" ht="15" customHeight="1"/>
    <row r="494" ht="15" customHeight="1"/>
    <row r="495" ht="15" customHeight="1"/>
    <row r="496" ht="15" customHeight="1"/>
    <row r="497" ht="15" customHeight="1"/>
    <row r="498" ht="15" customHeight="1"/>
    <row r="499" ht="15" customHeight="1"/>
    <row r="500" ht="15" customHeight="1"/>
    <row r="501" ht="15" customHeight="1"/>
    <row r="502" ht="15" customHeight="1"/>
    <row r="503" ht="15" customHeight="1"/>
    <row r="504" ht="15" customHeight="1"/>
    <row r="505" ht="15" customHeight="1"/>
    <row r="506" ht="15" customHeight="1"/>
    <row r="507" ht="15" customHeight="1"/>
    <row r="508" ht="15" customHeight="1"/>
    <row r="509" ht="15" customHeight="1"/>
    <row r="510" ht="15" customHeight="1"/>
    <row r="511" ht="15" customHeight="1"/>
    <row r="512" ht="15" customHeight="1"/>
    <row r="513" ht="15" customHeight="1"/>
    <row r="514" ht="15" customHeight="1"/>
    <row r="515" ht="15" customHeight="1"/>
    <row r="516" ht="15" customHeight="1"/>
    <row r="517" ht="15" customHeight="1"/>
    <row r="518" ht="15" customHeight="1"/>
    <row r="519" ht="15" customHeight="1"/>
    <row r="520" ht="15" customHeight="1"/>
    <row r="521" ht="15" customHeight="1"/>
    <row r="522" ht="15" customHeight="1"/>
    <row r="523" ht="15" customHeight="1"/>
    <row r="524" ht="15" customHeight="1"/>
    <row r="525" ht="15" customHeight="1"/>
    <row r="526" ht="15" customHeight="1"/>
    <row r="527" ht="15" customHeight="1"/>
    <row r="528" ht="15" customHeight="1"/>
  </sheetData>
  <sheetProtection algorithmName="SHA-512" hashValue="bsFwMa5HBhnLa50vh6s7ZXH9lXiYzrj4UP+78Xe8Vhv5mvn4Zm3NBGKHUcuqxXmW4U3efd9Rq7C1ReF2ZBlXmw==" saltValue="DLGQuLR9gTaFILTGocmIOA==" spinCount="100000" sheet="1" objects="1" scenarios="1"/>
  <dataConsolidate link="1"/>
  <mergeCells count="4">
    <mergeCell ref="B6:B8"/>
    <mergeCell ref="C6:C8"/>
    <mergeCell ref="E2:H2"/>
    <mergeCell ref="E4:G4"/>
  </mergeCells>
  <conditionalFormatting sqref="E11">
    <cfRule type="cellIs" dxfId="68" priority="10" operator="equal">
      <formula>1</formula>
    </cfRule>
  </conditionalFormatting>
  <conditionalFormatting sqref="E4">
    <cfRule type="expression" dxfId="67" priority="5">
      <formula>$H$4="Q"</formula>
    </cfRule>
    <cfRule type="expression" dxfId="66" priority="6">
      <formula>$H$4="R"</formula>
    </cfRule>
  </conditionalFormatting>
  <conditionalFormatting sqref="H4">
    <cfRule type="cellIs" dxfId="65" priority="3" operator="equal">
      <formula>"Q"</formula>
    </cfRule>
    <cfRule type="cellIs" dxfId="64" priority="4" operator="equal">
      <formula>"R"</formula>
    </cfRule>
  </conditionalFormatting>
  <conditionalFormatting sqref="F11:BM11">
    <cfRule type="cellIs" dxfId="63" priority="1" operator="equal">
      <formula>1</formula>
    </cfRule>
  </conditionalFormatting>
  <hyperlinks>
    <hyperlink ref="E4:G4" location="Проверка!A1" tooltip="Перейти на лист Проверка" display="Проверка!A1"/>
    <hyperlink ref="E3" location="Руководство!A1" tooltip="Перейти на лист Руководство" display="Руководство"/>
    <hyperlink ref="F3" location="'Параметры займа'!A1" tooltip="Перейти на лист Параметры займа" display="Параметры займа"/>
    <hyperlink ref="G3" location="Предпосылки!A1" tooltip="Перейти на лист Предпосылки" display="Предпосылки"/>
    <hyperlink ref="H3" location="Выводы!A1" tooltip="Перейти на лист Выводы" display="Выводы"/>
    <hyperlink ref="H4" location="Проверка!A1" tooltip="Перейти на лист Проверка" display="Проверка!A1"/>
    <hyperlink ref="E2:H2" r:id="rId1" tooltip="Написать в Техподдержку" display="Техподдержка финансовой модели Фонда: fm@frprf.ru"/>
  </hyperlinks>
  <pageMargins left="0.7" right="0.7" top="0.75" bottom="0.75" header="0.3" footer="0.3"/>
  <pageSetup paperSize="9" scale="11" fitToHeight="0" orientation="landscape" r:id="rId2"/>
  <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3">
    <tabColor rgb="FFC8E6E5"/>
    <pageSetUpPr fitToPage="1"/>
  </sheetPr>
  <dimension ref="A1:BF223"/>
  <sheetViews>
    <sheetView showGridLines="0" zoomScale="80" zoomScaleNormal="80" zoomScaleSheetLayoutView="70" workbookViewId="0">
      <pane ySplit="5" topLeftCell="A6" activePane="bottomLeft" state="frozen"/>
      <selection activeCell="K3" sqref="K3"/>
      <selection pane="bottomLeft" activeCell="N69" sqref="N69"/>
    </sheetView>
  </sheetViews>
  <sheetFormatPr defaultColWidth="0" defaultRowHeight="15" customHeight="1" zeroHeight="1"/>
  <cols>
    <col min="1" max="1" width="2.7109375" customWidth="1"/>
    <col min="2" max="2" width="44" customWidth="1"/>
    <col min="3" max="21" width="18.85546875" customWidth="1"/>
    <col min="22" max="22" width="2.7109375" customWidth="1"/>
    <col min="23" max="34" width="15.7109375" hidden="1" customWidth="1"/>
    <col min="35" max="35" width="2.85546875" hidden="1" customWidth="1"/>
    <col min="36" max="40" width="15.7109375" hidden="1" customWidth="1"/>
    <col min="41" max="41" width="2.85546875" hidden="1" customWidth="1"/>
    <col min="42" max="58" width="0" hidden="1" customWidth="1"/>
    <col min="59" max="16384" width="9.140625" hidden="1"/>
  </cols>
  <sheetData>
    <row r="1" spans="2:40" ht="15" customHeight="1"/>
    <row r="2" spans="2:40" ht="14.45" customHeight="1">
      <c r="C2" s="537" t="s">
        <v>168</v>
      </c>
      <c r="D2" s="533" t="str">
        <f>IF(ISBLANK(Предпосылки!B9),"&lt;…&gt;",CONCATENATE(Предпосылки!C10,"  ",Предпосылки!B9," / ",Предпосылки!E10," / ",Программа))</f>
        <v>&lt;…&gt;</v>
      </c>
      <c r="E2" s="533"/>
      <c r="F2" s="533"/>
      <c r="G2" s="533"/>
      <c r="H2" s="533"/>
      <c r="I2" s="533"/>
      <c r="J2" s="533"/>
      <c r="K2" s="533"/>
      <c r="L2" s="533"/>
      <c r="M2" s="534"/>
      <c r="N2" s="152"/>
      <c r="O2" s="152"/>
      <c r="P2" s="152"/>
      <c r="Q2" s="152"/>
      <c r="R2" s="152"/>
      <c r="S2" s="152"/>
      <c r="T2" s="152"/>
      <c r="U2" s="152"/>
    </row>
    <row r="3" spans="2:40" ht="15" customHeight="1">
      <c r="C3" s="538"/>
      <c r="D3" s="535"/>
      <c r="E3" s="535"/>
      <c r="F3" s="535"/>
      <c r="G3" s="535"/>
      <c r="H3" s="535"/>
      <c r="I3" s="535"/>
      <c r="J3" s="535"/>
      <c r="K3" s="535"/>
      <c r="L3" s="535"/>
      <c r="M3" s="536"/>
      <c r="N3" s="152"/>
      <c r="O3" s="152"/>
      <c r="P3" s="152"/>
      <c r="Q3" s="152"/>
      <c r="R3" s="152"/>
      <c r="S3" s="152"/>
      <c r="T3" s="152"/>
      <c r="U3" s="152"/>
    </row>
    <row r="4" spans="2:40" ht="15" customHeight="1">
      <c r="O4" s="236" t="s">
        <v>13</v>
      </c>
      <c r="P4" s="156" t="s">
        <v>448</v>
      </c>
      <c r="Q4" s="156">
        <v>1000</v>
      </c>
    </row>
    <row r="5" spans="2:40" ht="31.5">
      <c r="B5" s="7" t="s">
        <v>172</v>
      </c>
      <c r="C5" s="7"/>
      <c r="E5" s="7"/>
      <c r="F5" s="6"/>
      <c r="G5" s="6"/>
      <c r="H5" s="6"/>
      <c r="I5" s="6"/>
      <c r="J5" s="6"/>
      <c r="K5" s="6"/>
      <c r="L5" s="6"/>
      <c r="M5" s="6"/>
      <c r="N5" s="6"/>
      <c r="O5" s="268" t="s">
        <v>11</v>
      </c>
      <c r="P5" s="157" t="s">
        <v>11</v>
      </c>
      <c r="Q5" s="157">
        <v>1</v>
      </c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</row>
    <row r="6" spans="2:40" ht="15" customHeight="1"/>
    <row r="7" spans="2:40" ht="21">
      <c r="B7" s="316" t="s">
        <v>262</v>
      </c>
      <c r="C7" s="37"/>
      <c r="D7" s="37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  <c r="U7" s="37"/>
    </row>
    <row r="8" spans="2:40" ht="15" customHeight="1">
      <c r="B8" s="118" t="s">
        <v>272</v>
      </c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</row>
    <row r="9" spans="2:40" ht="15" customHeight="1">
      <c r="B9" s="531" t="s">
        <v>255</v>
      </c>
      <c r="C9" s="531" t="s">
        <v>13</v>
      </c>
      <c r="D9" s="531" t="s">
        <v>12</v>
      </c>
      <c r="E9" s="531">
        <f>YEAR('Годовая отчетность'!E$8)</f>
        <v>2026</v>
      </c>
      <c r="F9" s="531">
        <f>YEAR('Годовая отчетность'!F$8)</f>
        <v>2027</v>
      </c>
      <c r="G9" s="531">
        <f>YEAR('Годовая отчетность'!G$8)</f>
        <v>2028</v>
      </c>
      <c r="H9" s="531">
        <f>YEAR('Годовая отчетность'!H$8)</f>
        <v>2029</v>
      </c>
      <c r="I9" s="531">
        <f>YEAR('Годовая отчетность'!I$8)</f>
        <v>2030</v>
      </c>
      <c r="J9" s="531">
        <f>YEAR('Годовая отчетность'!J$8)</f>
        <v>2031</v>
      </c>
      <c r="K9" s="531">
        <f>YEAR('Годовая отчетность'!K$8)</f>
        <v>2032</v>
      </c>
      <c r="L9" s="531">
        <f>YEAR('Годовая отчетность'!L$8)</f>
        <v>2033</v>
      </c>
      <c r="M9" s="531">
        <f>YEAR('Годовая отчетность'!M$8)</f>
        <v>2034</v>
      </c>
      <c r="N9" s="531">
        <f>YEAR('Годовая отчетность'!N$8)</f>
        <v>2035</v>
      </c>
      <c r="O9" s="531">
        <f>YEAR('Годовая отчетность'!O$8)</f>
        <v>2036</v>
      </c>
      <c r="P9" s="37"/>
      <c r="Q9" s="37"/>
      <c r="R9" s="37"/>
      <c r="S9" s="37"/>
      <c r="T9" s="37"/>
    </row>
    <row r="10" spans="2:40" ht="15" customHeight="1">
      <c r="B10" s="532"/>
      <c r="C10" s="532"/>
      <c r="D10" s="532"/>
      <c r="E10" s="532"/>
      <c r="F10" s="532"/>
      <c r="G10" s="532"/>
      <c r="H10" s="532"/>
      <c r="I10" s="532"/>
      <c r="J10" s="532"/>
      <c r="K10" s="532"/>
      <c r="L10" s="532"/>
      <c r="M10" s="532"/>
      <c r="N10" s="532"/>
      <c r="O10" s="532"/>
      <c r="P10" s="37"/>
      <c r="Q10" s="37"/>
      <c r="R10" s="37"/>
      <c r="S10" s="37"/>
      <c r="T10" s="37"/>
    </row>
    <row r="11" spans="2:40" ht="15" customHeight="1">
      <c r="B11" s="128" t="s">
        <v>273</v>
      </c>
      <c r="C11" s="160" t="str">
        <f>O5</f>
        <v>тыс. руб.</v>
      </c>
      <c r="D11" s="265">
        <f ca="1">SUM(E11:T11)</f>
        <v>0</v>
      </c>
      <c r="E11" s="159">
        <f ca="1">IF(E$9&gt;YEAR('Квартальная отчетность'!$K$3),"-",SUMIFS('Квартальная отчетность'!$E$35:$BM$35,'Квартальная отчетность'!$E$10:$BM$10,Выводы!E$9)/LOOKUP($O$5,$P$4:$P$5,$Q$4:$Q$5))</f>
        <v>0</v>
      </c>
      <c r="F11" s="159">
        <f ca="1">IF(F$9&gt;YEAR('Квартальная отчетность'!$K$3),"-",SUMIFS('Квартальная отчетность'!$E$35:$BM$35,'Квартальная отчетность'!$E$10:$BM$10,Выводы!F$9)/LOOKUP($O$5,$P$4:$P$5,$Q$4:$Q$5))</f>
        <v>0</v>
      </c>
      <c r="G11" s="159">
        <f ca="1">IF(G$9&gt;YEAR('Квартальная отчетность'!$K$3),"-",SUMIFS('Квартальная отчетность'!$E$35:$BM$35,'Квартальная отчетность'!$E$10:$BM$10,Выводы!G$9)/LOOKUP($O$5,$P$4:$P$5,$Q$4:$Q$5))</f>
        <v>0</v>
      </c>
      <c r="H11" s="159">
        <f ca="1">IF(H$9&gt;YEAR('Квартальная отчетность'!$K$3),"-",SUMIFS('Квартальная отчетность'!$E$35:$BM$35,'Квартальная отчетность'!$E$10:$BM$10,Выводы!H$9)/LOOKUP($O$5,$P$4:$P$5,$Q$4:$Q$5))</f>
        <v>0</v>
      </c>
      <c r="I11" s="159">
        <f ca="1">IF(I$9&gt;YEAR('Квартальная отчетность'!$K$3),"-",SUMIFS('Квартальная отчетность'!$E$35:$BM$35,'Квартальная отчетность'!$E$10:$BM$10,Выводы!I$9)/LOOKUP($O$5,$P$4:$P$5,$Q$4:$Q$5))</f>
        <v>0</v>
      </c>
      <c r="J11" s="159">
        <f ca="1">IF(J$9&gt;YEAR('Квартальная отчетность'!$K$3),"-",SUMIFS('Квартальная отчетность'!$E$35:$BM$35,'Квартальная отчетность'!$E$10:$BM$10,Выводы!J$9)/LOOKUP($O$5,$P$4:$P$5,$Q$4:$Q$5))</f>
        <v>0</v>
      </c>
      <c r="K11" s="159" t="str">
        <f>IF(K$9&gt;YEAR('Квартальная отчетность'!$K$3),"-",SUMIFS('Квартальная отчетность'!$E$35:$BM$35,'Квартальная отчетность'!$E$10:$BM$10,Выводы!K$9)/LOOKUP($O$5,$P$4:$P$5,$Q$4:$Q$5))</f>
        <v>-</v>
      </c>
      <c r="L11" s="159" t="str">
        <f>IF(L$9&gt;YEAR('Квартальная отчетность'!$K$3),"-",SUMIFS('Квартальная отчетность'!$E$35:$BM$35,'Квартальная отчетность'!$E$10:$BM$10,Выводы!L$9)/LOOKUP($O$5,$P$4:$P$5,$Q$4:$Q$5))</f>
        <v>-</v>
      </c>
      <c r="M11" s="159" t="str">
        <f>IF(M$9&gt;YEAR('Квартальная отчетность'!$K$3),"-",SUMIFS('Квартальная отчетность'!$E$35:$BM$35,'Квартальная отчетность'!$E$10:$BM$10,Выводы!M$9)/LOOKUP($O$5,$P$4:$P$5,$Q$4:$Q$5))</f>
        <v>-</v>
      </c>
      <c r="N11" s="159" t="str">
        <f>IF(N$9&gt;YEAR('Квартальная отчетность'!$K$3),"-",SUMIFS('Квартальная отчетность'!$E$35:$BM$35,'Квартальная отчетность'!$E$10:$BM$10,Выводы!N$9)/LOOKUP($O$5,$P$4:$P$5,$Q$4:$Q$5))</f>
        <v>-</v>
      </c>
      <c r="O11" s="159" t="str">
        <f>IF(O$9&gt;YEAR('Квартальная отчетность'!$K$3),"-",SUMIFS('Квартальная отчетность'!$E$35:$BM$35,'Квартальная отчетность'!$E$10:$BM$10,Выводы!O$9)/LOOKUP($O$5,$P$4:$P$5,$Q$4:$Q$5))</f>
        <v>-</v>
      </c>
      <c r="P11" s="37"/>
      <c r="Q11" s="37"/>
      <c r="R11" s="37"/>
      <c r="S11" s="37"/>
      <c r="T11" s="37"/>
    </row>
    <row r="12" spans="2:40" ht="15" customHeight="1">
      <c r="B12" s="130" t="s">
        <v>274</v>
      </c>
      <c r="C12" s="161" t="str">
        <f>O5</f>
        <v>тыс. руб.</v>
      </c>
      <c r="D12" s="265">
        <f ca="1">SUM(E12:T12)</f>
        <v>0</v>
      </c>
      <c r="E12" s="136">
        <f ca="1">IF(E$9&gt;YEAR('Квартальная отчетность'!$K$3),"-",IFERROR(E11*Предпосылки!$C$306,0)/LOOKUP($O$5,$P$4:$P$5,$Q$4:$Q$5))</f>
        <v>0</v>
      </c>
      <c r="F12" s="136">
        <f ca="1">IF(F$9&gt;YEAR('Квартальная отчетность'!$K$3),"-",IFERROR(F11*Предпосылки!$C$306,0)/LOOKUP($O$5,$P$4:$P$5,$Q$4:$Q$5))</f>
        <v>0</v>
      </c>
      <c r="G12" s="136">
        <f ca="1">IF(G$9&gt;YEAR('Квартальная отчетность'!$K$3),"-",IFERROR(G11*Предпосылки!$C$306,0)/LOOKUP($O$5,$P$4:$P$5,$Q$4:$Q$5))</f>
        <v>0</v>
      </c>
      <c r="H12" s="136">
        <f ca="1">IF(H$9&gt;YEAR('Квартальная отчетность'!$K$3),"-",IFERROR(H11*Предпосылки!$C$306,0)/LOOKUP($O$5,$P$4:$P$5,$Q$4:$Q$5))</f>
        <v>0</v>
      </c>
      <c r="I12" s="136">
        <f ca="1">IF(I$9&gt;YEAR('Квартальная отчетность'!$K$3),"-",IFERROR(I11*Предпосылки!$C$306,0)/LOOKUP($O$5,$P$4:$P$5,$Q$4:$Q$5))</f>
        <v>0</v>
      </c>
      <c r="J12" s="136">
        <f ca="1">IF(J$9&gt;YEAR('Квартальная отчетность'!$K$3),"-",IFERROR(J11*Предпосылки!$C$306,0)/LOOKUP($O$5,$P$4:$P$5,$Q$4:$Q$5))</f>
        <v>0</v>
      </c>
      <c r="K12" s="136" t="str">
        <f>IF(K$9&gt;YEAR('Квартальная отчетность'!$K$3),"-",IFERROR(K11*Предпосылки!$C$306,0)/LOOKUP($O$5,$P$4:$P$5,$Q$4:$Q$5))</f>
        <v>-</v>
      </c>
      <c r="L12" s="136" t="str">
        <f>IF(L$9&gt;YEAR('Квартальная отчетность'!$K$3),"-",IFERROR(L11*Предпосылки!$C$306,0)/LOOKUP($O$5,$P$4:$P$5,$Q$4:$Q$5))</f>
        <v>-</v>
      </c>
      <c r="M12" s="136" t="str">
        <f>IF(M$9&gt;YEAR('Квартальная отчетность'!$K$3),"-",IFERROR(M11*Предпосылки!$C$306,0)/LOOKUP($O$5,$P$4:$P$5,$Q$4:$Q$5))</f>
        <v>-</v>
      </c>
      <c r="N12" s="136" t="str">
        <f>IF(N$9&gt;YEAR('Квартальная отчетность'!$K$3),"-",IFERROR(N11*Предпосылки!$C$306,0)/LOOKUP($O$5,$P$4:$P$5,$Q$4:$Q$5))</f>
        <v>-</v>
      </c>
      <c r="O12" s="136" t="str">
        <f>IF(O$9&gt;YEAR('Квартальная отчетность'!$K$3),"-",IFERROR(O11*Предпосылки!$C$306,0)/LOOKUP($O$5,$P$4:$P$5,$Q$4:$Q$5))</f>
        <v>-</v>
      </c>
      <c r="P12" s="37"/>
      <c r="Q12" s="37"/>
      <c r="R12" s="37"/>
      <c r="S12" s="37"/>
      <c r="T12" s="37"/>
    </row>
    <row r="13" spans="2:40" ht="15" customHeight="1">
      <c r="B13" s="130" t="s">
        <v>275</v>
      </c>
      <c r="C13" s="161" t="str">
        <f>O5</f>
        <v>тыс. руб.</v>
      </c>
      <c r="D13" s="265">
        <f ca="1">SUM(E13:T13)</f>
        <v>0</v>
      </c>
      <c r="E13" s="136">
        <f ca="1">IF(E$9&gt;YEAR('Квартальная отчетность'!$K$3),"-",SUMIF(Показатели!$E$10:$BM$10,E$9,Показатели!$E$18:$BM$18)/LOOKUP($O$5,$P$4:$P$5,$Q$4:$Q$5))</f>
        <v>0</v>
      </c>
      <c r="F13" s="136">
        <f ca="1">IF(F$9&gt;YEAR('Квартальная отчетность'!$K$3),"-",SUMIF(Показатели!$E$10:$BM$10,F$9,Показатели!$E$18:$BM$18)/LOOKUP($O$5,$P$4:$P$5,$Q$4:$Q$5))</f>
        <v>0</v>
      </c>
      <c r="G13" s="136">
        <f ca="1">IF(G$9&gt;YEAR('Квартальная отчетность'!$K$3),"-",SUMIF(Показатели!$E$10:$BM$10,G$9,Показатели!$E$18:$BM$18)/LOOKUP($O$5,$P$4:$P$5,$Q$4:$Q$5))</f>
        <v>0</v>
      </c>
      <c r="H13" s="136">
        <f ca="1">IF(H$9&gt;YEAR('Квартальная отчетность'!$K$3),"-",SUMIF(Показатели!$E$10:$BM$10,H$9,Показатели!$E$18:$BM$18)/LOOKUP($O$5,$P$4:$P$5,$Q$4:$Q$5))</f>
        <v>0</v>
      </c>
      <c r="I13" s="136">
        <f ca="1">IF(I$9&gt;YEAR('Квартальная отчетность'!$K$3),"-",SUMIF(Показатели!$E$10:$BM$10,I$9,Показатели!$E$18:$BM$18)/LOOKUP($O$5,$P$4:$P$5,$Q$4:$Q$5))</f>
        <v>0</v>
      </c>
      <c r="J13" s="136">
        <f ca="1">IF(J$9&gt;YEAR('Квартальная отчетность'!$K$3),"-",SUMIF(Показатели!$E$10:$BM$10,J$9,Показатели!$E$18:$BM$18)/LOOKUP($O$5,$P$4:$P$5,$Q$4:$Q$5))</f>
        <v>0</v>
      </c>
      <c r="K13" s="136" t="str">
        <f>IF(K$9&gt;YEAR('Квартальная отчетность'!$K$3),"-",SUMIF(Показатели!$E$10:$BM$10,K$9,Показатели!$E$18:$BM$18)/LOOKUP($O$5,$P$4:$P$5,$Q$4:$Q$5))</f>
        <v>-</v>
      </c>
      <c r="L13" s="136" t="str">
        <f>IF(L$9&gt;YEAR('Квартальная отчетность'!$K$3),"-",SUMIF(Показатели!$E$10:$BM$10,L$9,Показатели!$E$18:$BM$18)/LOOKUP($O$5,$P$4:$P$5,$Q$4:$Q$5))</f>
        <v>-</v>
      </c>
      <c r="M13" s="136" t="str">
        <f>IF(M$9&gt;YEAR('Квартальная отчетность'!$K$3),"-",SUMIF(Показатели!$E$10:$BM$10,M$9,Показатели!$E$18:$BM$18)/LOOKUP($O$5,$P$4:$P$5,$Q$4:$Q$5))</f>
        <v>-</v>
      </c>
      <c r="N13" s="136" t="str">
        <f>IF(N$9&gt;YEAR('Квартальная отчетность'!$K$3),"-",SUMIF(Показатели!$E$10:$BM$10,N$9,Показатели!$E$18:$BM$18)/LOOKUP($O$5,$P$4:$P$5,$Q$4:$Q$5))</f>
        <v>-</v>
      </c>
      <c r="O13" s="136" t="str">
        <f>IF(O$9&gt;YEAR('Квартальная отчетность'!$K$3),"-",SUMIF(Показатели!$E$10:$BM$10,O$9,Показатели!$E$18:$BM$18)/LOOKUP($O$5,$P$4:$P$5,$Q$4:$Q$5))</f>
        <v>-</v>
      </c>
      <c r="P13" s="37"/>
      <c r="Q13" s="37"/>
      <c r="R13" s="37"/>
      <c r="S13" s="37"/>
      <c r="T13" s="37"/>
    </row>
    <row r="14" spans="2:40" ht="15" customHeight="1">
      <c r="B14" s="130" t="s">
        <v>276</v>
      </c>
      <c r="C14" s="135" t="s">
        <v>277</v>
      </c>
      <c r="D14" s="271">
        <f>SUM(E14:T14)</f>
        <v>0</v>
      </c>
      <c r="E14" s="136">
        <f>IF(E$9&gt;YEAR('Квартальная отчетность'!$K$3),"-",Предпосылки!C177)</f>
        <v>0</v>
      </c>
      <c r="F14" s="136">
        <f>IF(F$9&gt;YEAR('Квартальная отчетность'!$K$3),"-",Предпосылки!D177)</f>
        <v>0</v>
      </c>
      <c r="G14" s="136">
        <f>IF(G$9&gt;YEAR('Квартальная отчетность'!$K$3),"-",Предпосылки!E177)</f>
        <v>0</v>
      </c>
      <c r="H14" s="136">
        <f>IF(H$9&gt;YEAR('Квартальная отчетность'!$K$3),"-",Предпосылки!F177)</f>
        <v>0</v>
      </c>
      <c r="I14" s="136">
        <f>IF(I$9&gt;YEAR('Квартальная отчетность'!$K$3),"-",Предпосылки!G177)</f>
        <v>0</v>
      </c>
      <c r="J14" s="136">
        <f>IF(J$9&gt;YEAR('Квартальная отчетность'!$K$3),"-",Предпосылки!H177)</f>
        <v>0</v>
      </c>
      <c r="K14" s="136" t="str">
        <f>IF(K$9&gt;YEAR('Квартальная отчетность'!$K$3),"-",Предпосылки!I177)</f>
        <v>-</v>
      </c>
      <c r="L14" s="136" t="str">
        <f>IF(L$9&gt;YEAR('Квартальная отчетность'!$K$3),"-",Предпосылки!J177)</f>
        <v>-</v>
      </c>
      <c r="M14" s="136" t="str">
        <f>IF(M$9&gt;YEAR('Квартальная отчетность'!$K$3),"-",Предпосылки!K177)</f>
        <v>-</v>
      </c>
      <c r="N14" s="136" t="str">
        <f>IF(N$9&gt;YEAR('Квартальная отчетность'!$K$3),"-",Предпосылки!L177)</f>
        <v>-</v>
      </c>
      <c r="O14" s="136" t="str">
        <f>IF(O$9&gt;YEAR('Квартальная отчетность'!$K$3),"-",Предпосылки!M177)</f>
        <v>-</v>
      </c>
      <c r="P14" s="37"/>
      <c r="Q14" s="37"/>
      <c r="R14" s="37"/>
      <c r="S14" s="37"/>
      <c r="T14" s="37"/>
    </row>
    <row r="15" spans="2:40" ht="15" customHeight="1">
      <c r="B15" s="37"/>
      <c r="C15" s="37"/>
      <c r="D15" s="37"/>
      <c r="E15" s="37"/>
      <c r="F15" s="37"/>
      <c r="G15" s="37"/>
      <c r="H15" s="37"/>
      <c r="I15" s="37"/>
      <c r="J15" s="37"/>
      <c r="K15" s="37"/>
      <c r="L15" s="37"/>
      <c r="M15" s="37"/>
      <c r="N15" s="37"/>
      <c r="O15" s="37"/>
      <c r="P15" s="37"/>
      <c r="Q15" s="37"/>
      <c r="R15" s="37"/>
      <c r="S15" s="37"/>
      <c r="T15" s="37"/>
      <c r="U15" s="37"/>
    </row>
    <row r="16" spans="2:40" ht="15" customHeight="1">
      <c r="B16" s="118" t="s">
        <v>297</v>
      </c>
      <c r="C16" s="37"/>
      <c r="D16" s="37"/>
      <c r="E16" s="37"/>
      <c r="F16" s="37"/>
      <c r="G16" s="37"/>
      <c r="H16" s="37"/>
      <c r="I16" s="37"/>
      <c r="J16" s="37"/>
      <c r="K16" s="37"/>
      <c r="L16" s="37"/>
      <c r="M16" s="37"/>
      <c r="N16" s="37"/>
      <c r="O16" s="37"/>
      <c r="P16" s="37"/>
      <c r="Q16" s="37"/>
      <c r="R16" s="37"/>
      <c r="S16" s="37"/>
      <c r="T16" s="37"/>
      <c r="U16" s="37"/>
    </row>
    <row r="17" spans="2:21" ht="15" customHeight="1">
      <c r="B17" s="531" t="s">
        <v>9</v>
      </c>
      <c r="C17" s="531" t="s">
        <v>13</v>
      </c>
      <c r="D17" s="531" t="s">
        <v>12</v>
      </c>
      <c r="E17" s="531" t="s">
        <v>27</v>
      </c>
      <c r="F17" s="531" t="s">
        <v>258</v>
      </c>
      <c r="G17" s="539" t="s">
        <v>365</v>
      </c>
      <c r="H17" s="37"/>
      <c r="I17" s="37"/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  <c r="U17" s="37"/>
    </row>
    <row r="18" spans="2:21" ht="15" customHeight="1">
      <c r="B18" s="532"/>
      <c r="C18" s="532"/>
      <c r="D18" s="532"/>
      <c r="E18" s="532"/>
      <c r="F18" s="532"/>
      <c r="G18" s="532"/>
      <c r="H18" s="37"/>
      <c r="I18" s="37"/>
      <c r="J18" s="37"/>
      <c r="K18" s="37"/>
      <c r="L18" s="37"/>
      <c r="M18" s="37"/>
      <c r="N18" s="37"/>
      <c r="O18" s="37"/>
      <c r="P18" s="37"/>
      <c r="Q18" s="37"/>
      <c r="R18" s="37"/>
      <c r="S18" s="37"/>
      <c r="T18" s="37"/>
      <c r="U18" s="37"/>
    </row>
    <row r="19" spans="2:21" ht="15" customHeight="1">
      <c r="B19" s="128" t="s">
        <v>293</v>
      </c>
      <c r="C19" s="160" t="str">
        <f>$O$5</f>
        <v>тыс. руб.</v>
      </c>
      <c r="D19" s="271">
        <f>SUM(F19:G19)</f>
        <v>0</v>
      </c>
      <c r="E19" s="273">
        <f ca="1">IFERROR(D19/$D$24,0)</f>
        <v>0</v>
      </c>
      <c r="F19" s="162">
        <f>Предпосылки!C248/LOOKUP($O$5,$P$4:$P$5,$Q$4:$Q$5)</f>
        <v>0</v>
      </c>
      <c r="G19" s="162">
        <f>Предпосылки!D248/LOOKUP($O$5,$P$4:$P$5,$Q$4:$Q$5)</f>
        <v>0</v>
      </c>
      <c r="H19" s="303" t="str">
        <f ca="1">IF(E19+E20+E21+E22&lt;0.2,"доля софинансирования менее 20%","")</f>
        <v>доля софинансирования менее 20%</v>
      </c>
      <c r="I19" s="37"/>
      <c r="J19" s="37"/>
      <c r="K19" s="37"/>
      <c r="L19" s="37"/>
      <c r="M19" s="37"/>
      <c r="N19" s="37"/>
      <c r="O19" s="37"/>
      <c r="P19" s="37"/>
      <c r="Q19" s="37"/>
      <c r="R19" s="37"/>
      <c r="S19" s="37"/>
      <c r="T19" s="37"/>
      <c r="U19" s="37"/>
    </row>
    <row r="20" spans="2:21" ht="15" customHeight="1">
      <c r="B20" s="130" t="s">
        <v>294</v>
      </c>
      <c r="C20" s="160" t="str">
        <f>$O$5</f>
        <v>тыс. руб.</v>
      </c>
      <c r="D20" s="272">
        <f>SUM(F20:G20)</f>
        <v>0</v>
      </c>
      <c r="E20" s="267">
        <f ca="1">IFERROR(D20/$D$24,0)</f>
        <v>0</v>
      </c>
      <c r="F20" s="163">
        <f>Предпосылки!C249/LOOKUP($O$5,$P$4:$P$5,$Q$4:$Q$5)</f>
        <v>0</v>
      </c>
      <c r="G20" s="163">
        <f>Предпосылки!D249/LOOKUP($O$5,$P$4:$P$5,$Q$4:$Q$5)</f>
        <v>0</v>
      </c>
      <c r="H20" s="37"/>
      <c r="I20" s="37"/>
      <c r="J20" s="37"/>
      <c r="K20" s="37"/>
      <c r="L20" s="37"/>
      <c r="M20" s="37"/>
      <c r="N20" s="37"/>
      <c r="O20" s="37"/>
      <c r="P20" s="37"/>
      <c r="Q20" s="37"/>
      <c r="R20" s="37"/>
      <c r="S20" s="37"/>
      <c r="T20" s="37"/>
      <c r="U20" s="37"/>
    </row>
    <row r="21" spans="2:21" ht="15" customHeight="1">
      <c r="B21" s="130" t="s">
        <v>295</v>
      </c>
      <c r="C21" s="160" t="str">
        <f>$O$5</f>
        <v>тыс. руб.</v>
      </c>
      <c r="D21" s="272">
        <f>SUM(F21:G21)</f>
        <v>0</v>
      </c>
      <c r="E21" s="267">
        <f ca="1">IFERROR(D21/$D$24,0)</f>
        <v>0</v>
      </c>
      <c r="F21" s="163">
        <f>Предпосылки!C250/LOOKUP($O$5,$P$4:$P$5,$Q$4:$Q$5)</f>
        <v>0</v>
      </c>
      <c r="G21" s="163">
        <f>Предпосылки!D250/LOOKUP($O$5,$P$4:$P$5,$Q$4:$Q$5)</f>
        <v>0</v>
      </c>
      <c r="H21" s="37"/>
      <c r="I21" s="37"/>
      <c r="J21" s="37"/>
      <c r="K21" s="37"/>
      <c r="L21" s="37"/>
      <c r="M21" s="37"/>
      <c r="N21" s="37"/>
      <c r="O21" s="37"/>
      <c r="P21" s="37"/>
      <c r="Q21" s="37"/>
      <c r="R21" s="37"/>
      <c r="S21" s="37"/>
      <c r="T21" s="37"/>
      <c r="U21" s="37"/>
    </row>
    <row r="22" spans="2:21" ht="15" customHeight="1">
      <c r="B22" s="130" t="s">
        <v>21</v>
      </c>
      <c r="C22" s="160" t="str">
        <f>$O$5</f>
        <v>тыс. руб.</v>
      </c>
      <c r="D22" s="272">
        <f ca="1">SUM(F22:G22)</f>
        <v>-100000</v>
      </c>
      <c r="E22" s="267">
        <f ca="1">IFERROR(D22/$D$24,0)</f>
        <v>0</v>
      </c>
      <c r="F22" s="163">
        <f>Предпосылки!C251/LOOKUP($O$5,$P$4:$P$5,$Q$4:$Q$5)</f>
        <v>0</v>
      </c>
      <c r="G22" s="163">
        <f ca="1">Предпосылки!D251/LOOKUP($O$5,$P$4:$P$5,$Q$4:$Q$5)</f>
        <v>-100000</v>
      </c>
      <c r="H22" s="37"/>
      <c r="I22" s="37"/>
      <c r="J22" s="37"/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</row>
    <row r="23" spans="2:21" ht="15" customHeight="1">
      <c r="B23" s="130" t="str">
        <f>"Средства "&amp;IF(ISNUMBER(SEARCH("РФРП",Программа)),"ФРП и РФРП","ФРП")</f>
        <v>Средства ФРП</v>
      </c>
      <c r="C23" s="160" t="str">
        <f>$O$5</f>
        <v>тыс. руб.</v>
      </c>
      <c r="D23" s="272">
        <f>SUM(F23:G23)</f>
        <v>100000</v>
      </c>
      <c r="E23" s="267">
        <f ca="1">IFERROR(D23/$D$24,0)</f>
        <v>0</v>
      </c>
      <c r="F23" s="163">
        <f>Предпосылки!C252/LOOKUP($O$5,$P$4:$P$5,$Q$4:$Q$5)</f>
        <v>0</v>
      </c>
      <c r="G23" s="163">
        <f>Предпосылки!D252/LOOKUP($O$5,$P$4:$P$5,$Q$4:$Q$5)</f>
        <v>100000</v>
      </c>
      <c r="H23" s="303" t="str">
        <f ca="1">IF(AND(Программа="Лизинг",E23&gt;45%),"*В программе Лизинговые проекты доля займа ФРП не может превышать 45% от бюджета проекта","")</f>
        <v/>
      </c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</row>
    <row r="24" spans="2:21" ht="15" customHeight="1">
      <c r="B24" s="274" t="s">
        <v>296</v>
      </c>
      <c r="C24" s="275" t="str">
        <f>O5</f>
        <v>тыс. руб.</v>
      </c>
      <c r="D24" s="276">
        <f ca="1">SUM(D19:D23)</f>
        <v>0</v>
      </c>
      <c r="E24" s="277">
        <f ca="1">SUM(E19:E23)</f>
        <v>0</v>
      </c>
      <c r="F24" s="278">
        <f>SUM(F19:F23)</f>
        <v>0</v>
      </c>
      <c r="G24" s="278">
        <f ca="1">SUM(G19:G23)</f>
        <v>0</v>
      </c>
      <c r="H24" s="37"/>
      <c r="I24" s="37"/>
      <c r="J24" s="37"/>
      <c r="K24" s="37"/>
      <c r="L24" s="37"/>
      <c r="M24" s="37"/>
      <c r="N24" s="37"/>
      <c r="O24" s="37"/>
      <c r="P24" s="37"/>
      <c r="Q24" s="37"/>
      <c r="R24" s="37"/>
      <c r="S24" s="37"/>
      <c r="T24" s="37"/>
      <c r="U24" s="37"/>
    </row>
    <row r="25" spans="2:21" ht="15" customHeight="1">
      <c r="B25" s="37"/>
      <c r="C25" s="37"/>
      <c r="D25" s="37"/>
      <c r="E25" s="37"/>
      <c r="F25" s="37"/>
      <c r="G25" s="37"/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</row>
    <row r="26" spans="2:21" ht="21">
      <c r="B26" s="40" t="s">
        <v>564</v>
      </c>
      <c r="C26" s="37"/>
      <c r="D26" s="37"/>
      <c r="E26" s="37"/>
      <c r="F26" s="37"/>
      <c r="G26" s="37"/>
      <c r="H26" s="37"/>
      <c r="I26" s="37"/>
      <c r="J26" s="37"/>
      <c r="K26" s="37"/>
      <c r="L26" s="37"/>
      <c r="M26" s="37"/>
      <c r="N26" s="37"/>
      <c r="O26" s="37"/>
      <c r="P26" s="37"/>
      <c r="Q26" s="37"/>
      <c r="R26" s="37"/>
      <c r="S26" s="37"/>
      <c r="T26" s="37"/>
      <c r="U26" s="37"/>
    </row>
    <row r="27" spans="2:21" ht="15" customHeight="1">
      <c r="B27" s="118" t="s">
        <v>86</v>
      </c>
      <c r="C27" s="37"/>
      <c r="D27" s="37"/>
      <c r="E27" s="37"/>
      <c r="F27" s="37"/>
      <c r="G27" s="37"/>
      <c r="H27" s="37"/>
      <c r="I27" s="37"/>
      <c r="J27" s="37"/>
      <c r="K27" s="37"/>
      <c r="L27" s="37"/>
      <c r="M27" s="37"/>
      <c r="N27" s="37"/>
      <c r="O27" s="37"/>
      <c r="P27" s="37"/>
      <c r="Q27" s="37"/>
      <c r="R27" s="37"/>
      <c r="S27" s="37"/>
      <c r="T27" s="37"/>
      <c r="U27" s="37"/>
    </row>
    <row r="28" spans="2:21" ht="15" customHeight="1">
      <c r="B28" s="531" t="s">
        <v>255</v>
      </c>
      <c r="C28" s="531" t="s">
        <v>13</v>
      </c>
      <c r="D28" s="531"/>
      <c r="E28" s="531"/>
      <c r="F28" s="531">
        <f>YEAR('Годовая отчетность'!E$8)</f>
        <v>2026</v>
      </c>
      <c r="G28" s="531">
        <f>YEAR('Годовая отчетность'!F$8)</f>
        <v>2027</v>
      </c>
      <c r="H28" s="531">
        <f>YEAR('Годовая отчетность'!G$8)</f>
        <v>2028</v>
      </c>
      <c r="I28" s="531">
        <f>YEAR('Годовая отчетность'!H$8)</f>
        <v>2029</v>
      </c>
      <c r="J28" s="531">
        <f>YEAR('Годовая отчетность'!I$8)</f>
        <v>2030</v>
      </c>
      <c r="K28" s="531">
        <f>YEAR('Годовая отчетность'!J$8)</f>
        <v>2031</v>
      </c>
      <c r="L28" s="531">
        <f>YEAR('Годовая отчетность'!K$8)</f>
        <v>2032</v>
      </c>
      <c r="M28" s="531">
        <f>YEAR('Годовая отчетность'!L$8)</f>
        <v>2033</v>
      </c>
      <c r="N28" s="531">
        <f>YEAR('Годовая отчетность'!M$8)</f>
        <v>2034</v>
      </c>
      <c r="O28" s="531">
        <f>YEAR('Годовая отчетность'!N$8)</f>
        <v>2035</v>
      </c>
      <c r="P28" s="531">
        <f>YEAR('Годовая отчетность'!O$8)</f>
        <v>2036</v>
      </c>
      <c r="Q28" s="531">
        <f>YEAR('Годовая отчетность'!P$8)</f>
        <v>2037</v>
      </c>
      <c r="R28" s="531">
        <f>YEAR('Годовая отчетность'!Q$8)</f>
        <v>2038</v>
      </c>
      <c r="S28" s="531">
        <f>YEAR('Годовая отчетность'!R$8)</f>
        <v>2039</v>
      </c>
      <c r="T28" s="531">
        <f>YEAR('Годовая отчетность'!S$8)</f>
        <v>2040</v>
      </c>
      <c r="U28" s="531">
        <f>YEAR('Годовая отчетность'!T$8)</f>
        <v>2041</v>
      </c>
    </row>
    <row r="29" spans="2:21" ht="15" customHeight="1">
      <c r="B29" s="532"/>
      <c r="C29" s="532"/>
      <c r="D29" s="532"/>
      <c r="E29" s="532"/>
      <c r="F29" s="532"/>
      <c r="G29" s="532"/>
      <c r="H29" s="532"/>
      <c r="I29" s="532"/>
      <c r="J29" s="532"/>
      <c r="K29" s="532"/>
      <c r="L29" s="532"/>
      <c r="M29" s="532"/>
      <c r="N29" s="532"/>
      <c r="O29" s="532"/>
      <c r="P29" s="532"/>
      <c r="Q29" s="532"/>
      <c r="R29" s="532"/>
      <c r="S29" s="532"/>
      <c r="T29" s="532"/>
      <c r="U29" s="532"/>
    </row>
    <row r="30" spans="2:21" ht="15" customHeight="1">
      <c r="B30" s="128" t="s">
        <v>87</v>
      </c>
      <c r="C30" s="160" t="str">
        <f>O5</f>
        <v>тыс. руб.</v>
      </c>
      <c r="D30" s="137"/>
      <c r="E30" s="137"/>
      <c r="F30" s="159">
        <f ca="1">IF(F$28&gt;YEAR('Квартальная отчетность'!$K$3),"-",SUM('Годовая отчетность'!E12,IF(ISBLANK(E$28),OFFSET(Предпосылки!$G$276,,,,-ROUNDUP(MONTH(Предпосылки!$C$13)/Месяцев_в_квартале,0)),0))/LOOKUP($O$5,$P$4:$P$5,$Q$4:$Q$5))</f>
        <v>0</v>
      </c>
      <c r="G30" s="159">
        <f ca="1">IF(G$28&gt;YEAR('Квартальная отчетность'!$K$3),"-",SUM('Годовая отчетность'!F12,IF(ISBLANK(F$28),OFFSET(Предпосылки!$G$276,,,,-ROUNDUP(MONTH(Предпосылки!$C$13)/Месяцев_в_квартале,0)),0))/LOOKUP($O$5,$P$4:$P$5,$Q$4:$Q$5))</f>
        <v>0</v>
      </c>
      <c r="H30" s="159">
        <f ca="1">IF(H$28&gt;YEAR('Квартальная отчетность'!$K$3),"-",SUM('Годовая отчетность'!G12,IF(ISBLANK(G$28),OFFSET(Предпосылки!$G$276,,,,-ROUNDUP(MONTH(Предпосылки!$C$13)/Месяцев_в_квартале,0)),0))/LOOKUP($O$5,$P$4:$P$5,$Q$4:$Q$5))</f>
        <v>0</v>
      </c>
      <c r="I30" s="159">
        <f ca="1">IF(I$28&gt;YEAR('Квартальная отчетность'!$K$3),"-",SUM('Годовая отчетность'!H12,IF(ISBLANK(H$28),OFFSET(Предпосылки!$G$276,,,,-ROUNDUP(MONTH(Предпосылки!$C$13)/Месяцев_в_квартале,0)),0))/LOOKUP($O$5,$P$4:$P$5,$Q$4:$Q$5))</f>
        <v>0</v>
      </c>
      <c r="J30" s="159">
        <f ca="1">IF(J$28&gt;YEAR('Квартальная отчетность'!$K$3),"-",SUM('Годовая отчетность'!I12,IF(ISBLANK(I$28),OFFSET(Предпосылки!$G$276,,,,-ROUNDUP(MONTH(Предпосылки!$C$13)/Месяцев_в_квартале,0)),0))/LOOKUP($O$5,$P$4:$P$5,$Q$4:$Q$5))</f>
        <v>0</v>
      </c>
      <c r="K30" s="159">
        <f ca="1">IF(K$28&gt;YEAR('Квартальная отчетность'!$K$3),"-",SUM('Годовая отчетность'!J12,IF(ISBLANK(J$28),OFFSET(Предпосылки!$G$276,,,,-ROUNDUP(MONTH(Предпосылки!$C$13)/Месяцев_в_квартале,0)),0))/LOOKUP($O$5,$P$4:$P$5,$Q$4:$Q$5))</f>
        <v>0</v>
      </c>
      <c r="L30" s="159" t="str">
        <f ca="1">IF(L$28&gt;YEAR('Квартальная отчетность'!$K$3),"-",SUM('Годовая отчетность'!K12,IF(ISBLANK(K$28),OFFSET(Предпосылки!$G$276,,,,-ROUNDUP(MONTH(Предпосылки!$C$13)/Месяцев_в_квартале,0)),0))/LOOKUP($O$5,$P$4:$P$5,$Q$4:$Q$5))</f>
        <v>-</v>
      </c>
      <c r="M30" s="159" t="str">
        <f ca="1">IF(M$28&gt;YEAR('Квартальная отчетность'!$K$3),"-",SUM('Годовая отчетность'!L12,IF(ISBLANK(L$28),OFFSET(Предпосылки!$G$276,,,,-ROUNDUP(MONTH(Предпосылки!$C$13)/Месяцев_в_квартале,0)),0))/LOOKUP($O$5,$P$4:$P$5,$Q$4:$Q$5))</f>
        <v>-</v>
      </c>
      <c r="N30" s="159" t="str">
        <f ca="1">IF(N$28&gt;YEAR('Квартальная отчетность'!$K$3),"-",SUM('Годовая отчетность'!M12,IF(ISBLANK(M$28),OFFSET(Предпосылки!$G$276,,,,-ROUNDUP(MONTH(Предпосылки!$C$13)/Месяцев_в_квартале,0)),0))/LOOKUP($O$5,$P$4:$P$5,$Q$4:$Q$5))</f>
        <v>-</v>
      </c>
      <c r="O30" s="159" t="str">
        <f ca="1">IF(O$28&gt;YEAR('Квартальная отчетность'!$K$3),"-",SUM('Годовая отчетность'!N12,IF(ISBLANK(N$28),OFFSET(Предпосылки!$G$276,,,,-ROUNDUP(MONTH(Предпосылки!$C$13)/Месяцев_в_квартале,0)),0))/LOOKUP($O$5,$P$4:$P$5,$Q$4:$Q$5))</f>
        <v>-</v>
      </c>
      <c r="P30" s="159" t="str">
        <f ca="1">IF(P$28&gt;YEAR('Квартальная отчетность'!$K$3),"-",SUM('Годовая отчетность'!O12,IF(ISBLANK(O$28),OFFSET(Предпосылки!$G$276,,,,-ROUNDUP(MONTH(Предпосылки!$C$13)/Месяцев_в_квартале,0)),0))/LOOKUP($O$5,$P$4:$P$5,$Q$4:$Q$5))</f>
        <v>-</v>
      </c>
      <c r="Q30" s="159" t="str">
        <f ca="1">IF(Q$28&gt;YEAR('Квартальная отчетность'!$K$3),"-",SUM('Годовая отчетность'!P12,IF(ISBLANK(P$28),OFFSET(Предпосылки!$G$276,,,,-ROUNDUP(MONTH(Предпосылки!$C$13)/Месяцев_в_квартале,0)),0))/LOOKUP($O$5,$P$4:$P$5,$Q$4:$Q$5))</f>
        <v>-</v>
      </c>
      <c r="R30" s="159" t="str">
        <f ca="1">IF(R$28&gt;YEAR('Квартальная отчетность'!$K$3),"-",SUM('Годовая отчетность'!Q12,IF(ISBLANK(Q$28),OFFSET(Предпосылки!$G$276,,,,-ROUNDUP(MONTH(Предпосылки!$C$13)/Месяцев_в_квартале,0)),0))/LOOKUP($O$5,$P$4:$P$5,$Q$4:$Q$5))</f>
        <v>-</v>
      </c>
      <c r="S30" s="159" t="str">
        <f ca="1">IF(S$28&gt;YEAR('Квартальная отчетность'!$K$3),"-",SUM('Годовая отчетность'!R12,IF(ISBLANK(R$28),OFFSET(Предпосылки!$G$276,,,,-ROUNDUP(MONTH(Предпосылки!$C$13)/Месяцев_в_квартале,0)),0))/LOOKUP($O$5,$P$4:$P$5,$Q$4:$Q$5))</f>
        <v>-</v>
      </c>
      <c r="T30" s="159" t="str">
        <f ca="1">IF(T$28&gt;YEAR('Квартальная отчетность'!$K$3),"-",SUM('Годовая отчетность'!S12,IF(ISBLANK(S$28),OFFSET(Предпосылки!$G$276,,,,-ROUNDUP(MONTH(Предпосылки!$C$13)/Месяцев_в_квартале,0)),0))/LOOKUP($O$5,$P$4:$P$5,$Q$4:$Q$5))</f>
        <v>-</v>
      </c>
      <c r="U30" s="159" t="str">
        <f ca="1">IF(U$28&gt;YEAR('Квартальная отчетность'!$K$3),"-",SUM('Годовая отчетность'!T12,IF(ISBLANK(T$28),OFFSET(Предпосылки!$G$276,,,,-ROUNDUP(MONTH(Предпосылки!$C$13)/Месяцев_в_квартале,0)),0))/LOOKUP($O$5,$P$4:$P$5,$Q$4:$Q$5))</f>
        <v>-</v>
      </c>
    </row>
    <row r="31" spans="2:21" ht="15" customHeight="1">
      <c r="B31" s="133" t="s">
        <v>433</v>
      </c>
      <c r="C31" s="138" t="s">
        <v>100</v>
      </c>
      <c r="D31" s="137"/>
      <c r="E31" s="137"/>
      <c r="F31" s="134" t="str">
        <f ca="1">IFERROR(F30/IF(ISBLANK(E$28),Предпосылки!$C$304,E$30)-1,"-")</f>
        <v>-</v>
      </c>
      <c r="G31" s="134" t="str">
        <f ca="1">IFERROR(G30/IF(ISBLANK(F$28),Предпосылки!$C$304,F$30)-1,"-")</f>
        <v>-</v>
      </c>
      <c r="H31" s="134" t="str">
        <f ca="1">IFERROR(H30/IF(ISBLANK(G$28),Предпосылки!$C$304,G$30)-1,"-")</f>
        <v>-</v>
      </c>
      <c r="I31" s="134" t="str">
        <f ca="1">IFERROR(I30/IF(ISBLANK(H$28),Предпосылки!$C$304,H$30)-1,"-")</f>
        <v>-</v>
      </c>
      <c r="J31" s="134" t="str">
        <f ca="1">IFERROR(J30/IF(ISBLANK(I$28),Предпосылки!$C$304,I$30)-1,"-")</f>
        <v>-</v>
      </c>
      <c r="K31" s="134" t="str">
        <f ca="1">IFERROR(K30/IF(ISBLANK(J$28),Предпосылки!$C$304,J$30)-1,"-")</f>
        <v>-</v>
      </c>
      <c r="L31" s="134" t="str">
        <f ca="1">IFERROR(L30/IF(ISBLANK(K$28),Предпосылки!$C$304,K$30)-1,"-")</f>
        <v>-</v>
      </c>
      <c r="M31" s="134" t="str">
        <f ca="1">IFERROR(M30/IF(ISBLANK(L$28),Предпосылки!$C$304,L$30)-1,"-")</f>
        <v>-</v>
      </c>
      <c r="N31" s="134" t="str">
        <f ca="1">IFERROR(N30/IF(ISBLANK(M$28),Предпосылки!$C$304,M$30)-1,"-")</f>
        <v>-</v>
      </c>
      <c r="O31" s="134" t="str">
        <f ca="1">IFERROR(O30/IF(ISBLANK(N$28),Предпосылки!$C$304,N$30)-1,"-")</f>
        <v>-</v>
      </c>
      <c r="P31" s="134" t="str">
        <f ca="1">IFERROR(P30/IF(ISBLANK(O$28),Предпосылки!$C$304,O$30)-1,"-")</f>
        <v>-</v>
      </c>
      <c r="Q31" s="134" t="str">
        <f ca="1">IFERROR(Q30/IF(ISBLANK(P$28),Предпосылки!$C$304,P$30)-1,"-")</f>
        <v>-</v>
      </c>
      <c r="R31" s="134" t="str">
        <f ca="1">IFERROR(R30/IF(ISBLANK(Q$28),Предпосылки!$C$304,Q$30)-1,"-")</f>
        <v>-</v>
      </c>
      <c r="S31" s="134" t="str">
        <f ca="1">IFERROR(S30/IF(ISBLANK(R$28),Предпосылки!$C$304,R$30)-1,"-")</f>
        <v>-</v>
      </c>
      <c r="T31" s="134" t="str">
        <f ca="1">IFERROR(T30/IF(ISBLANK(S$28),Предпосылки!$C$304,S$30)-1,"-")</f>
        <v>-</v>
      </c>
      <c r="U31" s="134" t="str">
        <f ca="1">IFERROR(U30/IF(ISBLANK(T$28),Предпосылки!$C$304,T$30)-1,"-")</f>
        <v>-</v>
      </c>
    </row>
    <row r="32" spans="2:21" ht="15" customHeight="1">
      <c r="B32" s="130" t="s">
        <v>267</v>
      </c>
      <c r="C32" s="161" t="str">
        <f>O5</f>
        <v>тыс. руб.</v>
      </c>
      <c r="D32" s="137"/>
      <c r="E32" s="137"/>
      <c r="F32" s="136">
        <f ca="1">IF(F$28&gt;YEAR('Квартальная отчетность'!$K$3),"-",SUM('Годовая отчетность'!E14,IF(ISBLANK(E$28),OFFSET(Предпосылки!$G$278,,,,-ROUNDUP(MONTH(Предпосылки!$C$13)/Месяцев_в_квартале,0)),0))/LOOKUP($O$5,$P$4:$P$5,$Q$4:$Q$5))</f>
        <v>0</v>
      </c>
      <c r="G32" s="136">
        <f ca="1">IF(G$28&gt;YEAR('Квартальная отчетность'!$K$3),"-",SUM('Годовая отчетность'!F14,IF(ISBLANK(F$28),OFFSET(Предпосылки!$G$278,,,,-ROUNDUP(MONTH(Предпосылки!$C$13)/Месяцев_в_квартале,0)),0))/LOOKUP($O$5,$P$4:$P$5,$Q$4:$Q$5))</f>
        <v>0</v>
      </c>
      <c r="H32" s="136">
        <f ca="1">IF(H$28&gt;YEAR('Квартальная отчетность'!$K$3),"-",SUM('Годовая отчетность'!G14,IF(ISBLANK(G$28),OFFSET(Предпосылки!$G$278,,,,-ROUNDUP(MONTH(Предпосылки!$C$13)/Месяцев_в_квартале,0)),0))/LOOKUP($O$5,$P$4:$P$5,$Q$4:$Q$5))</f>
        <v>0</v>
      </c>
      <c r="I32" s="136">
        <f ca="1">IF(I$28&gt;YEAR('Квартальная отчетность'!$K$3),"-",SUM('Годовая отчетность'!H14,IF(ISBLANK(H$28),OFFSET(Предпосылки!$G$278,,,,-ROUNDUP(MONTH(Предпосылки!$C$13)/Месяцев_в_квартале,0)),0))/LOOKUP($O$5,$P$4:$P$5,$Q$4:$Q$5))</f>
        <v>0</v>
      </c>
      <c r="J32" s="136">
        <f ca="1">IF(J$28&gt;YEAR('Квартальная отчетность'!$K$3),"-",SUM('Годовая отчетность'!I14,IF(ISBLANK(I$28),OFFSET(Предпосылки!$G$278,,,,-ROUNDUP(MONTH(Предпосылки!$C$13)/Месяцев_в_квартале,0)),0))/LOOKUP($O$5,$P$4:$P$5,$Q$4:$Q$5))</f>
        <v>0</v>
      </c>
      <c r="K32" s="136">
        <f ca="1">IF(K$28&gt;YEAR('Квартальная отчетность'!$K$3),"-",SUM('Годовая отчетность'!J14,IF(ISBLANK(J$28),OFFSET(Предпосылки!$G$278,,,,-ROUNDUP(MONTH(Предпосылки!$C$13)/Месяцев_в_квартале,0)),0))/LOOKUP($O$5,$P$4:$P$5,$Q$4:$Q$5))</f>
        <v>0</v>
      </c>
      <c r="L32" s="136" t="str">
        <f ca="1">IF(L$28&gt;YEAR('Квартальная отчетность'!$K$3),"-",SUM('Годовая отчетность'!K14,IF(ISBLANK(K$28),OFFSET(Предпосылки!$G$278,,,,-ROUNDUP(MONTH(Предпосылки!$C$13)/Месяцев_в_квартале,0)),0))/LOOKUP($O$5,$P$4:$P$5,$Q$4:$Q$5))</f>
        <v>-</v>
      </c>
      <c r="M32" s="136" t="str">
        <f ca="1">IF(M$28&gt;YEAR('Квартальная отчетность'!$K$3),"-",SUM('Годовая отчетность'!L14,IF(ISBLANK(L$28),OFFSET(Предпосылки!$G$278,,,,-ROUNDUP(MONTH(Предпосылки!$C$13)/Месяцев_в_квартале,0)),0))/LOOKUP($O$5,$P$4:$P$5,$Q$4:$Q$5))</f>
        <v>-</v>
      </c>
      <c r="N32" s="136" t="str">
        <f ca="1">IF(N$28&gt;YEAR('Квартальная отчетность'!$K$3),"-",SUM('Годовая отчетность'!M14,IF(ISBLANK(M$28),OFFSET(Предпосылки!$G$278,,,,-ROUNDUP(MONTH(Предпосылки!$C$13)/Месяцев_в_квартале,0)),0))/LOOKUP($O$5,$P$4:$P$5,$Q$4:$Q$5))</f>
        <v>-</v>
      </c>
      <c r="O32" s="136" t="str">
        <f ca="1">IF(O$28&gt;YEAR('Квартальная отчетность'!$K$3),"-",SUM('Годовая отчетность'!N14,IF(ISBLANK(N$28),OFFSET(Предпосылки!$G$278,,,,-ROUNDUP(MONTH(Предпосылки!$C$13)/Месяцев_в_квартале,0)),0))/LOOKUP($O$5,$P$4:$P$5,$Q$4:$Q$5))</f>
        <v>-</v>
      </c>
      <c r="P32" s="136" t="str">
        <f ca="1">IF(P$28&gt;YEAR('Квартальная отчетность'!$K$3),"-",SUM('Годовая отчетность'!O14,IF(ISBLANK(O$28),OFFSET(Предпосылки!$G$278,,,,-ROUNDUP(MONTH(Предпосылки!$C$13)/Месяцев_в_квартале,0)),0))/LOOKUP($O$5,$P$4:$P$5,$Q$4:$Q$5))</f>
        <v>-</v>
      </c>
      <c r="Q32" s="136" t="str">
        <f ca="1">IF(Q$28&gt;YEAR('Квартальная отчетность'!$K$3),"-",SUM('Годовая отчетность'!P14,IF(ISBLANK(P$28),OFFSET(Предпосылки!$G$278,,,,-ROUNDUP(MONTH(Предпосылки!$C$13)/Месяцев_в_квартале,0)),0))/LOOKUP($O$5,$P$4:$P$5,$Q$4:$Q$5))</f>
        <v>-</v>
      </c>
      <c r="R32" s="136" t="str">
        <f ca="1">IF(R$28&gt;YEAR('Квартальная отчетность'!$K$3),"-",SUM('Годовая отчетность'!Q14,IF(ISBLANK(Q$28),OFFSET(Предпосылки!$G$278,,,,-ROUNDUP(MONTH(Предпосылки!$C$13)/Месяцев_в_квартале,0)),0))/LOOKUP($O$5,$P$4:$P$5,$Q$4:$Q$5))</f>
        <v>-</v>
      </c>
      <c r="S32" s="136" t="str">
        <f ca="1">IF(S$28&gt;YEAR('Квартальная отчетность'!$K$3),"-",SUM('Годовая отчетность'!R14,IF(ISBLANK(R$28),OFFSET(Предпосылки!$G$278,,,,-ROUNDUP(MONTH(Предпосылки!$C$13)/Месяцев_в_квартале,0)),0))/LOOKUP($O$5,$P$4:$P$5,$Q$4:$Q$5))</f>
        <v>-</v>
      </c>
      <c r="T32" s="136" t="str">
        <f ca="1">IF(T$28&gt;YEAR('Квартальная отчетность'!$K$3),"-",SUM('Годовая отчетность'!S14,IF(ISBLANK(S$28),OFFSET(Предпосылки!$G$278,,,,-ROUNDUP(MONTH(Предпосылки!$C$13)/Месяцев_в_квартале,0)),0))/LOOKUP($O$5,$P$4:$P$5,$Q$4:$Q$5))</f>
        <v>-</v>
      </c>
      <c r="U32" s="136" t="str">
        <f ca="1">IF(U$28&gt;YEAR('Квартальная отчетность'!$K$3),"-",SUM('Годовая отчетность'!T14,IF(ISBLANK(T$28),OFFSET(Предпосылки!$G$278,,,,-ROUNDUP(MONTH(Предпосылки!$C$13)/Месяцев_в_квартале,0)),0))/LOOKUP($O$5,$P$4:$P$5,$Q$4:$Q$5))</f>
        <v>-</v>
      </c>
    </row>
    <row r="33" spans="2:21" ht="15" customHeight="1">
      <c r="B33" s="133" t="s">
        <v>145</v>
      </c>
      <c r="C33" s="138" t="s">
        <v>100</v>
      </c>
      <c r="D33" s="137"/>
      <c r="E33" s="137"/>
      <c r="F33" s="134" t="str">
        <f t="shared" ref="F33:U33" ca="1" si="0">IFERROR(F32/F$30,"-")</f>
        <v>-</v>
      </c>
      <c r="G33" s="134" t="str">
        <f t="shared" ca="1" si="0"/>
        <v>-</v>
      </c>
      <c r="H33" s="134" t="str">
        <f t="shared" ca="1" si="0"/>
        <v>-</v>
      </c>
      <c r="I33" s="134" t="str">
        <f t="shared" ca="1" si="0"/>
        <v>-</v>
      </c>
      <c r="J33" s="134" t="str">
        <f t="shared" ca="1" si="0"/>
        <v>-</v>
      </c>
      <c r="K33" s="134" t="str">
        <f t="shared" ca="1" si="0"/>
        <v>-</v>
      </c>
      <c r="L33" s="134" t="str">
        <f t="shared" ca="1" si="0"/>
        <v>-</v>
      </c>
      <c r="M33" s="134" t="str">
        <f t="shared" ca="1" si="0"/>
        <v>-</v>
      </c>
      <c r="N33" s="134" t="str">
        <f t="shared" ca="1" si="0"/>
        <v>-</v>
      </c>
      <c r="O33" s="134" t="str">
        <f t="shared" ca="1" si="0"/>
        <v>-</v>
      </c>
      <c r="P33" s="134" t="str">
        <f t="shared" ca="1" si="0"/>
        <v>-</v>
      </c>
      <c r="Q33" s="134" t="str">
        <f t="shared" ca="1" si="0"/>
        <v>-</v>
      </c>
      <c r="R33" s="134" t="str">
        <f t="shared" ca="1" si="0"/>
        <v>-</v>
      </c>
      <c r="S33" s="134" t="str">
        <f t="shared" ca="1" si="0"/>
        <v>-</v>
      </c>
      <c r="T33" s="134" t="str">
        <f t="shared" ca="1" si="0"/>
        <v>-</v>
      </c>
      <c r="U33" s="134" t="str">
        <f t="shared" ca="1" si="0"/>
        <v>-</v>
      </c>
    </row>
    <row r="34" spans="2:21" ht="15" customHeight="1">
      <c r="B34" s="130" t="s">
        <v>130</v>
      </c>
      <c r="C34" s="161" t="str">
        <f>O5</f>
        <v>тыс. руб.</v>
      </c>
      <c r="D34" s="137"/>
      <c r="E34" s="137" t="s">
        <v>441</v>
      </c>
      <c r="F34" s="136">
        <f ca="1">IF(F$28&gt;YEAR('Квартальная отчетность'!$K$3),"-",SUM(SUMIF(Показатели!$E$10:$BM$10,F$28,Показатели!$E$29:$BM$29),IF(ISBLANK(E$28),OFFSET(Предпосылки!$G$292,,,,-ROUNDUP(MONTH(Предпосылки!$C$13)/Месяцев_в_квартале,0)),0))/LOOKUP($O$5,$P$4:$P$5,$Q$4:$Q$5))</f>
        <v>0</v>
      </c>
      <c r="G34" s="136">
        <f ca="1">IF(G$28&gt;YEAR('Квартальная отчетность'!$K$3),"-",SUM(SUMIF(Показатели!$E$10:$BM$10,G$28,Показатели!$E$29:$BM$29),IF(ISBLANK(F$28),OFFSET(Предпосылки!$G$292,,,,-ROUNDUP(MONTH(Предпосылки!$C$13)/Месяцев_в_квартале,0)),0))/LOOKUP($O$5,$P$4:$P$5,$Q$4:$Q$5))</f>
        <v>0</v>
      </c>
      <c r="H34" s="136">
        <f ca="1">IF(H$28&gt;YEAR('Квартальная отчетность'!$K$3),"-",SUM(SUMIF(Показатели!$E$10:$BM$10,H$28,Показатели!$E$29:$BM$29),IF(ISBLANK(G$28),OFFSET(Предпосылки!$G$292,,,,-ROUNDUP(MONTH(Предпосылки!$C$13)/Месяцев_в_квартале,0)),0))/LOOKUP($O$5,$P$4:$P$5,$Q$4:$Q$5))</f>
        <v>0</v>
      </c>
      <c r="I34" s="136">
        <f ca="1">IF(I$28&gt;YEAR('Квартальная отчетность'!$K$3),"-",SUM(SUMIF(Показатели!$E$10:$BM$10,I$28,Показатели!$E$29:$BM$29),IF(ISBLANK(H$28),OFFSET(Предпосылки!$G$292,,,,-ROUNDUP(MONTH(Предпосылки!$C$13)/Месяцев_в_квартале,0)),0))/LOOKUP($O$5,$P$4:$P$5,$Q$4:$Q$5))</f>
        <v>0</v>
      </c>
      <c r="J34" s="136">
        <f ca="1">IF(J$28&gt;YEAR('Квартальная отчетность'!$K$3),"-",SUM(SUMIF(Показатели!$E$10:$BM$10,J$28,Показатели!$E$29:$BM$29),IF(ISBLANK(I$28),OFFSET(Предпосылки!$G$292,,,,-ROUNDUP(MONTH(Предпосылки!$C$13)/Месяцев_в_квартале,0)),0))/LOOKUP($O$5,$P$4:$P$5,$Q$4:$Q$5))</f>
        <v>0</v>
      </c>
      <c r="K34" s="136">
        <f ca="1">IF(K$28&gt;YEAR('Квартальная отчетность'!$K$3),"-",SUM(SUMIF(Показатели!$E$10:$BM$10,K$28,Показатели!$E$29:$BM$29),IF(ISBLANK(J$28),OFFSET(Предпосылки!$G$292,,,,-ROUNDUP(MONTH(Предпосылки!$C$13)/Месяцев_в_квартале,0)),0))/LOOKUP($O$5,$P$4:$P$5,$Q$4:$Q$5))</f>
        <v>0</v>
      </c>
      <c r="L34" s="136" t="str">
        <f ca="1">IF(L$28&gt;YEAR('Квартальная отчетность'!$K$3),"-",SUM(SUMIF(Показатели!$E$10:$BM$10,L$28,Показатели!$E$29:$BM$29),IF(ISBLANK(K$28),OFFSET(Предпосылки!$G$292,,,,-ROUNDUP(MONTH(Предпосылки!$C$13)/Месяцев_в_квартале,0)),0))/LOOKUP($O$5,$P$4:$P$5,$Q$4:$Q$5))</f>
        <v>-</v>
      </c>
      <c r="M34" s="136" t="str">
        <f ca="1">IF(M$28&gt;YEAR('Квартальная отчетность'!$K$3),"-",SUM(SUMIF(Показатели!$E$10:$BM$10,M$28,Показатели!$E$29:$BM$29),IF(ISBLANK(L$28),OFFSET(Предпосылки!$G$292,,,,-ROUNDUP(MONTH(Предпосылки!$C$13)/Месяцев_в_квартале,0)),0))/LOOKUP($O$5,$P$4:$P$5,$Q$4:$Q$5))</f>
        <v>-</v>
      </c>
      <c r="N34" s="136" t="str">
        <f ca="1">IF(N$28&gt;YEAR('Квартальная отчетность'!$K$3),"-",SUM(SUMIF(Показатели!$E$10:$BM$10,N$28,Показатели!$E$29:$BM$29),IF(ISBLANK(M$28),OFFSET(Предпосылки!$G$292,,,,-ROUNDUP(MONTH(Предпосылки!$C$13)/Месяцев_в_квартале,0)),0))/LOOKUP($O$5,$P$4:$P$5,$Q$4:$Q$5))</f>
        <v>-</v>
      </c>
      <c r="O34" s="136" t="str">
        <f ca="1">IF(O$28&gt;YEAR('Квартальная отчетность'!$K$3),"-",SUM(SUMIF(Показатели!$E$10:$BM$10,O$28,Показатели!$E$29:$BM$29),IF(ISBLANK(N$28),OFFSET(Предпосылки!$G$292,,,,-ROUNDUP(MONTH(Предпосылки!$C$13)/Месяцев_в_квартале,0)),0))/LOOKUP($O$5,$P$4:$P$5,$Q$4:$Q$5))</f>
        <v>-</v>
      </c>
      <c r="P34" s="136" t="str">
        <f ca="1">IF(P$28&gt;YEAR('Квартальная отчетность'!$K$3),"-",SUM(SUMIF(Показатели!$E$10:$BM$10,P$28,Показатели!$E$29:$BM$29),IF(ISBLANK(O$28),OFFSET(Предпосылки!$G$292,,,,-ROUNDUP(MONTH(Предпосылки!$C$13)/Месяцев_в_квартале,0)),0))/LOOKUP($O$5,$P$4:$P$5,$Q$4:$Q$5))</f>
        <v>-</v>
      </c>
      <c r="Q34" s="136" t="str">
        <f ca="1">IF(Q$28&gt;YEAR('Квартальная отчетность'!$K$3),"-",SUM(SUMIF(Показатели!$E$10:$BM$10,Q$28,Показатели!$E$29:$BM$29),IF(ISBLANK(P$28),OFFSET(Предпосылки!$G$292,,,,-ROUNDUP(MONTH(Предпосылки!$C$13)/Месяцев_в_квартале,0)),0))/LOOKUP($O$5,$P$4:$P$5,$Q$4:$Q$5))</f>
        <v>-</v>
      </c>
      <c r="R34" s="136" t="str">
        <f ca="1">IF(R$28&gt;YEAR('Квартальная отчетность'!$K$3),"-",SUM(SUMIF(Показатели!$E$10:$BM$10,R$28,Показатели!$E$29:$BM$29),IF(ISBLANK(Q$28),OFFSET(Предпосылки!$G$292,,,,-ROUNDUP(MONTH(Предпосылки!$C$13)/Месяцев_в_квартале,0)),0))/LOOKUP($O$5,$P$4:$P$5,$Q$4:$Q$5))</f>
        <v>-</v>
      </c>
      <c r="S34" s="136" t="str">
        <f ca="1">IF(S$28&gt;YEAR('Квартальная отчетность'!$K$3),"-",SUM(SUMIF(Показатели!$E$10:$BM$10,S$28,Показатели!$E$29:$BM$29),IF(ISBLANK(R$28),OFFSET(Предпосылки!$G$292,,,,-ROUNDUP(MONTH(Предпосылки!$C$13)/Месяцев_в_квартале,0)),0))/LOOKUP($O$5,$P$4:$P$5,$Q$4:$Q$5))</f>
        <v>-</v>
      </c>
      <c r="T34" s="136" t="str">
        <f ca="1">IF(T$28&gt;YEAR('Квартальная отчетность'!$K$3),"-",SUM(SUMIF(Показатели!$E$10:$BM$10,T$28,Показатели!$E$29:$BM$29),IF(ISBLANK(S$28),OFFSET(Предпосылки!$G$292,,,,-ROUNDUP(MONTH(Предпосылки!$C$13)/Месяцев_в_квартале,0)),0))/LOOKUP($O$5,$P$4:$P$5,$Q$4:$Q$5))</f>
        <v>-</v>
      </c>
      <c r="U34" s="136" t="str">
        <f ca="1">IF(U$28&gt;YEAR('Квартальная отчетность'!$K$3),"-",SUM(SUMIF(Показатели!$E$10:$BM$10,U$28,Показатели!$E$29:$BM$29),IF(ISBLANK(T$28),OFFSET(Предпосылки!$G$292,,,,-ROUNDUP(MONTH(Предпосылки!$C$13)/Месяцев_в_квартале,0)),0))/LOOKUP($O$5,$P$4:$P$5,$Q$4:$Q$5))</f>
        <v>-</v>
      </c>
    </row>
    <row r="35" spans="2:21" ht="15" customHeight="1">
      <c r="B35" s="133" t="s">
        <v>151</v>
      </c>
      <c r="C35" s="138" t="s">
        <v>100</v>
      </c>
      <c r="D35" s="137"/>
      <c r="E35" s="137"/>
      <c r="F35" s="134" t="str">
        <f t="shared" ref="F35:U35" ca="1" si="1">IFERROR(F34/F$30,"-")</f>
        <v>-</v>
      </c>
      <c r="G35" s="134" t="str">
        <f t="shared" ca="1" si="1"/>
        <v>-</v>
      </c>
      <c r="H35" s="134" t="str">
        <f t="shared" ca="1" si="1"/>
        <v>-</v>
      </c>
      <c r="I35" s="134" t="str">
        <f t="shared" ca="1" si="1"/>
        <v>-</v>
      </c>
      <c r="J35" s="134" t="str">
        <f t="shared" ca="1" si="1"/>
        <v>-</v>
      </c>
      <c r="K35" s="134" t="str">
        <f t="shared" ca="1" si="1"/>
        <v>-</v>
      </c>
      <c r="L35" s="134" t="str">
        <f t="shared" ca="1" si="1"/>
        <v>-</v>
      </c>
      <c r="M35" s="134" t="str">
        <f t="shared" ca="1" si="1"/>
        <v>-</v>
      </c>
      <c r="N35" s="134" t="str">
        <f t="shared" ca="1" si="1"/>
        <v>-</v>
      </c>
      <c r="O35" s="134" t="str">
        <f t="shared" ca="1" si="1"/>
        <v>-</v>
      </c>
      <c r="P35" s="134" t="str">
        <f t="shared" ca="1" si="1"/>
        <v>-</v>
      </c>
      <c r="Q35" s="134" t="str">
        <f t="shared" ca="1" si="1"/>
        <v>-</v>
      </c>
      <c r="R35" s="134" t="str">
        <f t="shared" ca="1" si="1"/>
        <v>-</v>
      </c>
      <c r="S35" s="134" t="str">
        <f t="shared" ca="1" si="1"/>
        <v>-</v>
      </c>
      <c r="T35" s="134" t="str">
        <f t="shared" ca="1" si="1"/>
        <v>-</v>
      </c>
      <c r="U35" s="134" t="str">
        <f t="shared" ca="1" si="1"/>
        <v>-</v>
      </c>
    </row>
    <row r="36" spans="2:21" ht="15" customHeight="1">
      <c r="B36" s="130" t="s">
        <v>132</v>
      </c>
      <c r="C36" s="161" t="str">
        <f>O5</f>
        <v>тыс. руб.</v>
      </c>
      <c r="D36" s="137"/>
      <c r="E36" s="137"/>
      <c r="F36" s="136">
        <f ca="1">IF(F$28&gt;YEAR('Квартальная отчетность'!$K$3),"-",SUM(SUMIF(Показатели!$E$10:$BM$10,F$28,Показатели!$E$63:$BM$63),IF(ISBLANK(E$28),OFFSET(Предпосылки!$G$291,,,,-ROUNDUP(MONTH(Предпосылки!$C$13)/Месяцев_в_квартале,0)),0))/LOOKUP($O$5,$P$4:$P$5,$Q$4:$Q$5))</f>
        <v>0</v>
      </c>
      <c r="G36" s="136">
        <f ca="1">IF(G$28&gt;YEAR('Квартальная отчетность'!$K$3),"-",SUM(SUMIF(Показатели!$E$10:$BM$10,G$28,Показатели!$E$63:$BM$63),IF(ISBLANK(F$28),OFFSET(Предпосылки!$G$291,,,,-ROUNDUP(MONTH(Предпосылки!$C$13)/Месяцев_в_квартале,0)),0))/LOOKUP($O$5,$P$4:$P$5,$Q$4:$Q$5))</f>
        <v>0</v>
      </c>
      <c r="H36" s="136">
        <f ca="1">IF(H$28&gt;YEAR('Квартальная отчетность'!$K$3),"-",SUM(SUMIF(Показатели!$E$10:$BM$10,H$28,Показатели!$E$63:$BM$63),IF(ISBLANK(G$28),OFFSET(Предпосылки!$G$291,,,,-ROUNDUP(MONTH(Предпосылки!$C$13)/Месяцев_в_квартале,0)),0))/LOOKUP($O$5,$P$4:$P$5,$Q$4:$Q$5))</f>
        <v>0</v>
      </c>
      <c r="I36" s="136">
        <f ca="1">IF(I$28&gt;YEAR('Квартальная отчетность'!$K$3),"-",SUM(SUMIF(Показатели!$E$10:$BM$10,I$28,Показатели!$E$63:$BM$63),IF(ISBLANK(H$28),OFFSET(Предпосылки!$G$291,,,,-ROUNDUP(MONTH(Предпосылки!$C$13)/Месяцев_в_квартале,0)),0))/LOOKUP($O$5,$P$4:$P$5,$Q$4:$Q$5))</f>
        <v>0</v>
      </c>
      <c r="J36" s="136">
        <f ca="1">IF(J$28&gt;YEAR('Квартальная отчетность'!$K$3),"-",SUM(SUMIF(Показатели!$E$10:$BM$10,J$28,Показатели!$E$63:$BM$63),IF(ISBLANK(I$28),OFFSET(Предпосылки!$G$291,,,,-ROUNDUP(MONTH(Предпосылки!$C$13)/Месяцев_в_квартале,0)),0))/LOOKUP($O$5,$P$4:$P$5,$Q$4:$Q$5))</f>
        <v>0</v>
      </c>
      <c r="K36" s="136">
        <f ca="1">IF(K$28&gt;YEAR('Квартальная отчетность'!$K$3),"-",SUM(SUMIF(Показатели!$E$10:$BM$10,K$28,Показатели!$E$63:$BM$63),IF(ISBLANK(J$28),OFFSET(Предпосылки!$G$291,,,,-ROUNDUP(MONTH(Предпосылки!$C$13)/Месяцев_в_квартале,0)),0))/LOOKUP($O$5,$P$4:$P$5,$Q$4:$Q$5))</f>
        <v>0</v>
      </c>
      <c r="L36" s="136" t="str">
        <f ca="1">IF(L$28&gt;YEAR('Квартальная отчетность'!$K$3),"-",SUM(SUMIF(Показатели!$E$10:$BM$10,L$28,Показатели!$E$63:$BM$63),IF(ISBLANK(K$28),OFFSET(Предпосылки!$G$291,,,,-ROUNDUP(MONTH(Предпосылки!$C$13)/Месяцев_в_квартале,0)),0))/LOOKUP($O$5,$P$4:$P$5,$Q$4:$Q$5))</f>
        <v>-</v>
      </c>
      <c r="M36" s="136" t="str">
        <f ca="1">IF(M$28&gt;YEAR('Квартальная отчетность'!$K$3),"-",SUM(SUMIF(Показатели!$E$10:$BM$10,M$28,Показатели!$E$63:$BM$63),IF(ISBLANK(L$28),OFFSET(Предпосылки!$G$291,,,,-ROUNDUP(MONTH(Предпосылки!$C$13)/Месяцев_в_квартале,0)),0))/LOOKUP($O$5,$P$4:$P$5,$Q$4:$Q$5))</f>
        <v>-</v>
      </c>
      <c r="N36" s="136" t="str">
        <f ca="1">IF(N$28&gt;YEAR('Квартальная отчетность'!$K$3),"-",SUM(SUMIF(Показатели!$E$10:$BM$10,N$28,Показатели!$E$63:$BM$63),IF(ISBLANK(M$28),OFFSET(Предпосылки!$G$291,,,,-ROUNDUP(MONTH(Предпосылки!$C$13)/Месяцев_в_квартале,0)),0))/LOOKUP($O$5,$P$4:$P$5,$Q$4:$Q$5))</f>
        <v>-</v>
      </c>
      <c r="O36" s="136" t="str">
        <f ca="1">IF(O$28&gt;YEAR('Квартальная отчетность'!$K$3),"-",SUM(SUMIF(Показатели!$E$10:$BM$10,O$28,Показатели!$E$63:$BM$63),IF(ISBLANK(N$28),OFFSET(Предпосылки!$G$291,,,,-ROUNDUP(MONTH(Предпосылки!$C$13)/Месяцев_в_квартале,0)),0))/LOOKUP($O$5,$P$4:$P$5,$Q$4:$Q$5))</f>
        <v>-</v>
      </c>
      <c r="P36" s="136" t="str">
        <f ca="1">IF(P$28&gt;YEAR('Квартальная отчетность'!$K$3),"-",SUM(SUMIF(Показатели!$E$10:$BM$10,P$28,Показатели!$E$63:$BM$63),IF(ISBLANK(O$28),OFFSET(Предпосылки!$G$291,,,,-ROUNDUP(MONTH(Предпосылки!$C$13)/Месяцев_в_квартале,0)),0))/LOOKUP($O$5,$P$4:$P$5,$Q$4:$Q$5))</f>
        <v>-</v>
      </c>
      <c r="Q36" s="136" t="str">
        <f ca="1">IF(Q$28&gt;YEAR('Квартальная отчетность'!$K$3),"-",SUM(SUMIF(Показатели!$E$10:$BM$10,Q$28,Показатели!$E$63:$BM$63),IF(ISBLANK(P$28),OFFSET(Предпосылки!$G$291,,,,-ROUNDUP(MONTH(Предпосылки!$C$13)/Месяцев_в_квартале,0)),0))/LOOKUP($O$5,$P$4:$P$5,$Q$4:$Q$5))</f>
        <v>-</v>
      </c>
      <c r="R36" s="136" t="str">
        <f ca="1">IF(R$28&gt;YEAR('Квартальная отчетность'!$K$3),"-",SUM(SUMIF(Показатели!$E$10:$BM$10,R$28,Показатели!$E$63:$BM$63),IF(ISBLANK(Q$28),OFFSET(Предпосылки!$G$291,,,,-ROUNDUP(MONTH(Предпосылки!$C$13)/Месяцев_в_квартале,0)),0))/LOOKUP($O$5,$P$4:$P$5,$Q$4:$Q$5))</f>
        <v>-</v>
      </c>
      <c r="S36" s="136" t="str">
        <f ca="1">IF(S$28&gt;YEAR('Квартальная отчетность'!$K$3),"-",SUM(SUMIF(Показатели!$E$10:$BM$10,S$28,Показатели!$E$63:$BM$63),IF(ISBLANK(R$28),OFFSET(Предпосылки!$G$291,,,,-ROUNDUP(MONTH(Предпосылки!$C$13)/Месяцев_в_квартале,0)),0))/LOOKUP($O$5,$P$4:$P$5,$Q$4:$Q$5))</f>
        <v>-</v>
      </c>
      <c r="T36" s="136" t="str">
        <f ca="1">IF(T$28&gt;YEAR('Квартальная отчетность'!$K$3),"-",SUM(SUMIF(Показатели!$E$10:$BM$10,T$28,Показатели!$E$63:$BM$63),IF(ISBLANK(S$28),OFFSET(Предпосылки!$G$291,,,,-ROUNDUP(MONTH(Предпосылки!$C$13)/Месяцев_в_квартале,0)),0))/LOOKUP($O$5,$P$4:$P$5,$Q$4:$Q$5))</f>
        <v>-</v>
      </c>
      <c r="U36" s="136" t="str">
        <f ca="1">IF(U$28&gt;YEAR('Квартальная отчетность'!$K$3),"-",SUM(SUMIF(Показатели!$E$10:$BM$10,U$28,Показатели!$E$63:$BM$63),IF(ISBLANK(T$28),OFFSET(Предпосылки!$G$291,,,,-ROUNDUP(MONTH(Предпосылки!$C$13)/Месяцев_в_квартале,0)),0))/LOOKUP($O$5,$P$4:$P$5,$Q$4:$Q$5))</f>
        <v>-</v>
      </c>
    </row>
    <row r="37" spans="2:21" ht="15" customHeight="1">
      <c r="B37" s="133" t="s">
        <v>150</v>
      </c>
      <c r="C37" s="138" t="s">
        <v>100</v>
      </c>
      <c r="D37" s="137"/>
      <c r="E37" s="137"/>
      <c r="F37" s="134" t="str">
        <f t="shared" ref="F37:U37" ca="1" si="2">IFERROR(F36/F$30,"-")</f>
        <v>-</v>
      </c>
      <c r="G37" s="134" t="str">
        <f t="shared" ca="1" si="2"/>
        <v>-</v>
      </c>
      <c r="H37" s="134" t="str">
        <f t="shared" ca="1" si="2"/>
        <v>-</v>
      </c>
      <c r="I37" s="134" t="str">
        <f t="shared" ca="1" si="2"/>
        <v>-</v>
      </c>
      <c r="J37" s="134" t="str">
        <f t="shared" ca="1" si="2"/>
        <v>-</v>
      </c>
      <c r="K37" s="134" t="str">
        <f t="shared" ca="1" si="2"/>
        <v>-</v>
      </c>
      <c r="L37" s="134" t="str">
        <f t="shared" ca="1" si="2"/>
        <v>-</v>
      </c>
      <c r="M37" s="134" t="str">
        <f t="shared" ca="1" si="2"/>
        <v>-</v>
      </c>
      <c r="N37" s="134" t="str">
        <f t="shared" ca="1" si="2"/>
        <v>-</v>
      </c>
      <c r="O37" s="134" t="str">
        <f t="shared" ca="1" si="2"/>
        <v>-</v>
      </c>
      <c r="P37" s="134" t="str">
        <f t="shared" ca="1" si="2"/>
        <v>-</v>
      </c>
      <c r="Q37" s="134" t="str">
        <f t="shared" ca="1" si="2"/>
        <v>-</v>
      </c>
      <c r="R37" s="134" t="str">
        <f t="shared" ca="1" si="2"/>
        <v>-</v>
      </c>
      <c r="S37" s="134" t="str">
        <f t="shared" ca="1" si="2"/>
        <v>-</v>
      </c>
      <c r="T37" s="134" t="str">
        <f t="shared" ca="1" si="2"/>
        <v>-</v>
      </c>
      <c r="U37" s="134" t="str">
        <f t="shared" ca="1" si="2"/>
        <v>-</v>
      </c>
    </row>
    <row r="38" spans="2:21" ht="15" customHeight="1">
      <c r="B38" s="130" t="s">
        <v>268</v>
      </c>
      <c r="C38" s="161" t="str">
        <f>O5</f>
        <v>тыс. руб.</v>
      </c>
      <c r="D38" s="137"/>
      <c r="E38" s="137"/>
      <c r="F38" s="136">
        <f ca="1">IF(F$28&gt;YEAR('Квартальная отчетность'!$K$3),"-",SUM('Годовая отчетность'!E27,IF(ISBLANK(E$28),OFFSET(Предпосылки!$G$289,,,,-ROUNDUP(MONTH(Предпосылки!$C$13)/Месяцев_в_квартале,0)),0))/LOOKUP($O$5,$P$4:$P$5,$Q$4:$Q$5))</f>
        <v>0</v>
      </c>
      <c r="G38" s="136">
        <f ca="1">IF(G$28&gt;YEAR('Квартальная отчетность'!$K$3),"-",SUM('Годовая отчетность'!F27,IF(ISBLANK(F$28),OFFSET(Предпосылки!$G$289,,,,-ROUNDUP(MONTH(Предпосылки!$C$13)/Месяцев_в_квартале,0)),0))/LOOKUP($O$5,$P$4:$P$5,$Q$4:$Q$5))</f>
        <v>0</v>
      </c>
      <c r="H38" s="136">
        <f ca="1">IF(H$28&gt;YEAR('Квартальная отчетность'!$K$3),"-",SUM('Годовая отчетность'!G27,IF(ISBLANK(G$28),OFFSET(Предпосылки!$G$289,,,,-ROUNDUP(MONTH(Предпосылки!$C$13)/Месяцев_в_квартале,0)),0))/LOOKUP($O$5,$P$4:$P$5,$Q$4:$Q$5))</f>
        <v>0</v>
      </c>
      <c r="I38" s="136">
        <f ca="1">IF(I$28&gt;YEAR('Квартальная отчетность'!$K$3),"-",SUM('Годовая отчетность'!H27,IF(ISBLANK(H$28),OFFSET(Предпосылки!$G$289,,,,-ROUNDUP(MONTH(Предпосылки!$C$13)/Месяцев_в_квартале,0)),0))/LOOKUP($O$5,$P$4:$P$5,$Q$4:$Q$5))</f>
        <v>0</v>
      </c>
      <c r="J38" s="136">
        <f ca="1">IF(J$28&gt;YEAR('Квартальная отчетность'!$K$3),"-",SUM('Годовая отчетность'!I27,IF(ISBLANK(I$28),OFFSET(Предпосылки!$G$289,,,,-ROUNDUP(MONTH(Предпосылки!$C$13)/Месяцев_в_квартале,0)),0))/LOOKUP($O$5,$P$4:$P$5,$Q$4:$Q$5))</f>
        <v>0</v>
      </c>
      <c r="K38" s="136">
        <f ca="1">IF(K$28&gt;YEAR('Квартальная отчетность'!$K$3),"-",SUM('Годовая отчетность'!J27,IF(ISBLANK(J$28),OFFSET(Предпосылки!$G$289,,,,-ROUNDUP(MONTH(Предпосылки!$C$13)/Месяцев_в_квартале,0)),0))/LOOKUP($O$5,$P$4:$P$5,$Q$4:$Q$5))</f>
        <v>0</v>
      </c>
      <c r="L38" s="136" t="str">
        <f ca="1">IF(L$28&gt;YEAR('Квартальная отчетность'!$K$3),"-",SUM('Годовая отчетность'!K27,IF(ISBLANK(K$28),OFFSET(Предпосылки!$G$289,,,,-ROUNDUP(MONTH(Предпосылки!$C$13)/Месяцев_в_квартале,0)),0))/LOOKUP($O$5,$P$4:$P$5,$Q$4:$Q$5))</f>
        <v>-</v>
      </c>
      <c r="M38" s="136" t="str">
        <f ca="1">IF(M$28&gt;YEAR('Квартальная отчетность'!$K$3),"-",SUM('Годовая отчетность'!L27,IF(ISBLANK(L$28),OFFSET(Предпосылки!$G$289,,,,-ROUNDUP(MONTH(Предпосылки!$C$13)/Месяцев_в_квартале,0)),0))/LOOKUP($O$5,$P$4:$P$5,$Q$4:$Q$5))</f>
        <v>-</v>
      </c>
      <c r="N38" s="136" t="str">
        <f ca="1">IF(N$28&gt;YEAR('Квартальная отчетность'!$K$3),"-",SUM('Годовая отчетность'!M27,IF(ISBLANK(M$28),OFFSET(Предпосылки!$G$289,,,,-ROUNDUP(MONTH(Предпосылки!$C$13)/Месяцев_в_квартале,0)),0))/LOOKUP($O$5,$P$4:$P$5,$Q$4:$Q$5))</f>
        <v>-</v>
      </c>
      <c r="O38" s="136" t="str">
        <f ca="1">IF(O$28&gt;YEAR('Квартальная отчетность'!$K$3),"-",SUM('Годовая отчетность'!N27,IF(ISBLANK(N$28),OFFSET(Предпосылки!$G$289,,,,-ROUNDUP(MONTH(Предпосылки!$C$13)/Месяцев_в_квартале,0)),0))/LOOKUP($O$5,$P$4:$P$5,$Q$4:$Q$5))</f>
        <v>-</v>
      </c>
      <c r="P38" s="136" t="str">
        <f ca="1">IF(P$28&gt;YEAR('Квартальная отчетность'!$K$3),"-",SUM('Годовая отчетность'!O27,IF(ISBLANK(O$28),OFFSET(Предпосылки!$G$289,,,,-ROUNDUP(MONTH(Предпосылки!$C$13)/Месяцев_в_квартале,0)),0))/LOOKUP($O$5,$P$4:$P$5,$Q$4:$Q$5))</f>
        <v>-</v>
      </c>
      <c r="Q38" s="136" t="str">
        <f ca="1">IF(Q$28&gt;YEAR('Квартальная отчетность'!$K$3),"-",SUM('Годовая отчетность'!P27,IF(ISBLANK(P$28),OFFSET(Предпосылки!$G$289,,,,-ROUNDUP(MONTH(Предпосылки!$C$13)/Месяцев_в_квартале,0)),0))/LOOKUP($O$5,$P$4:$P$5,$Q$4:$Q$5))</f>
        <v>-</v>
      </c>
      <c r="R38" s="136" t="str">
        <f ca="1">IF(R$28&gt;YEAR('Квартальная отчетность'!$K$3),"-",SUM('Годовая отчетность'!Q27,IF(ISBLANK(Q$28),OFFSET(Предпосылки!$G$289,,,,-ROUNDUP(MONTH(Предпосылки!$C$13)/Месяцев_в_квартале,0)),0))/LOOKUP($O$5,$P$4:$P$5,$Q$4:$Q$5))</f>
        <v>-</v>
      </c>
      <c r="S38" s="136" t="str">
        <f ca="1">IF(S$28&gt;YEAR('Квартальная отчетность'!$K$3),"-",SUM('Годовая отчетность'!R27,IF(ISBLANK(R$28),OFFSET(Предпосылки!$G$289,,,,-ROUNDUP(MONTH(Предпосылки!$C$13)/Месяцев_в_квартале,0)),0))/LOOKUP($O$5,$P$4:$P$5,$Q$4:$Q$5))</f>
        <v>-</v>
      </c>
      <c r="T38" s="136" t="str">
        <f ca="1">IF(T$28&gt;YEAR('Квартальная отчетность'!$K$3),"-",SUM('Годовая отчетность'!S27,IF(ISBLANK(S$28),OFFSET(Предпосылки!$G$289,,,,-ROUNDUP(MONTH(Предпосылки!$C$13)/Месяцев_в_квартале,0)),0))/LOOKUP($O$5,$P$4:$P$5,$Q$4:$Q$5))</f>
        <v>-</v>
      </c>
      <c r="U38" s="136" t="str">
        <f ca="1">IF(U$28&gt;YEAR('Квартальная отчетность'!$K$3),"-",SUM('Годовая отчетность'!T27,IF(ISBLANK(T$28),OFFSET(Предпосылки!$G$289,,,,-ROUNDUP(MONTH(Предпосылки!$C$13)/Месяцев_в_квартале,0)),0))/LOOKUP($O$5,$P$4:$P$5,$Q$4:$Q$5))</f>
        <v>-</v>
      </c>
    </row>
    <row r="39" spans="2:21" ht="15" customHeight="1">
      <c r="B39" s="133" t="s">
        <v>148</v>
      </c>
      <c r="C39" s="138" t="s">
        <v>100</v>
      </c>
      <c r="D39" s="137"/>
      <c r="E39" s="137"/>
      <c r="F39" s="134" t="str">
        <f t="shared" ref="F39:U39" ca="1" si="3">IFERROR(F38/F$30,"-")</f>
        <v>-</v>
      </c>
      <c r="G39" s="134" t="str">
        <f t="shared" ca="1" si="3"/>
        <v>-</v>
      </c>
      <c r="H39" s="134" t="str">
        <f t="shared" ca="1" si="3"/>
        <v>-</v>
      </c>
      <c r="I39" s="134" t="str">
        <f t="shared" ca="1" si="3"/>
        <v>-</v>
      </c>
      <c r="J39" s="134" t="str">
        <f t="shared" ca="1" si="3"/>
        <v>-</v>
      </c>
      <c r="K39" s="134" t="str">
        <f t="shared" ca="1" si="3"/>
        <v>-</v>
      </c>
      <c r="L39" s="134" t="str">
        <f t="shared" ca="1" si="3"/>
        <v>-</v>
      </c>
      <c r="M39" s="134" t="str">
        <f t="shared" ca="1" si="3"/>
        <v>-</v>
      </c>
      <c r="N39" s="134" t="str">
        <f t="shared" ca="1" si="3"/>
        <v>-</v>
      </c>
      <c r="O39" s="134" t="str">
        <f t="shared" ca="1" si="3"/>
        <v>-</v>
      </c>
      <c r="P39" s="134" t="str">
        <f t="shared" ca="1" si="3"/>
        <v>-</v>
      </c>
      <c r="Q39" s="134" t="str">
        <f t="shared" ca="1" si="3"/>
        <v>-</v>
      </c>
      <c r="R39" s="134" t="str">
        <f t="shared" ca="1" si="3"/>
        <v>-</v>
      </c>
      <c r="S39" s="134" t="str">
        <f t="shared" ca="1" si="3"/>
        <v>-</v>
      </c>
      <c r="T39" s="134" t="str">
        <f t="shared" ca="1" si="3"/>
        <v>-</v>
      </c>
      <c r="U39" s="134" t="str">
        <f t="shared" ca="1" si="3"/>
        <v>-</v>
      </c>
    </row>
    <row r="40" spans="2:21" ht="15" customHeight="1">
      <c r="B40" s="37"/>
      <c r="C40" s="37"/>
      <c r="D40" s="37"/>
      <c r="E40" s="37"/>
      <c r="F40" s="37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37"/>
      <c r="U40" s="37"/>
    </row>
    <row r="41" spans="2:21" ht="15" customHeight="1">
      <c r="B41" s="118" t="s">
        <v>101</v>
      </c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37"/>
      <c r="U41" s="37"/>
    </row>
    <row r="42" spans="2:21" ht="15" customHeight="1">
      <c r="B42" s="531" t="s">
        <v>255</v>
      </c>
      <c r="C42" s="531" t="s">
        <v>13</v>
      </c>
      <c r="D42" s="531"/>
      <c r="E42" s="531"/>
      <c r="F42" s="531">
        <f>YEAR('Годовая отчетность'!E$8)</f>
        <v>2026</v>
      </c>
      <c r="G42" s="531">
        <f>YEAR('Годовая отчетность'!F$8)</f>
        <v>2027</v>
      </c>
      <c r="H42" s="531">
        <f>YEAR('Годовая отчетность'!G$8)</f>
        <v>2028</v>
      </c>
      <c r="I42" s="531">
        <f>YEAR('Годовая отчетность'!H$8)</f>
        <v>2029</v>
      </c>
      <c r="J42" s="531">
        <f>YEAR('Годовая отчетность'!I$8)</f>
        <v>2030</v>
      </c>
      <c r="K42" s="531">
        <f>YEAR('Годовая отчетность'!J$8)</f>
        <v>2031</v>
      </c>
      <c r="L42" s="531">
        <f>YEAR('Годовая отчетность'!K$8)</f>
        <v>2032</v>
      </c>
      <c r="M42" s="531">
        <f>YEAR('Годовая отчетность'!L$8)</f>
        <v>2033</v>
      </c>
      <c r="N42" s="531">
        <f>YEAR('Годовая отчетность'!M$8)</f>
        <v>2034</v>
      </c>
      <c r="O42" s="531">
        <f>YEAR('Годовая отчетность'!N$8)</f>
        <v>2035</v>
      </c>
      <c r="P42" s="531">
        <f>YEAR('Годовая отчетность'!O$8)</f>
        <v>2036</v>
      </c>
      <c r="Q42" s="531">
        <f>YEAR('Годовая отчетность'!P$8)</f>
        <v>2037</v>
      </c>
      <c r="R42" s="531">
        <f>YEAR('Годовая отчетность'!Q$8)</f>
        <v>2038</v>
      </c>
      <c r="S42" s="531">
        <f>YEAR('Годовая отчетность'!R$8)</f>
        <v>2039</v>
      </c>
      <c r="T42" s="531">
        <f>YEAR('Годовая отчетность'!S$8)</f>
        <v>2040</v>
      </c>
      <c r="U42" s="531">
        <f>YEAR('Годовая отчетность'!T$8)</f>
        <v>2041</v>
      </c>
    </row>
    <row r="43" spans="2:21" ht="15" customHeight="1">
      <c r="B43" s="532"/>
      <c r="C43" s="532"/>
      <c r="D43" s="532"/>
      <c r="E43" s="532"/>
      <c r="F43" s="532"/>
      <c r="G43" s="532"/>
      <c r="H43" s="532"/>
      <c r="I43" s="532"/>
      <c r="J43" s="532"/>
      <c r="K43" s="532"/>
      <c r="L43" s="532"/>
      <c r="M43" s="532"/>
      <c r="N43" s="532"/>
      <c r="O43" s="532"/>
      <c r="P43" s="532"/>
      <c r="Q43" s="532"/>
      <c r="R43" s="532"/>
      <c r="S43" s="532"/>
      <c r="T43" s="532"/>
      <c r="U43" s="532"/>
    </row>
    <row r="44" spans="2:21" ht="15" customHeight="1">
      <c r="B44" s="128" t="s">
        <v>410</v>
      </c>
      <c r="C44" s="160" t="str">
        <f>O5</f>
        <v>тыс. руб.</v>
      </c>
      <c r="D44" s="137"/>
      <c r="E44" s="137"/>
      <c r="F44" s="159">
        <f ca="1">IF(F$42&gt;YEAR('Квартальная отчетность'!$K$3),"-",SUM('Годовая отчетность'!E52,IF(ISBLANK(E$42),OFFSET(Предпосылки!$G$298,,,,-ROUNDUP(MONTH(Предпосылки!$C$13)/Месяцев_в_квартале,0)),0))/LOOKUP($O$5,$P$4:$P$5,$Q$4:$Q$5))</f>
        <v>0</v>
      </c>
      <c r="G44" s="159">
        <f ca="1">IF(G$42&gt;YEAR('Квартальная отчетность'!$K$3),"-",SUM('Годовая отчетность'!F52,IF(ISBLANK(F$42),OFFSET(Предпосылки!$G$298,,,,-ROUNDUP(MONTH(Предпосылки!$C$13)/Месяцев_в_квартале,0)),0))/LOOKUP($O$5,$P$4:$P$5,$Q$4:$Q$5))</f>
        <v>0</v>
      </c>
      <c r="H44" s="159">
        <f ca="1">IF(H$42&gt;YEAR('Квартальная отчетность'!$K$3),"-",SUM('Годовая отчетность'!G52,IF(ISBLANK(G$42),OFFSET(Предпосылки!$G$298,,,,-ROUNDUP(MONTH(Предпосылки!$C$13)/Месяцев_в_квартале,0)),0))/LOOKUP($O$5,$P$4:$P$5,$Q$4:$Q$5))</f>
        <v>0</v>
      </c>
      <c r="I44" s="159">
        <f ca="1">IF(I$42&gt;YEAR('Квартальная отчетность'!$K$3),"-",SUM('Годовая отчетность'!H52,IF(ISBLANK(H$42),OFFSET(Предпосылки!$G$298,,,,-ROUNDUP(MONTH(Предпосылки!$C$13)/Месяцев_в_квартале,0)),0))/LOOKUP($O$5,$P$4:$P$5,$Q$4:$Q$5))</f>
        <v>0</v>
      </c>
      <c r="J44" s="159">
        <f ca="1">IF(J$42&gt;YEAR('Квартальная отчетность'!$K$3),"-",SUM('Годовая отчетность'!I52,IF(ISBLANK(I$42),OFFSET(Предпосылки!$G$298,,,,-ROUNDUP(MONTH(Предпосылки!$C$13)/Месяцев_в_квартале,0)),0))/LOOKUP($O$5,$P$4:$P$5,$Q$4:$Q$5))</f>
        <v>0</v>
      </c>
      <c r="K44" s="159">
        <f ca="1">IF(K$42&gt;YEAR('Квартальная отчетность'!$K$3),"-",SUM('Годовая отчетность'!J52,IF(ISBLANK(J$42),OFFSET(Предпосылки!$G$298,,,,-ROUNDUP(MONTH(Предпосылки!$C$13)/Месяцев_в_квартале,0)),0))/LOOKUP($O$5,$P$4:$P$5,$Q$4:$Q$5))</f>
        <v>0</v>
      </c>
      <c r="L44" s="159" t="str">
        <f ca="1">IF(L$42&gt;YEAR('Квартальная отчетность'!$K$3),"-",SUM('Годовая отчетность'!K52,IF(ISBLANK(K$42),OFFSET(Предпосылки!$G$298,,,,-ROUNDUP(MONTH(Предпосылки!$C$13)/Месяцев_в_квартале,0)),0))/LOOKUP($O$5,$P$4:$P$5,$Q$4:$Q$5))</f>
        <v>-</v>
      </c>
      <c r="M44" s="159" t="str">
        <f ca="1">IF(M$42&gt;YEAR('Квартальная отчетность'!$K$3),"-",SUM('Годовая отчетность'!L52,IF(ISBLANK(L$42),OFFSET(Предпосылки!$G$298,,,,-ROUNDUP(MONTH(Предпосылки!$C$13)/Месяцев_в_квартале,0)),0))/LOOKUP($O$5,$P$4:$P$5,$Q$4:$Q$5))</f>
        <v>-</v>
      </c>
      <c r="N44" s="159" t="str">
        <f ca="1">IF(N$42&gt;YEAR('Квартальная отчетность'!$K$3),"-",SUM('Годовая отчетность'!M52,IF(ISBLANK(M$42),OFFSET(Предпосылки!$G$298,,,,-ROUNDUP(MONTH(Предпосылки!$C$13)/Месяцев_в_квартале,0)),0))/LOOKUP($O$5,$P$4:$P$5,$Q$4:$Q$5))</f>
        <v>-</v>
      </c>
      <c r="O44" s="159" t="str">
        <f ca="1">IF(O$42&gt;YEAR('Квартальная отчетность'!$K$3),"-",SUM('Годовая отчетность'!N52,IF(ISBLANK(N$42),OFFSET(Предпосылки!$G$298,,,,-ROUNDUP(MONTH(Предпосылки!$C$13)/Месяцев_в_квартале,0)),0))/LOOKUP($O$5,$P$4:$P$5,$Q$4:$Q$5))</f>
        <v>-</v>
      </c>
      <c r="P44" s="159" t="str">
        <f ca="1">IF(P$42&gt;YEAR('Квартальная отчетность'!$K$3),"-",SUM('Годовая отчетность'!O52,IF(ISBLANK(O$42),OFFSET(Предпосылки!$G$298,,,,-ROUNDUP(MONTH(Предпосылки!$C$13)/Месяцев_в_квартале,0)),0))/LOOKUP($O$5,$P$4:$P$5,$Q$4:$Q$5))</f>
        <v>-</v>
      </c>
      <c r="Q44" s="159" t="str">
        <f ca="1">IF(Q$42&gt;YEAR('Квартальная отчетность'!$K$3),"-",SUM('Годовая отчетность'!P52,IF(ISBLANK(P$42),OFFSET(Предпосылки!$G$298,,,,-ROUNDUP(MONTH(Предпосылки!$C$13)/Месяцев_в_квартале,0)),0))/LOOKUP($O$5,$P$4:$P$5,$Q$4:$Q$5))</f>
        <v>-</v>
      </c>
      <c r="R44" s="159" t="str">
        <f ca="1">IF(R$42&gt;YEAR('Квартальная отчетность'!$K$3),"-",SUM('Годовая отчетность'!Q52,IF(ISBLANK(Q$42),OFFSET(Предпосылки!$G$298,,,,-ROUNDUP(MONTH(Предпосылки!$C$13)/Месяцев_в_квартале,0)),0))/LOOKUP($O$5,$P$4:$P$5,$Q$4:$Q$5))</f>
        <v>-</v>
      </c>
      <c r="S44" s="159" t="str">
        <f ca="1">IF(S$42&gt;YEAR('Квартальная отчетность'!$K$3),"-",SUM('Годовая отчетность'!R52,IF(ISBLANK(R$42),OFFSET(Предпосылки!$G$298,,,,-ROUNDUP(MONTH(Предпосылки!$C$13)/Месяцев_в_квартале,0)),0))/LOOKUP($O$5,$P$4:$P$5,$Q$4:$Q$5))</f>
        <v>-</v>
      </c>
      <c r="T44" s="159" t="str">
        <f ca="1">IF(T$42&gt;YEAR('Квартальная отчетность'!$K$3),"-",SUM('Годовая отчетность'!S52,IF(ISBLANK(S$42),OFFSET(Предпосылки!$G$298,,,,-ROUNDUP(MONTH(Предпосылки!$C$13)/Месяцев_в_квартале,0)),0))/LOOKUP($O$5,$P$4:$P$5,$Q$4:$Q$5))</f>
        <v>-</v>
      </c>
      <c r="U44" s="159" t="str">
        <f ca="1">IF(U$42&gt;YEAR('Квартальная отчетность'!$K$3),"-",SUM('Годовая отчетность'!T52,IF(ISBLANK(T$42),OFFSET(Предпосылки!$G$298,,,,-ROUNDUP(MONTH(Предпосылки!$C$13)/Месяцев_в_квартале,0)),0))/LOOKUP($O$5,$P$4:$P$5,$Q$4:$Q$5))</f>
        <v>-</v>
      </c>
    </row>
    <row r="45" spans="2:21" ht="15" customHeight="1">
      <c r="B45" s="130" t="s">
        <v>269</v>
      </c>
      <c r="C45" s="161" t="str">
        <f>O5</f>
        <v>тыс. руб.</v>
      </c>
      <c r="D45" s="137"/>
      <c r="E45" s="137"/>
      <c r="F45" s="136">
        <f ca="1">IF(F$42&gt;YEAR('Квартальная отчетность'!$K$3),"-",SUM('Годовая отчетность'!E70,IF(ISBLANK(E$42),OFFSET(Предпосылки!$G$299,,,,-ROUNDUP(MONTH(Предпосылки!$C$13)/Месяцев_в_квартале,0)),0))/LOOKUP($O$5,$P$4:$P$5,$Q$4:$Q$5))</f>
        <v>0</v>
      </c>
      <c r="G45" s="136">
        <f ca="1">IF(G$42&gt;YEAR('Квартальная отчетность'!$K$3),"-",SUM('Годовая отчетность'!F70,IF(ISBLANK(F$42),OFFSET(Предпосылки!$G$299,,,,-ROUNDUP(MONTH(Предпосылки!$C$13)/Месяцев_в_квартале,0)),0))/LOOKUP($O$5,$P$4:$P$5,$Q$4:$Q$5))</f>
        <v>0</v>
      </c>
      <c r="H45" s="136">
        <f ca="1">IF(H$42&gt;YEAR('Квартальная отчетность'!$K$3),"-",SUM('Годовая отчетность'!G70,IF(ISBLANK(G$42),OFFSET(Предпосылки!$G$299,,,,-ROUNDUP(MONTH(Предпосылки!$C$13)/Месяцев_в_квартале,0)),0))/LOOKUP($O$5,$P$4:$P$5,$Q$4:$Q$5))</f>
        <v>0</v>
      </c>
      <c r="I45" s="136">
        <f ca="1">IF(I$42&gt;YEAR('Квартальная отчетность'!$K$3),"-",SUM('Годовая отчетность'!H70,IF(ISBLANK(H$42),OFFSET(Предпосылки!$G$299,,,,-ROUNDUP(MONTH(Предпосылки!$C$13)/Месяцев_в_квартале,0)),0))/LOOKUP($O$5,$P$4:$P$5,$Q$4:$Q$5))</f>
        <v>0</v>
      </c>
      <c r="J45" s="136">
        <f ca="1">IF(J$42&gt;YEAR('Квартальная отчетность'!$K$3),"-",SUM('Годовая отчетность'!I70,IF(ISBLANK(I$42),OFFSET(Предпосылки!$G$299,,,,-ROUNDUP(MONTH(Предпосылки!$C$13)/Месяцев_в_квартале,0)),0))/LOOKUP($O$5,$P$4:$P$5,$Q$4:$Q$5))</f>
        <v>0</v>
      </c>
      <c r="K45" s="136">
        <f ca="1">IF(K$42&gt;YEAR('Квартальная отчетность'!$K$3),"-",SUM('Годовая отчетность'!J70,IF(ISBLANK(J$42),OFFSET(Предпосылки!$G$299,,,,-ROUNDUP(MONTH(Предпосылки!$C$13)/Месяцев_в_квартале,0)),0))/LOOKUP($O$5,$P$4:$P$5,$Q$4:$Q$5))</f>
        <v>0</v>
      </c>
      <c r="L45" s="136" t="str">
        <f ca="1">IF(L$42&gt;YEAR('Квартальная отчетность'!$K$3),"-",SUM('Годовая отчетность'!K70,IF(ISBLANK(K$42),OFFSET(Предпосылки!$G$299,,,,-ROUNDUP(MONTH(Предпосылки!$C$13)/Месяцев_в_квартале,0)),0))/LOOKUP($O$5,$P$4:$P$5,$Q$4:$Q$5))</f>
        <v>-</v>
      </c>
      <c r="M45" s="136" t="str">
        <f ca="1">IF(M$42&gt;YEAR('Квартальная отчетность'!$K$3),"-",SUM('Годовая отчетность'!L70,IF(ISBLANK(L$42),OFFSET(Предпосылки!$G$299,,,,-ROUNDUP(MONTH(Предпосылки!$C$13)/Месяцев_в_квартале,0)),0))/LOOKUP($O$5,$P$4:$P$5,$Q$4:$Q$5))</f>
        <v>-</v>
      </c>
      <c r="N45" s="136" t="str">
        <f ca="1">IF(N$42&gt;YEAR('Квартальная отчетность'!$K$3),"-",SUM('Годовая отчетность'!M70,IF(ISBLANK(M$42),OFFSET(Предпосылки!$G$299,,,,-ROUNDUP(MONTH(Предпосылки!$C$13)/Месяцев_в_квартале,0)),0))/LOOKUP($O$5,$P$4:$P$5,$Q$4:$Q$5))</f>
        <v>-</v>
      </c>
      <c r="O45" s="136" t="str">
        <f ca="1">IF(O$42&gt;YEAR('Квартальная отчетность'!$K$3),"-",SUM('Годовая отчетность'!N70,IF(ISBLANK(N$42),OFFSET(Предпосылки!$G$299,,,,-ROUNDUP(MONTH(Предпосылки!$C$13)/Месяцев_в_квартале,0)),0))/LOOKUP($O$5,$P$4:$P$5,$Q$4:$Q$5))</f>
        <v>-</v>
      </c>
      <c r="P45" s="136" t="str">
        <f ca="1">IF(P$42&gt;YEAR('Квартальная отчетность'!$K$3),"-",SUM('Годовая отчетность'!O70,IF(ISBLANK(O$42),OFFSET(Предпосылки!$G$299,,,,-ROUNDUP(MONTH(Предпосылки!$C$13)/Месяцев_в_квартале,0)),0))/LOOKUP($O$5,$P$4:$P$5,$Q$4:$Q$5))</f>
        <v>-</v>
      </c>
      <c r="Q45" s="136" t="str">
        <f ca="1">IF(Q$42&gt;YEAR('Квартальная отчетность'!$K$3),"-",SUM('Годовая отчетность'!P70,IF(ISBLANK(P$42),OFFSET(Предпосылки!$G$299,,,,-ROUNDUP(MONTH(Предпосылки!$C$13)/Месяцев_в_квартале,0)),0))/LOOKUP($O$5,$P$4:$P$5,$Q$4:$Q$5))</f>
        <v>-</v>
      </c>
      <c r="R45" s="136" t="str">
        <f ca="1">IF(R$42&gt;YEAR('Квартальная отчетность'!$K$3),"-",SUM('Годовая отчетность'!Q70,IF(ISBLANK(Q$42),OFFSET(Предпосылки!$G$299,,,,-ROUNDUP(MONTH(Предпосылки!$C$13)/Месяцев_в_квартале,0)),0))/LOOKUP($O$5,$P$4:$P$5,$Q$4:$Q$5))</f>
        <v>-</v>
      </c>
      <c r="S45" s="136" t="str">
        <f ca="1">IF(S$42&gt;YEAR('Квартальная отчетность'!$K$3),"-",SUM('Годовая отчетность'!R70,IF(ISBLANK(R$42),OFFSET(Предпосылки!$G$299,,,,-ROUNDUP(MONTH(Предпосылки!$C$13)/Месяцев_в_квартале,0)),0))/LOOKUP($O$5,$P$4:$P$5,$Q$4:$Q$5))</f>
        <v>-</v>
      </c>
      <c r="T45" s="136" t="str">
        <f ca="1">IF(T$42&gt;YEAR('Квартальная отчетность'!$K$3),"-",SUM('Годовая отчетность'!S70,IF(ISBLANK(S$42),OFFSET(Предпосылки!$G$299,,,,-ROUNDUP(MONTH(Предпосылки!$C$13)/Месяцев_в_квартале,0)),0))/LOOKUP($O$5,$P$4:$P$5,$Q$4:$Q$5))</f>
        <v>-</v>
      </c>
      <c r="U45" s="136" t="str">
        <f ca="1">IF(U$42&gt;YEAR('Квартальная отчетность'!$K$3),"-",SUM('Годовая отчетность'!T70,IF(ISBLANK(T$42),OFFSET(Предпосылки!$G$299,,,,-ROUNDUP(MONTH(Предпосылки!$C$13)/Месяцев_в_квартале,0)),0))/LOOKUP($O$5,$P$4:$P$5,$Q$4:$Q$5))</f>
        <v>-</v>
      </c>
    </row>
    <row r="46" spans="2:21" ht="15" customHeight="1">
      <c r="B46" s="130" t="s">
        <v>270</v>
      </c>
      <c r="C46" s="161" t="str">
        <f>O5</f>
        <v>тыс. руб.</v>
      </c>
      <c r="D46" s="137"/>
      <c r="E46" s="137"/>
      <c r="F46" s="136">
        <f ca="1">IF(F$42&gt;YEAR('Квартальная отчетность'!$K$3),"-",SUM('Годовая отчетность'!E87,IF(ISBLANK(E$42),OFFSET(Предпосылки!$G$300,,,,-ROUNDUP(MONTH(Предпосылки!$C$13)/Месяцев_в_квартале,0)),0))/LOOKUP($O$5,$P$4:$P$5,$Q$4:$Q$5))</f>
        <v>0</v>
      </c>
      <c r="G46" s="136">
        <f ca="1">IF(G$42&gt;YEAR('Квартальная отчетность'!$K$3),"-",SUM('Годовая отчетность'!F87,IF(ISBLANK(F$42),OFFSET(Предпосылки!$G$300,,,,-ROUNDUP(MONTH(Предпосылки!$C$13)/Месяцев_в_квартале,0)),0))/LOOKUP($O$5,$P$4:$P$5,$Q$4:$Q$5))</f>
        <v>0</v>
      </c>
      <c r="H46" s="136">
        <f ca="1">IF(H$42&gt;YEAR('Квартальная отчетность'!$K$3),"-",SUM('Годовая отчетность'!G87,IF(ISBLANK(G$42),OFFSET(Предпосылки!$G$300,,,,-ROUNDUP(MONTH(Предпосылки!$C$13)/Месяцев_в_квартале,0)),0))/LOOKUP($O$5,$P$4:$P$5,$Q$4:$Q$5))</f>
        <v>0</v>
      </c>
      <c r="I46" s="136">
        <f ca="1">IF(I$42&gt;YEAR('Квартальная отчетность'!$K$3),"-",SUM('Годовая отчетность'!H87,IF(ISBLANK(H$42),OFFSET(Предпосылки!$G$300,,,,-ROUNDUP(MONTH(Предпосылки!$C$13)/Месяцев_в_квартале,0)),0))/LOOKUP($O$5,$P$4:$P$5,$Q$4:$Q$5))</f>
        <v>0</v>
      </c>
      <c r="J46" s="136">
        <f ca="1">IF(J$42&gt;YEAR('Квартальная отчетность'!$K$3),"-",SUM('Годовая отчетность'!I87,IF(ISBLANK(I$42),OFFSET(Предпосылки!$G$300,,,,-ROUNDUP(MONTH(Предпосылки!$C$13)/Месяцев_в_квартале,0)),0))/LOOKUP($O$5,$P$4:$P$5,$Q$4:$Q$5))</f>
        <v>0</v>
      </c>
      <c r="K46" s="136">
        <f ca="1">IF(K$42&gt;YEAR('Квартальная отчетность'!$K$3),"-",SUM('Годовая отчетность'!J87,IF(ISBLANK(J$42),OFFSET(Предпосылки!$G$300,,,,-ROUNDUP(MONTH(Предпосылки!$C$13)/Месяцев_в_квартале,0)),0))/LOOKUP($O$5,$P$4:$P$5,$Q$4:$Q$5))</f>
        <v>0</v>
      </c>
      <c r="L46" s="136" t="str">
        <f ca="1">IF(L$42&gt;YEAR('Квартальная отчетность'!$K$3),"-",SUM('Годовая отчетность'!K87,IF(ISBLANK(K$42),OFFSET(Предпосылки!$G$300,,,,-ROUNDUP(MONTH(Предпосылки!$C$13)/Месяцев_в_квартале,0)),0))/LOOKUP($O$5,$P$4:$P$5,$Q$4:$Q$5))</f>
        <v>-</v>
      </c>
      <c r="M46" s="136" t="str">
        <f ca="1">IF(M$42&gt;YEAR('Квартальная отчетность'!$K$3),"-",SUM('Годовая отчетность'!L87,IF(ISBLANK(L$42),OFFSET(Предпосылки!$G$300,,,,-ROUNDUP(MONTH(Предпосылки!$C$13)/Месяцев_в_квартале,0)),0))/LOOKUP($O$5,$P$4:$P$5,$Q$4:$Q$5))</f>
        <v>-</v>
      </c>
      <c r="N46" s="136" t="str">
        <f ca="1">IF(N$42&gt;YEAR('Квартальная отчетность'!$K$3),"-",SUM('Годовая отчетность'!M87,IF(ISBLANK(M$42),OFFSET(Предпосылки!$G$300,,,,-ROUNDUP(MONTH(Предпосылки!$C$13)/Месяцев_в_квартале,0)),0))/LOOKUP($O$5,$P$4:$P$5,$Q$4:$Q$5))</f>
        <v>-</v>
      </c>
      <c r="O46" s="136" t="str">
        <f ca="1">IF(O$42&gt;YEAR('Квартальная отчетность'!$K$3),"-",SUM('Годовая отчетность'!N87,IF(ISBLANK(N$42),OFFSET(Предпосылки!$G$300,,,,-ROUNDUP(MONTH(Предпосылки!$C$13)/Месяцев_в_квартале,0)),0))/LOOKUP($O$5,$P$4:$P$5,$Q$4:$Q$5))</f>
        <v>-</v>
      </c>
      <c r="P46" s="136" t="str">
        <f ca="1">IF(P$42&gt;YEAR('Квартальная отчетность'!$K$3),"-",SUM('Годовая отчетность'!O87,IF(ISBLANK(O$42),OFFSET(Предпосылки!$G$300,,,,-ROUNDUP(MONTH(Предпосылки!$C$13)/Месяцев_в_квартале,0)),0))/LOOKUP($O$5,$P$4:$P$5,$Q$4:$Q$5))</f>
        <v>-</v>
      </c>
      <c r="Q46" s="136" t="str">
        <f ca="1">IF(Q$42&gt;YEAR('Квартальная отчетность'!$K$3),"-",SUM('Годовая отчетность'!P87,IF(ISBLANK(P$42),OFFSET(Предпосылки!$G$300,,,,-ROUNDUP(MONTH(Предпосылки!$C$13)/Месяцев_в_квартале,0)),0))/LOOKUP($O$5,$P$4:$P$5,$Q$4:$Q$5))</f>
        <v>-</v>
      </c>
      <c r="R46" s="136" t="str">
        <f ca="1">IF(R$42&gt;YEAR('Квартальная отчетность'!$K$3),"-",SUM('Годовая отчетность'!Q87,IF(ISBLANK(Q$42),OFFSET(Предпосылки!$G$300,,,,-ROUNDUP(MONTH(Предпосылки!$C$13)/Месяцев_в_квартале,0)),0))/LOOKUP($O$5,$P$4:$P$5,$Q$4:$Q$5))</f>
        <v>-</v>
      </c>
      <c r="S46" s="136" t="str">
        <f ca="1">IF(S$42&gt;YEAR('Квартальная отчетность'!$K$3),"-",SUM('Годовая отчетность'!R87,IF(ISBLANK(R$42),OFFSET(Предпосылки!$G$300,,,,-ROUNDUP(MONTH(Предпосылки!$C$13)/Месяцев_в_квартале,0)),0))/LOOKUP($O$5,$P$4:$P$5,$Q$4:$Q$5))</f>
        <v>-</v>
      </c>
      <c r="T46" s="136" t="str">
        <f ca="1">IF(T$42&gt;YEAR('Квартальная отчетность'!$K$3),"-",SUM('Годовая отчетность'!S87,IF(ISBLANK(S$42),OFFSET(Предпосылки!$G$300,,,,-ROUNDUP(MONTH(Предпосылки!$C$13)/Месяцев_в_квартале,0)),0))/LOOKUP($O$5,$P$4:$P$5,$Q$4:$Q$5))</f>
        <v>-</v>
      </c>
      <c r="U46" s="136" t="str">
        <f ca="1">IF(U$42&gt;YEAR('Квартальная отчетность'!$K$3),"-",SUM('Годовая отчетность'!T87,IF(ISBLANK(T$42),OFFSET(Предпосылки!$G$300,,,,-ROUNDUP(MONTH(Предпосылки!$C$13)/Месяцев_в_квартале,0)),0))/LOOKUP($O$5,$P$4:$P$5,$Q$4:$Q$5))</f>
        <v>-</v>
      </c>
    </row>
    <row r="47" spans="2:21" ht="15" customHeight="1">
      <c r="B47" s="269" t="s">
        <v>271</v>
      </c>
      <c r="C47" s="270" t="str">
        <f>O5</f>
        <v>тыс. руб.</v>
      </c>
      <c r="D47" s="279"/>
      <c r="E47" s="279"/>
      <c r="F47" s="266">
        <f t="shared" ref="F47:U47" ca="1" si="4">SUM(F44:F46)</f>
        <v>0</v>
      </c>
      <c r="G47" s="266">
        <f t="shared" ca="1" si="4"/>
        <v>0</v>
      </c>
      <c r="H47" s="266">
        <f t="shared" ca="1" si="4"/>
        <v>0</v>
      </c>
      <c r="I47" s="266">
        <f t="shared" ca="1" si="4"/>
        <v>0</v>
      </c>
      <c r="J47" s="266">
        <f t="shared" ca="1" si="4"/>
        <v>0</v>
      </c>
      <c r="K47" s="266">
        <f t="shared" ca="1" si="4"/>
        <v>0</v>
      </c>
      <c r="L47" s="266">
        <f t="shared" ca="1" si="4"/>
        <v>0</v>
      </c>
      <c r="M47" s="266">
        <f t="shared" ca="1" si="4"/>
        <v>0</v>
      </c>
      <c r="N47" s="266">
        <f t="shared" ca="1" si="4"/>
        <v>0</v>
      </c>
      <c r="O47" s="266">
        <f t="shared" ca="1" si="4"/>
        <v>0</v>
      </c>
      <c r="P47" s="266">
        <f t="shared" ca="1" si="4"/>
        <v>0</v>
      </c>
      <c r="Q47" s="266">
        <f t="shared" ca="1" si="4"/>
        <v>0</v>
      </c>
      <c r="R47" s="266">
        <f t="shared" ca="1" si="4"/>
        <v>0</v>
      </c>
      <c r="S47" s="266">
        <f t="shared" ca="1" si="4"/>
        <v>0</v>
      </c>
      <c r="T47" s="266">
        <f t="shared" ca="1" si="4"/>
        <v>0</v>
      </c>
      <c r="U47" s="266">
        <f t="shared" ca="1" si="4"/>
        <v>0</v>
      </c>
    </row>
    <row r="48" spans="2:21" ht="15" customHeight="1">
      <c r="B48" s="37"/>
      <c r="C48" s="37"/>
      <c r="D48" s="37"/>
      <c r="E48" s="37"/>
      <c r="F48" s="37"/>
      <c r="G48" s="37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37"/>
      <c r="T48" s="37"/>
      <c r="U48" s="37"/>
    </row>
    <row r="49" spans="2:24" ht="15" customHeight="1">
      <c r="B49" s="118" t="s">
        <v>67</v>
      </c>
      <c r="C49" s="37"/>
      <c r="D49" s="37"/>
      <c r="E49" s="37"/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37"/>
      <c r="U49" s="37"/>
    </row>
    <row r="50" spans="2:24" ht="15" customHeight="1">
      <c r="B50" s="120" t="s">
        <v>282</v>
      </c>
      <c r="C50" s="121"/>
      <c r="D50" s="121"/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5"/>
      <c r="W50" s="5"/>
      <c r="X50" s="5"/>
    </row>
    <row r="51" spans="2:24" ht="15" customHeight="1">
      <c r="B51" s="531" t="s">
        <v>255</v>
      </c>
      <c r="C51" s="531" t="s">
        <v>13</v>
      </c>
      <c r="D51" s="531"/>
      <c r="E51" s="531"/>
      <c r="F51" s="531">
        <f>YEAR('Годовая отчетность'!E$8)</f>
        <v>2026</v>
      </c>
      <c r="G51" s="531">
        <f>YEAR('Годовая отчетность'!F$8)</f>
        <v>2027</v>
      </c>
      <c r="H51" s="531">
        <f>YEAR('Годовая отчетность'!G$8)</f>
        <v>2028</v>
      </c>
      <c r="I51" s="531">
        <f>YEAR('Годовая отчетность'!H$8)</f>
        <v>2029</v>
      </c>
      <c r="J51" s="531">
        <f>YEAR('Годовая отчетность'!I$8)</f>
        <v>2030</v>
      </c>
      <c r="K51" s="531">
        <f>YEAR('Годовая отчетность'!J$8)</f>
        <v>2031</v>
      </c>
      <c r="L51" s="531">
        <f>YEAR('Годовая отчетность'!K$8)</f>
        <v>2032</v>
      </c>
      <c r="M51" s="531">
        <f>YEAR('Годовая отчетность'!L$8)</f>
        <v>2033</v>
      </c>
      <c r="N51" s="531">
        <f>YEAR('Годовая отчетность'!M$8)</f>
        <v>2034</v>
      </c>
      <c r="O51" s="531">
        <f>YEAR('Годовая отчетность'!N$8)</f>
        <v>2035</v>
      </c>
      <c r="P51" s="531">
        <f>YEAR('Годовая отчетность'!O$8)</f>
        <v>2036</v>
      </c>
      <c r="Q51" s="531">
        <f>YEAR('Годовая отчетность'!P$8)</f>
        <v>2037</v>
      </c>
      <c r="R51" s="531">
        <f>YEAR('Годовая отчетность'!Q$8)</f>
        <v>2038</v>
      </c>
      <c r="S51" s="531">
        <f>YEAR('Годовая отчетность'!R$8)</f>
        <v>2039</v>
      </c>
      <c r="T51" s="531">
        <f>YEAR('Годовая отчетность'!S$8)</f>
        <v>2040</v>
      </c>
      <c r="U51" s="531">
        <f>YEAR('Годовая отчетность'!T$8)</f>
        <v>2041</v>
      </c>
    </row>
    <row r="52" spans="2:24" ht="15" customHeight="1">
      <c r="B52" s="532"/>
      <c r="C52" s="532"/>
      <c r="D52" s="532"/>
      <c r="E52" s="532"/>
      <c r="F52" s="532"/>
      <c r="G52" s="532"/>
      <c r="H52" s="532"/>
      <c r="I52" s="532"/>
      <c r="J52" s="532"/>
      <c r="K52" s="532"/>
      <c r="L52" s="532"/>
      <c r="M52" s="532"/>
      <c r="N52" s="532"/>
      <c r="O52" s="532"/>
      <c r="P52" s="532"/>
      <c r="Q52" s="532"/>
      <c r="R52" s="532"/>
      <c r="S52" s="532"/>
      <c r="T52" s="532"/>
      <c r="U52" s="532"/>
    </row>
    <row r="53" spans="2:24" ht="15" customHeight="1">
      <c r="B53" s="128" t="s">
        <v>69</v>
      </c>
      <c r="C53" s="160" t="str">
        <f>O5</f>
        <v>тыс. руб.</v>
      </c>
      <c r="D53" s="137"/>
      <c r="E53" s="137"/>
      <c r="F53" s="160">
        <f>IF(F$51&gt;YEAR('Квартальная отчетность'!$K$3),"-",'Годовая отчетность'!E102/LOOKUP($O$5,$P$4:$P$5,$Q$4:$Q$5))</f>
        <v>0</v>
      </c>
      <c r="G53" s="160">
        <f>IF(G$51&gt;YEAR('Квартальная отчетность'!$K$3),"-",'Годовая отчетность'!F102/LOOKUP($O$5,$P$4:$P$5,$Q$4:$Q$5))</f>
        <v>0</v>
      </c>
      <c r="H53" s="160">
        <f>IF(H$51&gt;YEAR('Квартальная отчетность'!$K$3),"-",'Годовая отчетность'!G102/LOOKUP($O$5,$P$4:$P$5,$Q$4:$Q$5))</f>
        <v>0</v>
      </c>
      <c r="I53" s="160">
        <f>IF(I$51&gt;YEAR('Квартальная отчетность'!$K$3),"-",'Годовая отчетность'!H102/LOOKUP($O$5,$P$4:$P$5,$Q$4:$Q$5))</f>
        <v>0</v>
      </c>
      <c r="J53" s="160">
        <f>IF(J$51&gt;YEAR('Квартальная отчетность'!$K$3),"-",'Годовая отчетность'!I102/LOOKUP($O$5,$P$4:$P$5,$Q$4:$Q$5))</f>
        <v>0</v>
      </c>
      <c r="K53" s="160">
        <f>IF(K$51&gt;YEAR('Квартальная отчетность'!$K$3),"-",'Годовая отчетность'!J102/LOOKUP($O$5,$P$4:$P$5,$Q$4:$Q$5))</f>
        <v>0</v>
      </c>
      <c r="L53" s="160" t="str">
        <f>IF(L$51&gt;YEAR('Квартальная отчетность'!$K$3),"-",'Годовая отчетность'!K102/LOOKUP($O$5,$P$4:$P$5,$Q$4:$Q$5))</f>
        <v>-</v>
      </c>
      <c r="M53" s="160" t="str">
        <f>IF(M$51&gt;YEAR('Квартальная отчетность'!$K$3),"-",'Годовая отчетность'!L102/LOOKUP($O$5,$P$4:$P$5,$Q$4:$Q$5))</f>
        <v>-</v>
      </c>
      <c r="N53" s="160" t="str">
        <f>IF(N$51&gt;YEAR('Квартальная отчетность'!$K$3),"-",'Годовая отчетность'!M102/LOOKUP($O$5,$P$4:$P$5,$Q$4:$Q$5))</f>
        <v>-</v>
      </c>
      <c r="O53" s="160" t="str">
        <f>IF(O$51&gt;YEAR('Квартальная отчетность'!$K$3),"-",'Годовая отчетность'!N102/LOOKUP($O$5,$P$4:$P$5,$Q$4:$Q$5))</f>
        <v>-</v>
      </c>
      <c r="P53" s="160" t="str">
        <f>IF(P$51&gt;YEAR('Квартальная отчетность'!$K$3),"-",'Годовая отчетность'!O102/LOOKUP($O$5,$P$4:$P$5,$Q$4:$Q$5))</f>
        <v>-</v>
      </c>
      <c r="Q53" s="160" t="str">
        <f>IF(Q$51&gt;YEAR('Квартальная отчетность'!$K$3),"-",'Годовая отчетность'!P102/LOOKUP($O$5,$P$4:$P$5,$Q$4:$Q$5))</f>
        <v>-</v>
      </c>
      <c r="R53" s="160" t="str">
        <f>IF(R$51&gt;YEAR('Квартальная отчетность'!$K$3),"-",'Годовая отчетность'!Q102/LOOKUP($O$5,$P$4:$P$5,$Q$4:$Q$5))</f>
        <v>-</v>
      </c>
      <c r="S53" s="160" t="str">
        <f>IF(S$51&gt;YEAR('Квартальная отчетность'!$K$3),"-",'Годовая отчетность'!R102/LOOKUP($O$5,$P$4:$P$5,$Q$4:$Q$5))</f>
        <v>-</v>
      </c>
      <c r="T53" s="160" t="str">
        <f>IF(T$51&gt;YEAR('Квартальная отчетность'!$K$3),"-",'Годовая отчетность'!S102/LOOKUP($O$5,$P$4:$P$5,$Q$4:$Q$5))</f>
        <v>-</v>
      </c>
      <c r="U53" s="160" t="str">
        <f>IF(U$51&gt;YEAR('Квартальная отчетность'!$K$3),"-",'Годовая отчетность'!T102/LOOKUP($O$5,$P$4:$P$5,$Q$4:$Q$5))</f>
        <v>-</v>
      </c>
    </row>
    <row r="54" spans="2:24" ht="15" customHeight="1">
      <c r="B54" s="130" t="s">
        <v>183</v>
      </c>
      <c r="C54" s="161" t="str">
        <f>O5</f>
        <v>тыс. руб.</v>
      </c>
      <c r="D54" s="139"/>
      <c r="E54" s="139"/>
      <c r="F54" s="161">
        <f>IF(F$51&gt;YEAR('Квартальная отчетность'!$K$3),"-",SUM('Годовая отчетность'!E98:E101,'Годовая отчетность'!E103:E106)/LOOKUP($O$5,$P$4:$P$5,$Q$4:$Q$5))</f>
        <v>0</v>
      </c>
      <c r="G54" s="161">
        <f>IF(G$51&gt;YEAR('Квартальная отчетность'!$K$3),"-",SUM('Годовая отчетность'!F98:F101,'Годовая отчетность'!F103:F106)/LOOKUP($O$5,$P$4:$P$5,$Q$4:$Q$5))</f>
        <v>0</v>
      </c>
      <c r="H54" s="161">
        <f>IF(H$51&gt;YEAR('Квартальная отчетность'!$K$3),"-",SUM('Годовая отчетность'!G98:G101,'Годовая отчетность'!G103:G106)/LOOKUP($O$5,$P$4:$P$5,$Q$4:$Q$5))</f>
        <v>0</v>
      </c>
      <c r="I54" s="161">
        <f>IF(I$51&gt;YEAR('Квартальная отчетность'!$K$3),"-",SUM('Годовая отчетность'!H98:H101,'Годовая отчетность'!H103:H106)/LOOKUP($O$5,$P$4:$P$5,$Q$4:$Q$5))</f>
        <v>0</v>
      </c>
      <c r="J54" s="161">
        <f>IF(J$51&gt;YEAR('Квартальная отчетность'!$K$3),"-",SUM('Годовая отчетность'!I98:I101,'Годовая отчетность'!I103:I106)/LOOKUP($O$5,$P$4:$P$5,$Q$4:$Q$5))</f>
        <v>0</v>
      </c>
      <c r="K54" s="161">
        <f>IF(K$51&gt;YEAR('Квартальная отчетность'!$K$3),"-",SUM('Годовая отчетность'!J98:J101,'Годовая отчетность'!J103:J106)/LOOKUP($O$5,$P$4:$P$5,$Q$4:$Q$5))</f>
        <v>0</v>
      </c>
      <c r="L54" s="161" t="str">
        <f>IF(L$51&gt;YEAR('Квартальная отчетность'!$K$3),"-",SUM('Годовая отчетность'!K98:K101,'Годовая отчетность'!K103:K106)/LOOKUP($O$5,$P$4:$P$5,$Q$4:$Q$5))</f>
        <v>-</v>
      </c>
      <c r="M54" s="161" t="str">
        <f>IF(M$51&gt;YEAR('Квартальная отчетность'!$K$3),"-",SUM('Годовая отчетность'!L98:L101,'Годовая отчетность'!L103:L106)/LOOKUP($O$5,$P$4:$P$5,$Q$4:$Q$5))</f>
        <v>-</v>
      </c>
      <c r="N54" s="161" t="str">
        <f>IF(N$51&gt;YEAR('Квартальная отчетность'!$K$3),"-",SUM('Годовая отчетность'!M98:M101,'Годовая отчетность'!M103:M106)/LOOKUP($O$5,$P$4:$P$5,$Q$4:$Q$5))</f>
        <v>-</v>
      </c>
      <c r="O54" s="161" t="str">
        <f>IF(O$51&gt;YEAR('Квартальная отчетность'!$K$3),"-",SUM('Годовая отчетность'!N98:N101,'Годовая отчетность'!N103:N106)/LOOKUP($O$5,$P$4:$P$5,$Q$4:$Q$5))</f>
        <v>-</v>
      </c>
      <c r="P54" s="161" t="str">
        <f>IF(P$51&gt;YEAR('Квартальная отчетность'!$K$3),"-",SUM('Годовая отчетность'!O98:O101,'Годовая отчетность'!O103:O106)/LOOKUP($O$5,$P$4:$P$5,$Q$4:$Q$5))</f>
        <v>-</v>
      </c>
      <c r="Q54" s="161" t="str">
        <f>IF(Q$51&gt;YEAR('Квартальная отчетность'!$K$3),"-",SUM('Годовая отчетность'!P98:P101,'Годовая отчетность'!P103:P106)/LOOKUP($O$5,$P$4:$P$5,$Q$4:$Q$5))</f>
        <v>-</v>
      </c>
      <c r="R54" s="161" t="str">
        <f>IF(R$51&gt;YEAR('Квартальная отчетность'!$K$3),"-",SUM('Годовая отчетность'!Q98:Q101,'Годовая отчетность'!Q103:Q106)/LOOKUP($O$5,$P$4:$P$5,$Q$4:$Q$5))</f>
        <v>-</v>
      </c>
      <c r="S54" s="161" t="str">
        <f>IF(S$51&gt;YEAR('Квартальная отчетность'!$K$3),"-",SUM('Годовая отчетность'!R98:R101,'Годовая отчетность'!R103:R106)/LOOKUP($O$5,$P$4:$P$5,$Q$4:$Q$5))</f>
        <v>-</v>
      </c>
      <c r="T54" s="161" t="str">
        <f>IF(T$51&gt;YEAR('Квартальная отчетность'!$K$3),"-",SUM('Годовая отчетность'!S98:S101,'Годовая отчетность'!S103:S106)/LOOKUP($O$5,$P$4:$P$5,$Q$4:$Q$5))</f>
        <v>-</v>
      </c>
      <c r="U54" s="161" t="str">
        <f>IF(U$51&gt;YEAR('Квартальная отчетность'!$K$3),"-",SUM('Годовая отчетность'!T98:T101,'Годовая отчетность'!T103:T106)/LOOKUP($O$5,$P$4:$P$5,$Q$4:$Q$5))</f>
        <v>-</v>
      </c>
    </row>
    <row r="55" spans="2:24" ht="15" customHeight="1">
      <c r="B55" s="269" t="s">
        <v>68</v>
      </c>
      <c r="C55" s="270" t="str">
        <f>O5</f>
        <v>тыс. руб.</v>
      </c>
      <c r="D55" s="279"/>
      <c r="E55" s="279"/>
      <c r="F55" s="270">
        <f>SUM(F53:F54)</f>
        <v>0</v>
      </c>
      <c r="G55" s="270">
        <f t="shared" ref="G55:U55" si="5">SUM(G53:G54)</f>
        <v>0</v>
      </c>
      <c r="H55" s="270">
        <f t="shared" si="5"/>
        <v>0</v>
      </c>
      <c r="I55" s="270">
        <f t="shared" si="5"/>
        <v>0</v>
      </c>
      <c r="J55" s="270">
        <f t="shared" si="5"/>
        <v>0</v>
      </c>
      <c r="K55" s="270">
        <f t="shared" si="5"/>
        <v>0</v>
      </c>
      <c r="L55" s="270">
        <f t="shared" si="5"/>
        <v>0</v>
      </c>
      <c r="M55" s="270">
        <f t="shared" si="5"/>
        <v>0</v>
      </c>
      <c r="N55" s="270">
        <f t="shared" si="5"/>
        <v>0</v>
      </c>
      <c r="O55" s="270">
        <f t="shared" si="5"/>
        <v>0</v>
      </c>
      <c r="P55" s="270">
        <f t="shared" si="5"/>
        <v>0</v>
      </c>
      <c r="Q55" s="270">
        <f t="shared" si="5"/>
        <v>0</v>
      </c>
      <c r="R55" s="270">
        <f t="shared" si="5"/>
        <v>0</v>
      </c>
      <c r="S55" s="270">
        <f t="shared" si="5"/>
        <v>0</v>
      </c>
      <c r="T55" s="270">
        <f t="shared" si="5"/>
        <v>0</v>
      </c>
      <c r="U55" s="270">
        <f t="shared" si="5"/>
        <v>0</v>
      </c>
    </row>
    <row r="56" spans="2:24" ht="15" customHeight="1">
      <c r="B56" s="130" t="s">
        <v>71</v>
      </c>
      <c r="C56" s="161" t="str">
        <f>O5</f>
        <v>тыс. руб.</v>
      </c>
      <c r="D56" s="139"/>
      <c r="E56" s="139"/>
      <c r="F56" s="161">
        <f>IF(F$51&gt;YEAR('Квартальная отчетность'!$K$3),"-",'Годовая отчетность'!E110/LOOKUP($O$5,$P$4:$P$5,$Q$4:$Q$5))</f>
        <v>0</v>
      </c>
      <c r="G56" s="161">
        <f>IF(G$51&gt;YEAR('Квартальная отчетность'!$K$3),"-",'Годовая отчетность'!F110/LOOKUP($O$5,$P$4:$P$5,$Q$4:$Q$5))</f>
        <v>0</v>
      </c>
      <c r="H56" s="161">
        <f>IF(H$51&gt;YEAR('Квартальная отчетность'!$K$3),"-",'Годовая отчетность'!G110/LOOKUP($O$5,$P$4:$P$5,$Q$4:$Q$5))</f>
        <v>0</v>
      </c>
      <c r="I56" s="161">
        <f>IF(I$51&gt;YEAR('Квартальная отчетность'!$K$3),"-",'Годовая отчетность'!H110/LOOKUP($O$5,$P$4:$P$5,$Q$4:$Q$5))</f>
        <v>0</v>
      </c>
      <c r="J56" s="161">
        <f>IF(J$51&gt;YEAR('Квартальная отчетность'!$K$3),"-",'Годовая отчетность'!I110/LOOKUP($O$5,$P$4:$P$5,$Q$4:$Q$5))</f>
        <v>0</v>
      </c>
      <c r="K56" s="161">
        <f>IF(K$51&gt;YEAR('Квартальная отчетность'!$K$3),"-",'Годовая отчетность'!J110/LOOKUP($O$5,$P$4:$P$5,$Q$4:$Q$5))</f>
        <v>0</v>
      </c>
      <c r="L56" s="161" t="str">
        <f>IF(L$51&gt;YEAR('Квартальная отчетность'!$K$3),"-",'Годовая отчетность'!K110/LOOKUP($O$5,$P$4:$P$5,$Q$4:$Q$5))</f>
        <v>-</v>
      </c>
      <c r="M56" s="161" t="str">
        <f>IF(M$51&gt;YEAR('Квартальная отчетность'!$K$3),"-",'Годовая отчетность'!L110/LOOKUP($O$5,$P$4:$P$5,$Q$4:$Q$5))</f>
        <v>-</v>
      </c>
      <c r="N56" s="161" t="str">
        <f>IF(N$51&gt;YEAR('Квартальная отчетность'!$K$3),"-",'Годовая отчетность'!M110/LOOKUP($O$5,$P$4:$P$5,$Q$4:$Q$5))</f>
        <v>-</v>
      </c>
      <c r="O56" s="161" t="str">
        <f>IF(O$51&gt;YEAR('Квартальная отчетность'!$K$3),"-",'Годовая отчетность'!N110/LOOKUP($O$5,$P$4:$P$5,$Q$4:$Q$5))</f>
        <v>-</v>
      </c>
      <c r="P56" s="161" t="str">
        <f>IF(P$51&gt;YEAR('Квартальная отчетность'!$K$3),"-",'Годовая отчетность'!O110/LOOKUP($O$5,$P$4:$P$5,$Q$4:$Q$5))</f>
        <v>-</v>
      </c>
      <c r="Q56" s="161" t="str">
        <f>IF(Q$51&gt;YEAR('Квартальная отчетность'!$K$3),"-",'Годовая отчетность'!P110/LOOKUP($O$5,$P$4:$P$5,$Q$4:$Q$5))</f>
        <v>-</v>
      </c>
      <c r="R56" s="161" t="str">
        <f>IF(R$51&gt;YEAR('Квартальная отчетность'!$K$3),"-",'Годовая отчетность'!Q110/LOOKUP($O$5,$P$4:$P$5,$Q$4:$Q$5))</f>
        <v>-</v>
      </c>
      <c r="S56" s="161" t="str">
        <f>IF(S$51&gt;YEAR('Квартальная отчетность'!$K$3),"-",'Годовая отчетность'!R110/LOOKUP($O$5,$P$4:$P$5,$Q$4:$Q$5))</f>
        <v>-</v>
      </c>
      <c r="T56" s="161" t="str">
        <f>IF(T$51&gt;YEAR('Квартальная отчетность'!$K$3),"-",'Годовая отчетность'!S110/LOOKUP($O$5,$P$4:$P$5,$Q$4:$Q$5))</f>
        <v>-</v>
      </c>
      <c r="U56" s="161" t="str">
        <f>IF(U$51&gt;YEAR('Квартальная отчетность'!$K$3),"-",'Годовая отчетность'!T110/LOOKUP($O$5,$P$4:$P$5,$Q$4:$Q$5))</f>
        <v>-</v>
      </c>
    </row>
    <row r="57" spans="2:24" ht="15" customHeight="1">
      <c r="B57" s="130" t="s">
        <v>73</v>
      </c>
      <c r="C57" s="161" t="str">
        <f>O5</f>
        <v>тыс. руб.</v>
      </c>
      <c r="D57" s="139"/>
      <c r="E57" s="139"/>
      <c r="F57" s="161">
        <f>IF(F$51&gt;YEAR('Квартальная отчетность'!$K$3),"-",'Годовая отчетность'!E112/LOOKUP($O$5,$P$4:$P$5,$Q$4:$Q$5))</f>
        <v>0</v>
      </c>
      <c r="G57" s="161">
        <f>IF(G$51&gt;YEAR('Квартальная отчетность'!$K$3),"-",'Годовая отчетность'!F112/LOOKUP($O$5,$P$4:$P$5,$Q$4:$Q$5))</f>
        <v>0</v>
      </c>
      <c r="H57" s="161">
        <f>IF(H$51&gt;YEAR('Квартальная отчетность'!$K$3),"-",'Годовая отчетность'!G112/LOOKUP($O$5,$P$4:$P$5,$Q$4:$Q$5))</f>
        <v>0</v>
      </c>
      <c r="I57" s="161">
        <f>IF(I$51&gt;YEAR('Квартальная отчетность'!$K$3),"-",'Годовая отчетность'!H112/LOOKUP($O$5,$P$4:$P$5,$Q$4:$Q$5))</f>
        <v>0</v>
      </c>
      <c r="J57" s="161">
        <f>IF(J$51&gt;YEAR('Квартальная отчетность'!$K$3),"-",'Годовая отчетность'!I112/LOOKUP($O$5,$P$4:$P$5,$Q$4:$Q$5))</f>
        <v>0</v>
      </c>
      <c r="K57" s="161">
        <f>IF(K$51&gt;YEAR('Квартальная отчетность'!$K$3),"-",'Годовая отчетность'!J112/LOOKUP($O$5,$P$4:$P$5,$Q$4:$Q$5))</f>
        <v>0</v>
      </c>
      <c r="L57" s="161" t="str">
        <f>IF(L$51&gt;YEAR('Квартальная отчетность'!$K$3),"-",'Годовая отчетность'!K112/LOOKUP($O$5,$P$4:$P$5,$Q$4:$Q$5))</f>
        <v>-</v>
      </c>
      <c r="M57" s="161" t="str">
        <f>IF(M$51&gt;YEAR('Квартальная отчетность'!$K$3),"-",'Годовая отчетность'!L112/LOOKUP($O$5,$P$4:$P$5,$Q$4:$Q$5))</f>
        <v>-</v>
      </c>
      <c r="N57" s="161" t="str">
        <f>IF(N$51&gt;YEAR('Квартальная отчетность'!$K$3),"-",'Годовая отчетность'!M112/LOOKUP($O$5,$P$4:$P$5,$Q$4:$Q$5))</f>
        <v>-</v>
      </c>
      <c r="O57" s="161" t="str">
        <f>IF(O$51&gt;YEAR('Квартальная отчетность'!$K$3),"-",'Годовая отчетность'!N112/LOOKUP($O$5,$P$4:$P$5,$Q$4:$Q$5))</f>
        <v>-</v>
      </c>
      <c r="P57" s="161" t="str">
        <f>IF(P$51&gt;YEAR('Квартальная отчетность'!$K$3),"-",'Годовая отчетность'!O112/LOOKUP($O$5,$P$4:$P$5,$Q$4:$Q$5))</f>
        <v>-</v>
      </c>
      <c r="Q57" s="161" t="str">
        <f>IF(Q$51&gt;YEAR('Квартальная отчетность'!$K$3),"-",'Годовая отчетность'!P112/LOOKUP($O$5,$P$4:$P$5,$Q$4:$Q$5))</f>
        <v>-</v>
      </c>
      <c r="R57" s="161" t="str">
        <f>IF(R$51&gt;YEAR('Квартальная отчетность'!$K$3),"-",'Годовая отчетность'!Q112/LOOKUP($O$5,$P$4:$P$5,$Q$4:$Q$5))</f>
        <v>-</v>
      </c>
      <c r="S57" s="161" t="str">
        <f>IF(S$51&gt;YEAR('Квартальная отчетность'!$K$3),"-",'Годовая отчетность'!R112/LOOKUP($O$5,$P$4:$P$5,$Q$4:$Q$5))</f>
        <v>-</v>
      </c>
      <c r="T57" s="161" t="str">
        <f>IF(T$51&gt;YEAR('Квартальная отчетность'!$K$3),"-",'Годовая отчетность'!S112/LOOKUP($O$5,$P$4:$P$5,$Q$4:$Q$5))</f>
        <v>-</v>
      </c>
      <c r="U57" s="161" t="str">
        <f>IF(U$51&gt;YEAR('Квартальная отчетность'!$K$3),"-",'Годовая отчетность'!T112/LOOKUP($O$5,$P$4:$P$5,$Q$4:$Q$5))</f>
        <v>-</v>
      </c>
    </row>
    <row r="58" spans="2:24" ht="15" customHeight="1">
      <c r="B58" s="130" t="s">
        <v>74</v>
      </c>
      <c r="C58" s="161" t="str">
        <f>O5</f>
        <v>тыс. руб.</v>
      </c>
      <c r="D58" s="139"/>
      <c r="E58" s="139"/>
      <c r="F58" s="161">
        <f>IF(F$51&gt;YEAR('Квартальная отчетность'!$K$3),"-",'Годовая отчетность'!E114/LOOKUP($O$5,$P$4:$P$5,$Q$4:$Q$5))</f>
        <v>0</v>
      </c>
      <c r="G58" s="161">
        <f>IF(G$51&gt;YEAR('Квартальная отчетность'!$K$3),"-",'Годовая отчетность'!F114/LOOKUP($O$5,$P$4:$P$5,$Q$4:$Q$5))</f>
        <v>0</v>
      </c>
      <c r="H58" s="161">
        <f>IF(H$51&gt;YEAR('Квартальная отчетность'!$K$3),"-",'Годовая отчетность'!G114/LOOKUP($O$5,$P$4:$P$5,$Q$4:$Q$5))</f>
        <v>0</v>
      </c>
      <c r="I58" s="161">
        <f>IF(I$51&gt;YEAR('Квартальная отчетность'!$K$3),"-",'Годовая отчетность'!H114/LOOKUP($O$5,$P$4:$P$5,$Q$4:$Q$5))</f>
        <v>0</v>
      </c>
      <c r="J58" s="161">
        <f>IF(J$51&gt;YEAR('Квартальная отчетность'!$K$3),"-",'Годовая отчетность'!I114/LOOKUP($O$5,$P$4:$P$5,$Q$4:$Q$5))</f>
        <v>0</v>
      </c>
      <c r="K58" s="161">
        <f>IF(K$51&gt;YEAR('Квартальная отчетность'!$K$3),"-",'Годовая отчетность'!J114/LOOKUP($O$5,$P$4:$P$5,$Q$4:$Q$5))</f>
        <v>0</v>
      </c>
      <c r="L58" s="161" t="str">
        <f>IF(L$51&gt;YEAR('Квартальная отчетность'!$K$3),"-",'Годовая отчетность'!K114/LOOKUP($O$5,$P$4:$P$5,$Q$4:$Q$5))</f>
        <v>-</v>
      </c>
      <c r="M58" s="161" t="str">
        <f>IF(M$51&gt;YEAR('Квартальная отчетность'!$K$3),"-",'Годовая отчетность'!L114/LOOKUP($O$5,$P$4:$P$5,$Q$4:$Q$5))</f>
        <v>-</v>
      </c>
      <c r="N58" s="161" t="str">
        <f>IF(N$51&gt;YEAR('Квартальная отчетность'!$K$3),"-",'Годовая отчетность'!M114/LOOKUP($O$5,$P$4:$P$5,$Q$4:$Q$5))</f>
        <v>-</v>
      </c>
      <c r="O58" s="161" t="str">
        <f>IF(O$51&gt;YEAR('Квартальная отчетность'!$K$3),"-",'Годовая отчетность'!N114/LOOKUP($O$5,$P$4:$P$5,$Q$4:$Q$5))</f>
        <v>-</v>
      </c>
      <c r="P58" s="161" t="str">
        <f>IF(P$51&gt;YEAR('Квартальная отчетность'!$K$3),"-",'Годовая отчетность'!O114/LOOKUP($O$5,$P$4:$P$5,$Q$4:$Q$5))</f>
        <v>-</v>
      </c>
      <c r="Q58" s="161" t="str">
        <f>IF(Q$51&gt;YEAR('Квартальная отчетность'!$K$3),"-",'Годовая отчетность'!P114/LOOKUP($O$5,$P$4:$P$5,$Q$4:$Q$5))</f>
        <v>-</v>
      </c>
      <c r="R58" s="161" t="str">
        <f>IF(R$51&gt;YEAR('Квартальная отчетность'!$K$3),"-",'Годовая отчетность'!Q114/LOOKUP($O$5,$P$4:$P$5,$Q$4:$Q$5))</f>
        <v>-</v>
      </c>
      <c r="S58" s="161" t="str">
        <f>IF(S$51&gt;YEAR('Квартальная отчетность'!$K$3),"-",'Годовая отчетность'!R114/LOOKUP($O$5,$P$4:$P$5,$Q$4:$Q$5))</f>
        <v>-</v>
      </c>
      <c r="T58" s="161" t="str">
        <f>IF(T$51&gt;YEAR('Квартальная отчетность'!$K$3),"-",'Годовая отчетность'!S114/LOOKUP($O$5,$P$4:$P$5,$Q$4:$Q$5))</f>
        <v>-</v>
      </c>
      <c r="U58" s="161" t="str">
        <f>IF(U$51&gt;YEAR('Квартальная отчетность'!$K$3),"-",'Годовая отчетность'!T114/LOOKUP($O$5,$P$4:$P$5,$Q$4:$Q$5))</f>
        <v>-</v>
      </c>
    </row>
    <row r="59" spans="2:24" ht="15" customHeight="1">
      <c r="B59" s="130" t="s">
        <v>185</v>
      </c>
      <c r="C59" s="161" t="str">
        <f>O5</f>
        <v>тыс. руб.</v>
      </c>
      <c r="D59" s="139"/>
      <c r="E59" s="139"/>
      <c r="F59" s="161">
        <f>IF(F$51&gt;YEAR('Квартальная отчетность'!$K$3),"-",SUM('Годовая отчетность'!E111,'Годовая отчетность'!E113,'Годовая отчетность'!E115)/LOOKUP($O$5,$P$4:$P$5,$Q$4:$Q$5))</f>
        <v>0</v>
      </c>
      <c r="G59" s="161">
        <f>IF(G$51&gt;YEAR('Квартальная отчетность'!$K$3),"-",SUM('Годовая отчетность'!F111,'Годовая отчетность'!F113,'Годовая отчетность'!F115)/LOOKUP($O$5,$P$4:$P$5,$Q$4:$Q$5))</f>
        <v>0</v>
      </c>
      <c r="H59" s="161">
        <f>IF(H$51&gt;YEAR('Квартальная отчетность'!$K$3),"-",SUM('Годовая отчетность'!G111,'Годовая отчетность'!G113,'Годовая отчетность'!G115)/LOOKUP($O$5,$P$4:$P$5,$Q$4:$Q$5))</f>
        <v>0</v>
      </c>
      <c r="I59" s="161">
        <f>IF(I$51&gt;YEAR('Квартальная отчетность'!$K$3),"-",SUM('Годовая отчетность'!H111,'Годовая отчетность'!H113,'Годовая отчетность'!H115)/LOOKUP($O$5,$P$4:$P$5,$Q$4:$Q$5))</f>
        <v>0</v>
      </c>
      <c r="J59" s="161">
        <f>IF(J$51&gt;YEAR('Квартальная отчетность'!$K$3),"-",SUM('Годовая отчетность'!I111,'Годовая отчетность'!I113,'Годовая отчетность'!I115)/LOOKUP($O$5,$P$4:$P$5,$Q$4:$Q$5))</f>
        <v>0</v>
      </c>
      <c r="K59" s="161">
        <f>IF(K$51&gt;YEAR('Квартальная отчетность'!$K$3),"-",SUM('Годовая отчетность'!J111,'Годовая отчетность'!J113,'Годовая отчетность'!J115)/LOOKUP($O$5,$P$4:$P$5,$Q$4:$Q$5))</f>
        <v>0</v>
      </c>
      <c r="L59" s="161" t="str">
        <f>IF(L$51&gt;YEAR('Квартальная отчетность'!$K$3),"-",SUM('Годовая отчетность'!K111,'Годовая отчетность'!K113,'Годовая отчетность'!K115)/LOOKUP($O$5,$P$4:$P$5,$Q$4:$Q$5))</f>
        <v>-</v>
      </c>
      <c r="M59" s="161" t="str">
        <f>IF(M$51&gt;YEAR('Квартальная отчетность'!$K$3),"-",SUM('Годовая отчетность'!L111,'Годовая отчетность'!L113,'Годовая отчетность'!L115)/LOOKUP($O$5,$P$4:$P$5,$Q$4:$Q$5))</f>
        <v>-</v>
      </c>
      <c r="N59" s="161" t="str">
        <f>IF(N$51&gt;YEAR('Квартальная отчетность'!$K$3),"-",SUM('Годовая отчетность'!M111,'Годовая отчетность'!M113,'Годовая отчетность'!M115)/LOOKUP($O$5,$P$4:$P$5,$Q$4:$Q$5))</f>
        <v>-</v>
      </c>
      <c r="O59" s="161" t="str">
        <f>IF(O$51&gt;YEAR('Квартальная отчетность'!$K$3),"-",SUM('Годовая отчетность'!N111,'Годовая отчетность'!N113,'Годовая отчетность'!N115)/LOOKUP($O$5,$P$4:$P$5,$Q$4:$Q$5))</f>
        <v>-</v>
      </c>
      <c r="P59" s="161" t="str">
        <f>IF(P$51&gt;YEAR('Квартальная отчетность'!$K$3),"-",SUM('Годовая отчетность'!O111,'Годовая отчетность'!O113,'Годовая отчетность'!O115)/LOOKUP($O$5,$P$4:$P$5,$Q$4:$Q$5))</f>
        <v>-</v>
      </c>
      <c r="Q59" s="161" t="str">
        <f>IF(Q$51&gt;YEAR('Квартальная отчетность'!$K$3),"-",SUM('Годовая отчетность'!P111,'Годовая отчетность'!P113,'Годовая отчетность'!P115)/LOOKUP($O$5,$P$4:$P$5,$Q$4:$Q$5))</f>
        <v>-</v>
      </c>
      <c r="R59" s="161" t="str">
        <f>IF(R$51&gt;YEAR('Квартальная отчетность'!$K$3),"-",SUM('Годовая отчетность'!Q111,'Годовая отчетность'!Q113,'Годовая отчетность'!Q115)/LOOKUP($O$5,$P$4:$P$5,$Q$4:$Q$5))</f>
        <v>-</v>
      </c>
      <c r="S59" s="161" t="str">
        <f>IF(S$51&gt;YEAR('Квартальная отчетность'!$K$3),"-",SUM('Годовая отчетность'!R111,'Годовая отчетность'!R113,'Годовая отчетность'!R115)/LOOKUP($O$5,$P$4:$P$5,$Q$4:$Q$5))</f>
        <v>-</v>
      </c>
      <c r="T59" s="161" t="str">
        <f>IF(T$51&gt;YEAR('Квартальная отчетность'!$K$3),"-",SUM('Годовая отчетность'!S111,'Годовая отчетность'!S113,'Годовая отчетность'!S115)/LOOKUP($O$5,$P$4:$P$5,$Q$4:$Q$5))</f>
        <v>-</v>
      </c>
      <c r="U59" s="161" t="str">
        <f>IF(U$51&gt;YEAR('Квартальная отчетность'!$K$3),"-",SUM('Годовая отчетность'!T111,'Годовая отчетность'!T113,'Годовая отчетность'!T115)/LOOKUP($O$5,$P$4:$P$5,$Q$4:$Q$5))</f>
        <v>-</v>
      </c>
    </row>
    <row r="60" spans="2:24" ht="15" customHeight="1">
      <c r="B60" s="269" t="s">
        <v>70</v>
      </c>
      <c r="C60" s="270" t="str">
        <f>O5</f>
        <v>тыс. руб.</v>
      </c>
      <c r="D60" s="279"/>
      <c r="E60" s="279"/>
      <c r="F60" s="270">
        <f t="shared" ref="F60:U60" si="6">SUM(F56:F59)</f>
        <v>0</v>
      </c>
      <c r="G60" s="270">
        <f t="shared" si="6"/>
        <v>0</v>
      </c>
      <c r="H60" s="270">
        <f t="shared" si="6"/>
        <v>0</v>
      </c>
      <c r="I60" s="270">
        <f t="shared" si="6"/>
        <v>0</v>
      </c>
      <c r="J60" s="270">
        <f t="shared" si="6"/>
        <v>0</v>
      </c>
      <c r="K60" s="270">
        <f t="shared" si="6"/>
        <v>0</v>
      </c>
      <c r="L60" s="270">
        <f t="shared" si="6"/>
        <v>0</v>
      </c>
      <c r="M60" s="270">
        <f t="shared" si="6"/>
        <v>0</v>
      </c>
      <c r="N60" s="270">
        <f t="shared" si="6"/>
        <v>0</v>
      </c>
      <c r="O60" s="270">
        <f t="shared" si="6"/>
        <v>0</v>
      </c>
      <c r="P60" s="270">
        <f t="shared" si="6"/>
        <v>0</v>
      </c>
      <c r="Q60" s="270">
        <f t="shared" si="6"/>
        <v>0</v>
      </c>
      <c r="R60" s="270">
        <f t="shared" si="6"/>
        <v>0</v>
      </c>
      <c r="S60" s="270">
        <f t="shared" si="6"/>
        <v>0</v>
      </c>
      <c r="T60" s="270">
        <f t="shared" si="6"/>
        <v>0</v>
      </c>
      <c r="U60" s="270">
        <f t="shared" si="6"/>
        <v>0</v>
      </c>
    </row>
    <row r="61" spans="2:24" ht="15" customHeight="1">
      <c r="B61" s="274" t="s">
        <v>80</v>
      </c>
      <c r="C61" s="275" t="str">
        <f>O5</f>
        <v>тыс. руб.</v>
      </c>
      <c r="D61" s="280"/>
      <c r="E61" s="280"/>
      <c r="F61" s="275">
        <f t="shared" ref="F61:U61" si="7">SUM(F55,F60)</f>
        <v>0</v>
      </c>
      <c r="G61" s="275">
        <f t="shared" si="7"/>
        <v>0</v>
      </c>
      <c r="H61" s="275">
        <f t="shared" si="7"/>
        <v>0</v>
      </c>
      <c r="I61" s="275">
        <f t="shared" si="7"/>
        <v>0</v>
      </c>
      <c r="J61" s="275">
        <f t="shared" si="7"/>
        <v>0</v>
      </c>
      <c r="K61" s="275">
        <f t="shared" si="7"/>
        <v>0</v>
      </c>
      <c r="L61" s="275">
        <f t="shared" si="7"/>
        <v>0</v>
      </c>
      <c r="M61" s="275">
        <f t="shared" si="7"/>
        <v>0</v>
      </c>
      <c r="N61" s="275">
        <f t="shared" si="7"/>
        <v>0</v>
      </c>
      <c r="O61" s="275">
        <f t="shared" si="7"/>
        <v>0</v>
      </c>
      <c r="P61" s="275">
        <f t="shared" si="7"/>
        <v>0</v>
      </c>
      <c r="Q61" s="275">
        <f t="shared" si="7"/>
        <v>0</v>
      </c>
      <c r="R61" s="275">
        <f t="shared" si="7"/>
        <v>0</v>
      </c>
      <c r="S61" s="275">
        <f t="shared" si="7"/>
        <v>0</v>
      </c>
      <c r="T61" s="275">
        <f t="shared" si="7"/>
        <v>0</v>
      </c>
      <c r="U61" s="275">
        <f t="shared" si="7"/>
        <v>0</v>
      </c>
    </row>
    <row r="62" spans="2:24" ht="15" customHeight="1">
      <c r="B62" s="37"/>
      <c r="C62" s="37"/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37"/>
      <c r="U62" s="37"/>
    </row>
    <row r="63" spans="2:24" ht="15" customHeight="1">
      <c r="B63" s="120" t="s">
        <v>283</v>
      </c>
      <c r="C63" s="121"/>
      <c r="D63" s="121"/>
      <c r="E63" s="41"/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41"/>
      <c r="T63" s="41"/>
      <c r="U63" s="41"/>
      <c r="V63" s="5"/>
      <c r="W63" s="5"/>
      <c r="X63" s="5"/>
    </row>
    <row r="64" spans="2:24" ht="15" customHeight="1">
      <c r="B64" s="531" t="s">
        <v>255</v>
      </c>
      <c r="C64" s="531" t="s">
        <v>13</v>
      </c>
      <c r="D64" s="531"/>
      <c r="E64" s="531"/>
      <c r="F64" s="531">
        <f>YEAR('Годовая отчетность'!E$8)</f>
        <v>2026</v>
      </c>
      <c r="G64" s="531">
        <f>YEAR('Годовая отчетность'!F$8)</f>
        <v>2027</v>
      </c>
      <c r="H64" s="531">
        <f>YEAR('Годовая отчетность'!G$8)</f>
        <v>2028</v>
      </c>
      <c r="I64" s="531">
        <f>YEAR('Годовая отчетность'!H$8)</f>
        <v>2029</v>
      </c>
      <c r="J64" s="531">
        <f>YEAR('Годовая отчетность'!I$8)</f>
        <v>2030</v>
      </c>
      <c r="K64" s="531">
        <f>YEAR('Годовая отчетность'!J$8)</f>
        <v>2031</v>
      </c>
      <c r="L64" s="531">
        <f>YEAR('Годовая отчетность'!K$8)</f>
        <v>2032</v>
      </c>
      <c r="M64" s="531">
        <f>YEAR('Годовая отчетность'!L$8)</f>
        <v>2033</v>
      </c>
      <c r="N64" s="531">
        <f>YEAR('Годовая отчетность'!M$8)</f>
        <v>2034</v>
      </c>
      <c r="O64" s="531">
        <f>YEAR('Годовая отчетность'!N$8)</f>
        <v>2035</v>
      </c>
      <c r="P64" s="531">
        <f>YEAR('Годовая отчетность'!O$8)</f>
        <v>2036</v>
      </c>
      <c r="Q64" s="531">
        <f>YEAR('Годовая отчетность'!P$8)</f>
        <v>2037</v>
      </c>
      <c r="R64" s="531">
        <f>YEAR('Годовая отчетность'!Q$8)</f>
        <v>2038</v>
      </c>
      <c r="S64" s="531">
        <f>YEAR('Годовая отчетность'!R$8)</f>
        <v>2039</v>
      </c>
      <c r="T64" s="531">
        <f>YEAR('Годовая отчетность'!S$8)</f>
        <v>2040</v>
      </c>
      <c r="U64" s="531">
        <f>YEAR('Годовая отчетность'!T$8)</f>
        <v>2041</v>
      </c>
    </row>
    <row r="65" spans="2:21" ht="15" customHeight="1">
      <c r="B65" s="532"/>
      <c r="C65" s="532"/>
      <c r="D65" s="532"/>
      <c r="E65" s="532"/>
      <c r="F65" s="532"/>
      <c r="G65" s="532"/>
      <c r="H65" s="532"/>
      <c r="I65" s="532"/>
      <c r="J65" s="532"/>
      <c r="K65" s="532"/>
      <c r="L65" s="532"/>
      <c r="M65" s="532"/>
      <c r="N65" s="532"/>
      <c r="O65" s="532"/>
      <c r="P65" s="532"/>
      <c r="Q65" s="532"/>
      <c r="R65" s="532"/>
      <c r="S65" s="532"/>
      <c r="T65" s="532"/>
      <c r="U65" s="532"/>
    </row>
    <row r="66" spans="2:21" ht="15" customHeight="1">
      <c r="B66" s="128" t="s">
        <v>78</v>
      </c>
      <c r="C66" s="160" t="str">
        <f>O5</f>
        <v>тыс. руб.</v>
      </c>
      <c r="D66" s="137"/>
      <c r="E66" s="137"/>
      <c r="F66" s="160">
        <f>IF(F$64&gt;YEAR('Квартальная отчетность'!$K$3),"-",'Годовая отчетность'!E121/LOOKUP($O$5,$P$4:$P$5,$Q$4:$Q$5))</f>
        <v>0</v>
      </c>
      <c r="G66" s="160">
        <f>IF(G$64&gt;YEAR('Квартальная отчетность'!$K$3),"-",'Годовая отчетность'!F121/LOOKUP($O$5,$P$4:$P$5,$Q$4:$Q$5))</f>
        <v>0</v>
      </c>
      <c r="H66" s="160">
        <f>IF(H$64&gt;YEAR('Квартальная отчетность'!$K$3),"-",'Годовая отчетность'!G121/LOOKUP($O$5,$P$4:$P$5,$Q$4:$Q$5))</f>
        <v>0</v>
      </c>
      <c r="I66" s="160">
        <f>IF(I$64&gt;YEAR('Квартальная отчетность'!$K$3),"-",'Годовая отчетность'!H121/LOOKUP($O$5,$P$4:$P$5,$Q$4:$Q$5))</f>
        <v>0</v>
      </c>
      <c r="J66" s="160">
        <f>IF(J$64&gt;YEAR('Квартальная отчетность'!$K$3),"-",'Годовая отчетность'!I121/LOOKUP($O$5,$P$4:$P$5,$Q$4:$Q$5))</f>
        <v>0</v>
      </c>
      <c r="K66" s="160">
        <f>IF(K$64&gt;YEAR('Квартальная отчетность'!$K$3),"-",'Годовая отчетность'!J121/LOOKUP($O$5,$P$4:$P$5,$Q$4:$Q$5))</f>
        <v>0</v>
      </c>
      <c r="L66" s="160" t="str">
        <f>IF(L$64&gt;YEAR('Квартальная отчетность'!$K$3),"-",'Годовая отчетность'!K121/LOOKUP($O$5,$P$4:$P$5,$Q$4:$Q$5))</f>
        <v>-</v>
      </c>
      <c r="M66" s="160" t="str">
        <f>IF(M$64&gt;YEAR('Квартальная отчетность'!$K$3),"-",'Годовая отчетность'!L121/LOOKUP($O$5,$P$4:$P$5,$Q$4:$Q$5))</f>
        <v>-</v>
      </c>
      <c r="N66" s="160" t="str">
        <f>IF(N$64&gt;YEAR('Квартальная отчетность'!$K$3),"-",'Годовая отчетность'!M121/LOOKUP($O$5,$P$4:$P$5,$Q$4:$Q$5))</f>
        <v>-</v>
      </c>
      <c r="O66" s="160" t="str">
        <f>IF(O$64&gt;YEAR('Квартальная отчетность'!$K$3),"-",'Годовая отчетность'!N121/LOOKUP($O$5,$P$4:$P$5,$Q$4:$Q$5))</f>
        <v>-</v>
      </c>
      <c r="P66" s="160" t="str">
        <f>IF(P$64&gt;YEAR('Квартальная отчетность'!$K$3),"-",'Годовая отчетность'!O121/LOOKUP($O$5,$P$4:$P$5,$Q$4:$Q$5))</f>
        <v>-</v>
      </c>
      <c r="Q66" s="160" t="str">
        <f>IF(Q$64&gt;YEAR('Квартальная отчетность'!$K$3),"-",'Годовая отчетность'!P121/LOOKUP($O$5,$P$4:$P$5,$Q$4:$Q$5))</f>
        <v>-</v>
      </c>
      <c r="R66" s="160" t="str">
        <f>IF(R$64&gt;YEAR('Квартальная отчетность'!$K$3),"-",'Годовая отчетность'!Q121/LOOKUP($O$5,$P$4:$P$5,$Q$4:$Q$5))</f>
        <v>-</v>
      </c>
      <c r="S66" s="160" t="str">
        <f>IF(S$64&gt;YEAR('Квартальная отчетность'!$K$3),"-",'Годовая отчетность'!R121/LOOKUP($O$5,$P$4:$P$5,$Q$4:$Q$5))</f>
        <v>-</v>
      </c>
      <c r="T66" s="160" t="str">
        <f>IF(T$64&gt;YEAR('Квартальная отчетность'!$K$3),"-",'Годовая отчетность'!S121/LOOKUP($O$5,$P$4:$P$5,$Q$4:$Q$5))</f>
        <v>-</v>
      </c>
      <c r="U66" s="160" t="str">
        <f>IF(U$64&gt;YEAR('Квартальная отчетность'!$K$3),"-",'Годовая отчетность'!T121/LOOKUP($O$5,$P$4:$P$5,$Q$4:$Q$5))</f>
        <v>-</v>
      </c>
    </row>
    <row r="67" spans="2:21" ht="15" customHeight="1">
      <c r="B67" s="130" t="s">
        <v>288</v>
      </c>
      <c r="C67" s="161" t="str">
        <f>O5</f>
        <v>тыс. руб.</v>
      </c>
      <c r="D67" s="139"/>
      <c r="E67" s="139"/>
      <c r="F67" s="161">
        <f>IF(F$64&gt;YEAR('Квартальная отчетность'!$K$3),"-",'Годовая отчетность'!E126/LOOKUP($O$5,$P$4:$P$5,$Q$4:$Q$5))</f>
        <v>0</v>
      </c>
      <c r="G67" s="161">
        <f>IF(G$64&gt;YEAR('Квартальная отчетность'!$K$3),"-",'Годовая отчетность'!F126/LOOKUP($O$5,$P$4:$P$5,$Q$4:$Q$5))</f>
        <v>0</v>
      </c>
      <c r="H67" s="161">
        <f>IF(H$64&gt;YEAR('Квартальная отчетность'!$K$3),"-",'Годовая отчетность'!G126/LOOKUP($O$5,$P$4:$P$5,$Q$4:$Q$5))</f>
        <v>0</v>
      </c>
      <c r="I67" s="161">
        <f>IF(I$64&gt;YEAR('Квартальная отчетность'!$K$3),"-",'Годовая отчетность'!H126/LOOKUP($O$5,$P$4:$P$5,$Q$4:$Q$5))</f>
        <v>0</v>
      </c>
      <c r="J67" s="161">
        <f>IF(J$64&gt;YEAR('Квартальная отчетность'!$K$3),"-",'Годовая отчетность'!I126/LOOKUP($O$5,$P$4:$P$5,$Q$4:$Q$5))</f>
        <v>0</v>
      </c>
      <c r="K67" s="161">
        <f>IF(K$64&gt;YEAR('Квартальная отчетность'!$K$3),"-",'Годовая отчетность'!J126/LOOKUP($O$5,$P$4:$P$5,$Q$4:$Q$5))</f>
        <v>0</v>
      </c>
      <c r="L67" s="161" t="str">
        <f>IF(L$64&gt;YEAR('Квартальная отчетность'!$K$3),"-",'Годовая отчетность'!K126/LOOKUP($O$5,$P$4:$P$5,$Q$4:$Q$5))</f>
        <v>-</v>
      </c>
      <c r="M67" s="161" t="str">
        <f>IF(M$64&gt;YEAR('Квартальная отчетность'!$K$3),"-",'Годовая отчетность'!L126/LOOKUP($O$5,$P$4:$P$5,$Q$4:$Q$5))</f>
        <v>-</v>
      </c>
      <c r="N67" s="161" t="str">
        <f>IF(N$64&gt;YEAR('Квартальная отчетность'!$K$3),"-",'Годовая отчетность'!M126/LOOKUP($O$5,$P$4:$P$5,$Q$4:$Q$5))</f>
        <v>-</v>
      </c>
      <c r="O67" s="161" t="str">
        <f>IF(O$64&gt;YEAR('Квартальная отчетность'!$K$3),"-",'Годовая отчетность'!N126/LOOKUP($O$5,$P$4:$P$5,$Q$4:$Q$5))</f>
        <v>-</v>
      </c>
      <c r="P67" s="161" t="str">
        <f>IF(P$64&gt;YEAR('Квартальная отчетность'!$K$3),"-",'Годовая отчетность'!O126/LOOKUP($O$5,$P$4:$P$5,$Q$4:$Q$5))</f>
        <v>-</v>
      </c>
      <c r="Q67" s="161" t="str">
        <f>IF(Q$64&gt;YEAR('Квартальная отчетность'!$K$3),"-",'Годовая отчетность'!P126/LOOKUP($O$5,$P$4:$P$5,$Q$4:$Q$5))</f>
        <v>-</v>
      </c>
      <c r="R67" s="161" t="str">
        <f>IF(R$64&gt;YEAR('Квартальная отчетность'!$K$3),"-",'Годовая отчетность'!Q126/LOOKUP($O$5,$P$4:$P$5,$Q$4:$Q$5))</f>
        <v>-</v>
      </c>
      <c r="S67" s="161" t="str">
        <f>IF(S$64&gt;YEAR('Квартальная отчетность'!$K$3),"-",'Годовая отчетность'!R126/LOOKUP($O$5,$P$4:$P$5,$Q$4:$Q$5))</f>
        <v>-</v>
      </c>
      <c r="T67" s="161" t="str">
        <f>IF(T$64&gt;YEAR('Квартальная отчетность'!$K$3),"-",'Годовая отчетность'!S126/LOOKUP($O$5,$P$4:$P$5,$Q$4:$Q$5))</f>
        <v>-</v>
      </c>
      <c r="U67" s="161" t="str">
        <f>IF(U$64&gt;YEAR('Квартальная отчетность'!$K$3),"-",'Годовая отчетность'!T126/LOOKUP($O$5,$P$4:$P$5,$Q$4:$Q$5))</f>
        <v>-</v>
      </c>
    </row>
    <row r="68" spans="2:21" ht="15" customHeight="1">
      <c r="B68" s="130" t="s">
        <v>289</v>
      </c>
      <c r="C68" s="161" t="str">
        <f>O5</f>
        <v>тыс. руб.</v>
      </c>
      <c r="D68" s="139"/>
      <c r="E68" s="139"/>
      <c r="F68" s="161">
        <f>IF(F$64&gt;YEAR('Квартальная отчетность'!$K$3),"-",SUM('Годовая отчетность'!E122:E125)/LOOKUP($O$5,$P$4:$P$5,$Q$4:$Q$5))</f>
        <v>0</v>
      </c>
      <c r="G68" s="161">
        <f>IF(G$64&gt;YEAR('Квартальная отчетность'!$K$3),"-",SUM('Годовая отчетность'!F122:F125)/LOOKUP($O$5,$P$4:$P$5,$Q$4:$Q$5))</f>
        <v>0</v>
      </c>
      <c r="H68" s="161">
        <f>IF(H$64&gt;YEAR('Квартальная отчетность'!$K$3),"-",SUM('Годовая отчетность'!G122:G125)/LOOKUP($O$5,$P$4:$P$5,$Q$4:$Q$5))</f>
        <v>0</v>
      </c>
      <c r="I68" s="161">
        <f>IF(I$64&gt;YEAR('Квартальная отчетность'!$K$3),"-",SUM('Годовая отчетность'!H122:H125)/LOOKUP($O$5,$P$4:$P$5,$Q$4:$Q$5))</f>
        <v>0</v>
      </c>
      <c r="J68" s="161">
        <f>IF(J$64&gt;YEAR('Квартальная отчетность'!$K$3),"-",SUM('Годовая отчетность'!I122:I125)/LOOKUP($O$5,$P$4:$P$5,$Q$4:$Q$5))</f>
        <v>0</v>
      </c>
      <c r="K68" s="161">
        <f>IF(K$64&gt;YEAR('Квартальная отчетность'!$K$3),"-",SUM('Годовая отчетность'!J122:J125)/LOOKUP($O$5,$P$4:$P$5,$Q$4:$Q$5))</f>
        <v>0</v>
      </c>
      <c r="L68" s="161" t="str">
        <f>IF(L$64&gt;YEAR('Квартальная отчетность'!$K$3),"-",SUM('Годовая отчетность'!K122:K125)/LOOKUP($O$5,$P$4:$P$5,$Q$4:$Q$5))</f>
        <v>-</v>
      </c>
      <c r="M68" s="161" t="str">
        <f>IF(M$64&gt;YEAR('Квартальная отчетность'!$K$3),"-",SUM('Годовая отчетность'!L122:L125)/LOOKUP($O$5,$P$4:$P$5,$Q$4:$Q$5))</f>
        <v>-</v>
      </c>
      <c r="N68" s="161" t="str">
        <f>IF(N$64&gt;YEAR('Квартальная отчетность'!$K$3),"-",SUM('Годовая отчетность'!M122:M125)/LOOKUP($O$5,$P$4:$P$5,$Q$4:$Q$5))</f>
        <v>-</v>
      </c>
      <c r="O68" s="161" t="str">
        <f>IF(O$64&gt;YEAR('Квартальная отчетность'!$K$3),"-",SUM('Годовая отчетность'!N122:N125)/LOOKUP($O$5,$P$4:$P$5,$Q$4:$Q$5))</f>
        <v>-</v>
      </c>
      <c r="P68" s="161" t="str">
        <f>IF(P$64&gt;YEAR('Квартальная отчетность'!$K$3),"-",SUM('Годовая отчетность'!O122:O125)/LOOKUP($O$5,$P$4:$P$5,$Q$4:$Q$5))</f>
        <v>-</v>
      </c>
      <c r="Q68" s="161" t="str">
        <f>IF(Q$64&gt;YEAR('Квартальная отчетность'!$K$3),"-",SUM('Годовая отчетность'!P122:P125)/LOOKUP($O$5,$P$4:$P$5,$Q$4:$Q$5))</f>
        <v>-</v>
      </c>
      <c r="R68" s="161" t="str">
        <f>IF(R$64&gt;YEAR('Квартальная отчетность'!$K$3),"-",SUM('Годовая отчетность'!Q122:Q125)/LOOKUP($O$5,$P$4:$P$5,$Q$4:$Q$5))</f>
        <v>-</v>
      </c>
      <c r="S68" s="161" t="str">
        <f>IF(S$64&gt;YEAR('Квартальная отчетность'!$K$3),"-",SUM('Годовая отчетность'!R122:R125)/LOOKUP($O$5,$P$4:$P$5,$Q$4:$Q$5))</f>
        <v>-</v>
      </c>
      <c r="T68" s="161" t="str">
        <f>IF(T$64&gt;YEAR('Квартальная отчетность'!$K$3),"-",SUM('Годовая отчетность'!S122:S125)/LOOKUP($O$5,$P$4:$P$5,$Q$4:$Q$5))</f>
        <v>-</v>
      </c>
      <c r="U68" s="161" t="str">
        <f>IF(U$64&gt;YEAR('Квартальная отчетность'!$K$3),"-",SUM('Годовая отчетность'!T122:T125)/LOOKUP($O$5,$P$4:$P$5,$Q$4:$Q$5))</f>
        <v>-</v>
      </c>
    </row>
    <row r="69" spans="2:21" ht="15" customHeight="1">
      <c r="B69" s="269" t="s">
        <v>77</v>
      </c>
      <c r="C69" s="270" t="str">
        <f>O5</f>
        <v>тыс. руб.</v>
      </c>
      <c r="D69" s="279"/>
      <c r="E69" s="279"/>
      <c r="F69" s="270">
        <f t="shared" ref="F69:U69" si="8">SUM(F66:F68)</f>
        <v>0</v>
      </c>
      <c r="G69" s="270">
        <f t="shared" si="8"/>
        <v>0</v>
      </c>
      <c r="H69" s="270">
        <f t="shared" si="8"/>
        <v>0</v>
      </c>
      <c r="I69" s="270">
        <f t="shared" si="8"/>
        <v>0</v>
      </c>
      <c r="J69" s="270">
        <f t="shared" si="8"/>
        <v>0</v>
      </c>
      <c r="K69" s="270">
        <f t="shared" si="8"/>
        <v>0</v>
      </c>
      <c r="L69" s="270">
        <f t="shared" si="8"/>
        <v>0</v>
      </c>
      <c r="M69" s="270">
        <f t="shared" si="8"/>
        <v>0</v>
      </c>
      <c r="N69" s="270">
        <f t="shared" si="8"/>
        <v>0</v>
      </c>
      <c r="O69" s="270">
        <f t="shared" si="8"/>
        <v>0</v>
      </c>
      <c r="P69" s="270">
        <f t="shared" si="8"/>
        <v>0</v>
      </c>
      <c r="Q69" s="270">
        <f t="shared" si="8"/>
        <v>0</v>
      </c>
      <c r="R69" s="270">
        <f t="shared" si="8"/>
        <v>0</v>
      </c>
      <c r="S69" s="270">
        <f t="shared" si="8"/>
        <v>0</v>
      </c>
      <c r="T69" s="270">
        <f t="shared" si="8"/>
        <v>0</v>
      </c>
      <c r="U69" s="270">
        <f t="shared" si="8"/>
        <v>0</v>
      </c>
    </row>
    <row r="70" spans="2:21" ht="15" customHeight="1">
      <c r="B70" s="130" t="s">
        <v>286</v>
      </c>
      <c r="C70" s="161" t="str">
        <f>O5</f>
        <v>тыс. руб.</v>
      </c>
      <c r="D70" s="139"/>
      <c r="E70" s="139"/>
      <c r="F70" s="161">
        <f>IF(F$64&gt;YEAR('Квартальная отчетность'!$K$3),"-",'Годовая отчетность'!E130/LOOKUP($O$5,$P$4:$P$5,$Q$4:$Q$5))</f>
        <v>0</v>
      </c>
      <c r="G70" s="161">
        <f>IF(G$64&gt;YEAR('Квартальная отчетность'!$K$3),"-",'Годовая отчетность'!F130/LOOKUP($O$5,$P$4:$P$5,$Q$4:$Q$5))</f>
        <v>0</v>
      </c>
      <c r="H70" s="161">
        <f>IF(H$64&gt;YEAR('Квартальная отчетность'!$K$3),"-",'Годовая отчетность'!G130/LOOKUP($O$5,$P$4:$P$5,$Q$4:$Q$5))</f>
        <v>0</v>
      </c>
      <c r="I70" s="161">
        <f>IF(I$64&gt;YEAR('Квартальная отчетность'!$K$3),"-",'Годовая отчетность'!H130/LOOKUP($O$5,$P$4:$P$5,$Q$4:$Q$5))</f>
        <v>0</v>
      </c>
      <c r="J70" s="161">
        <f>IF(J$64&gt;YEAR('Квартальная отчетность'!$K$3),"-",'Годовая отчетность'!I130/LOOKUP($O$5,$P$4:$P$5,$Q$4:$Q$5))</f>
        <v>0</v>
      </c>
      <c r="K70" s="161">
        <f>IF(K$64&gt;YEAR('Квартальная отчетность'!$K$3),"-",'Годовая отчетность'!J130/LOOKUP($O$5,$P$4:$P$5,$Q$4:$Q$5))</f>
        <v>0</v>
      </c>
      <c r="L70" s="161" t="str">
        <f>IF(L$64&gt;YEAR('Квартальная отчетность'!$K$3),"-",'Годовая отчетность'!K130/LOOKUP($O$5,$P$4:$P$5,$Q$4:$Q$5))</f>
        <v>-</v>
      </c>
      <c r="M70" s="161" t="str">
        <f>IF(M$64&gt;YEAR('Квартальная отчетность'!$K$3),"-",'Годовая отчетность'!L130/LOOKUP($O$5,$P$4:$P$5,$Q$4:$Q$5))</f>
        <v>-</v>
      </c>
      <c r="N70" s="161" t="str">
        <f>IF(N$64&gt;YEAR('Квартальная отчетность'!$K$3),"-",'Годовая отчетность'!M130/LOOKUP($O$5,$P$4:$P$5,$Q$4:$Q$5))</f>
        <v>-</v>
      </c>
      <c r="O70" s="161" t="str">
        <f>IF(O$64&gt;YEAR('Квартальная отчетность'!$K$3),"-",'Годовая отчетность'!N130/LOOKUP($O$5,$P$4:$P$5,$Q$4:$Q$5))</f>
        <v>-</v>
      </c>
      <c r="P70" s="161" t="str">
        <f>IF(P$64&gt;YEAR('Квартальная отчетность'!$K$3),"-",'Годовая отчетность'!O130/LOOKUP($O$5,$P$4:$P$5,$Q$4:$Q$5))</f>
        <v>-</v>
      </c>
      <c r="Q70" s="161" t="str">
        <f>IF(Q$64&gt;YEAR('Квартальная отчетность'!$K$3),"-",'Годовая отчетность'!P130/LOOKUP($O$5,$P$4:$P$5,$Q$4:$Q$5))</f>
        <v>-</v>
      </c>
      <c r="R70" s="161" t="str">
        <f>IF(R$64&gt;YEAR('Квартальная отчетность'!$K$3),"-",'Годовая отчетность'!Q130/LOOKUP($O$5,$P$4:$P$5,$Q$4:$Q$5))</f>
        <v>-</v>
      </c>
      <c r="S70" s="161" t="str">
        <f>IF(S$64&gt;YEAR('Квартальная отчетность'!$K$3),"-",'Годовая отчетность'!R130/LOOKUP($O$5,$P$4:$P$5,$Q$4:$Q$5))</f>
        <v>-</v>
      </c>
      <c r="T70" s="161" t="str">
        <f>IF(T$64&gt;YEAR('Квартальная отчетность'!$K$3),"-",'Годовая отчетность'!S130/LOOKUP($O$5,$P$4:$P$5,$Q$4:$Q$5))</f>
        <v>-</v>
      </c>
      <c r="U70" s="161" t="str">
        <f>IF(U$64&gt;YEAR('Квартальная отчетность'!$K$3),"-",'Годовая отчетность'!T130/LOOKUP($O$5,$P$4:$P$5,$Q$4:$Q$5))</f>
        <v>-</v>
      </c>
    </row>
    <row r="71" spans="2:21" ht="15" customHeight="1">
      <c r="B71" s="130" t="s">
        <v>287</v>
      </c>
      <c r="C71" s="161" t="str">
        <f>O5</f>
        <v>тыс. руб.</v>
      </c>
      <c r="D71" s="139"/>
      <c r="E71" s="139"/>
      <c r="F71" s="161">
        <f>IF(F$64&gt;YEAR('Квартальная отчетность'!$K$3),"-",SUM('Годовая отчетность'!E131:E133)/LOOKUP($O$5,$P$4:$P$5,$Q$4:$Q$5))</f>
        <v>0</v>
      </c>
      <c r="G71" s="161">
        <f>IF(G$64&gt;YEAR('Квартальная отчетность'!$K$3),"-",SUM('Годовая отчетность'!F131:F133)/LOOKUP($O$5,$P$4:$P$5,$Q$4:$Q$5))</f>
        <v>0</v>
      </c>
      <c r="H71" s="161">
        <f>IF(H$64&gt;YEAR('Квартальная отчетность'!$K$3),"-",SUM('Годовая отчетность'!G131:G133)/LOOKUP($O$5,$P$4:$P$5,$Q$4:$Q$5))</f>
        <v>0</v>
      </c>
      <c r="I71" s="161">
        <f>IF(I$64&gt;YEAR('Квартальная отчетность'!$K$3),"-",SUM('Годовая отчетность'!H131:H133)/LOOKUP($O$5,$P$4:$P$5,$Q$4:$Q$5))</f>
        <v>0</v>
      </c>
      <c r="J71" s="161">
        <f>IF(J$64&gt;YEAR('Квартальная отчетность'!$K$3),"-",SUM('Годовая отчетность'!I131:I133)/LOOKUP($O$5,$P$4:$P$5,$Q$4:$Q$5))</f>
        <v>0</v>
      </c>
      <c r="K71" s="161">
        <f>IF(K$64&gt;YEAR('Квартальная отчетность'!$K$3),"-",SUM('Годовая отчетность'!J131:J133)/LOOKUP($O$5,$P$4:$P$5,$Q$4:$Q$5))</f>
        <v>0</v>
      </c>
      <c r="L71" s="161" t="str">
        <f>IF(L$64&gt;YEAR('Квартальная отчетность'!$K$3),"-",SUM('Годовая отчетность'!K131:K133)/LOOKUP($O$5,$P$4:$P$5,$Q$4:$Q$5))</f>
        <v>-</v>
      </c>
      <c r="M71" s="161" t="str">
        <f>IF(M$64&gt;YEAR('Квартальная отчетность'!$K$3),"-",SUM('Годовая отчетность'!L131:L133)/LOOKUP($O$5,$P$4:$P$5,$Q$4:$Q$5))</f>
        <v>-</v>
      </c>
      <c r="N71" s="161" t="str">
        <f>IF(N$64&gt;YEAR('Квартальная отчетность'!$K$3),"-",SUM('Годовая отчетность'!M131:M133)/LOOKUP($O$5,$P$4:$P$5,$Q$4:$Q$5))</f>
        <v>-</v>
      </c>
      <c r="O71" s="161" t="str">
        <f>IF(O$64&gt;YEAR('Квартальная отчетность'!$K$3),"-",SUM('Годовая отчетность'!N131:N133)/LOOKUP($O$5,$P$4:$P$5,$Q$4:$Q$5))</f>
        <v>-</v>
      </c>
      <c r="P71" s="161" t="str">
        <f>IF(P$64&gt;YEAR('Квартальная отчетность'!$K$3),"-",SUM('Годовая отчетность'!O131:O133)/LOOKUP($O$5,$P$4:$P$5,$Q$4:$Q$5))</f>
        <v>-</v>
      </c>
      <c r="Q71" s="161" t="str">
        <f>IF(Q$64&gt;YEAR('Квартальная отчетность'!$K$3),"-",SUM('Годовая отчетность'!P131:P133)/LOOKUP($O$5,$P$4:$P$5,$Q$4:$Q$5))</f>
        <v>-</v>
      </c>
      <c r="R71" s="161" t="str">
        <f>IF(R$64&gt;YEAR('Квартальная отчетность'!$K$3),"-",SUM('Годовая отчетность'!Q131:Q133)/LOOKUP($O$5,$P$4:$P$5,$Q$4:$Q$5))</f>
        <v>-</v>
      </c>
      <c r="S71" s="161" t="str">
        <f>IF(S$64&gt;YEAR('Квартальная отчетность'!$K$3),"-",SUM('Годовая отчетность'!R131:R133)/LOOKUP($O$5,$P$4:$P$5,$Q$4:$Q$5))</f>
        <v>-</v>
      </c>
      <c r="T71" s="161" t="str">
        <f>IF(T$64&gt;YEAR('Квартальная отчетность'!$K$3),"-",SUM('Годовая отчетность'!S131:S133)/LOOKUP($O$5,$P$4:$P$5,$Q$4:$Q$5))</f>
        <v>-</v>
      </c>
      <c r="U71" s="161" t="str">
        <f>IF(U$64&gt;YEAR('Квартальная отчетность'!$K$3),"-",SUM('Годовая отчетность'!T131:T133)/LOOKUP($O$5,$P$4:$P$5,$Q$4:$Q$5))</f>
        <v>-</v>
      </c>
    </row>
    <row r="72" spans="2:21" ht="15" customHeight="1">
      <c r="B72" s="269" t="s">
        <v>190</v>
      </c>
      <c r="C72" s="270" t="str">
        <f>O5</f>
        <v>тыс. руб.</v>
      </c>
      <c r="D72" s="279"/>
      <c r="E72" s="279"/>
      <c r="F72" s="270">
        <f t="shared" ref="F72:U72" si="9">SUM(F70:F71)</f>
        <v>0</v>
      </c>
      <c r="G72" s="270">
        <f t="shared" si="9"/>
        <v>0</v>
      </c>
      <c r="H72" s="270">
        <f t="shared" si="9"/>
        <v>0</v>
      </c>
      <c r="I72" s="270">
        <f t="shared" si="9"/>
        <v>0</v>
      </c>
      <c r="J72" s="270">
        <f t="shared" si="9"/>
        <v>0</v>
      </c>
      <c r="K72" s="270">
        <f t="shared" si="9"/>
        <v>0</v>
      </c>
      <c r="L72" s="270">
        <f t="shared" si="9"/>
        <v>0</v>
      </c>
      <c r="M72" s="270">
        <f t="shared" si="9"/>
        <v>0</v>
      </c>
      <c r="N72" s="270">
        <f t="shared" si="9"/>
        <v>0</v>
      </c>
      <c r="O72" s="270">
        <f t="shared" si="9"/>
        <v>0</v>
      </c>
      <c r="P72" s="270">
        <f t="shared" si="9"/>
        <v>0</v>
      </c>
      <c r="Q72" s="270">
        <f t="shared" si="9"/>
        <v>0</v>
      </c>
      <c r="R72" s="270">
        <f t="shared" si="9"/>
        <v>0</v>
      </c>
      <c r="S72" s="270">
        <f t="shared" si="9"/>
        <v>0</v>
      </c>
      <c r="T72" s="270">
        <f t="shared" si="9"/>
        <v>0</v>
      </c>
      <c r="U72" s="270">
        <f t="shared" si="9"/>
        <v>0</v>
      </c>
    </row>
    <row r="73" spans="2:21" ht="15" customHeight="1">
      <c r="B73" s="130" t="s">
        <v>285</v>
      </c>
      <c r="C73" s="161" t="str">
        <f>O5</f>
        <v>тыс. руб.</v>
      </c>
      <c r="D73" s="139"/>
      <c r="E73" s="139"/>
      <c r="F73" s="161">
        <f>IF(F$64&gt;YEAR('Квартальная отчетность'!$K$3),"-",'Годовая отчетность'!E137/LOOKUP($O$5,$P$4:$P$5,$Q$4:$Q$5))</f>
        <v>0</v>
      </c>
      <c r="G73" s="161">
        <f>IF(G$64&gt;YEAR('Квартальная отчетность'!$K$3),"-",'Годовая отчетность'!F137/LOOKUP($O$5,$P$4:$P$5,$Q$4:$Q$5))</f>
        <v>0</v>
      </c>
      <c r="H73" s="161">
        <f>IF(H$64&gt;YEAR('Квартальная отчетность'!$K$3),"-",'Годовая отчетность'!G137/LOOKUP($O$5,$P$4:$P$5,$Q$4:$Q$5))</f>
        <v>0</v>
      </c>
      <c r="I73" s="161">
        <f>IF(I$64&gt;YEAR('Квартальная отчетность'!$K$3),"-",'Годовая отчетность'!H137/LOOKUP($O$5,$P$4:$P$5,$Q$4:$Q$5))</f>
        <v>0</v>
      </c>
      <c r="J73" s="161">
        <f>IF(J$64&gt;YEAR('Квартальная отчетность'!$K$3),"-",'Годовая отчетность'!I137/LOOKUP($O$5,$P$4:$P$5,$Q$4:$Q$5))</f>
        <v>0</v>
      </c>
      <c r="K73" s="161">
        <f>IF(K$64&gt;YEAR('Квартальная отчетность'!$K$3),"-",'Годовая отчетность'!J137/LOOKUP($O$5,$P$4:$P$5,$Q$4:$Q$5))</f>
        <v>0</v>
      </c>
      <c r="L73" s="161" t="str">
        <f>IF(L$64&gt;YEAR('Квартальная отчетность'!$K$3),"-",'Годовая отчетность'!K137/LOOKUP($O$5,$P$4:$P$5,$Q$4:$Q$5))</f>
        <v>-</v>
      </c>
      <c r="M73" s="161" t="str">
        <f>IF(M$64&gt;YEAR('Квартальная отчетность'!$K$3),"-",'Годовая отчетность'!L137/LOOKUP($O$5,$P$4:$P$5,$Q$4:$Q$5))</f>
        <v>-</v>
      </c>
      <c r="N73" s="161" t="str">
        <f>IF(N$64&gt;YEAR('Квартальная отчетность'!$K$3),"-",'Годовая отчетность'!M137/LOOKUP($O$5,$P$4:$P$5,$Q$4:$Q$5))</f>
        <v>-</v>
      </c>
      <c r="O73" s="161" t="str">
        <f>IF(O$64&gt;YEAR('Квартальная отчетность'!$K$3),"-",'Годовая отчетность'!N137/LOOKUP($O$5,$P$4:$P$5,$Q$4:$Q$5))</f>
        <v>-</v>
      </c>
      <c r="P73" s="161" t="str">
        <f>IF(P$64&gt;YEAR('Квартальная отчетность'!$K$3),"-",'Годовая отчетность'!O137/LOOKUP($O$5,$P$4:$P$5,$Q$4:$Q$5))</f>
        <v>-</v>
      </c>
      <c r="Q73" s="161" t="str">
        <f>IF(Q$64&gt;YEAR('Квартальная отчетность'!$K$3),"-",'Годовая отчетность'!P137/LOOKUP($O$5,$P$4:$P$5,$Q$4:$Q$5))</f>
        <v>-</v>
      </c>
      <c r="R73" s="161" t="str">
        <f>IF(R$64&gt;YEAR('Квартальная отчетность'!$K$3),"-",'Годовая отчетность'!Q137/LOOKUP($O$5,$P$4:$P$5,$Q$4:$Q$5))</f>
        <v>-</v>
      </c>
      <c r="S73" s="161" t="str">
        <f>IF(S$64&gt;YEAR('Квартальная отчетность'!$K$3),"-",'Годовая отчетность'!R137/LOOKUP($O$5,$P$4:$P$5,$Q$4:$Q$5))</f>
        <v>-</v>
      </c>
      <c r="T73" s="161" t="str">
        <f>IF(T$64&gt;YEAR('Квартальная отчетность'!$K$3),"-",'Годовая отчетность'!S137/LOOKUP($O$5,$P$4:$P$5,$Q$4:$Q$5))</f>
        <v>-</v>
      </c>
      <c r="U73" s="161" t="str">
        <f>IF(U$64&gt;YEAR('Квартальная отчетность'!$K$3),"-",'Годовая отчетность'!T137/LOOKUP($O$5,$P$4:$P$5,$Q$4:$Q$5))</f>
        <v>-</v>
      </c>
    </row>
    <row r="74" spans="2:21" ht="15" customHeight="1">
      <c r="B74" s="130" t="s">
        <v>82</v>
      </c>
      <c r="C74" s="161" t="str">
        <f>O5</f>
        <v>тыс. руб.</v>
      </c>
      <c r="D74" s="139"/>
      <c r="E74" s="139"/>
      <c r="F74" s="161">
        <f>IF(F$64&gt;YEAR('Квартальная отчетность'!$K$3),"-",'Годовая отчетность'!E138/LOOKUP($O$5,$P$4:$P$5,$Q$4:$Q$5))</f>
        <v>0</v>
      </c>
      <c r="G74" s="161">
        <f>IF(G$64&gt;YEAR('Квартальная отчетность'!$K$3),"-",'Годовая отчетность'!F138/LOOKUP($O$5,$P$4:$P$5,$Q$4:$Q$5))</f>
        <v>0</v>
      </c>
      <c r="H74" s="161">
        <f>IF(H$64&gt;YEAR('Квартальная отчетность'!$K$3),"-",'Годовая отчетность'!G138/LOOKUP($O$5,$P$4:$P$5,$Q$4:$Q$5))</f>
        <v>0</v>
      </c>
      <c r="I74" s="161">
        <f>IF(I$64&gt;YEAR('Квартальная отчетность'!$K$3),"-",'Годовая отчетность'!H138/LOOKUP($O$5,$P$4:$P$5,$Q$4:$Q$5))</f>
        <v>0</v>
      </c>
      <c r="J74" s="161">
        <f>IF(J$64&gt;YEAR('Квартальная отчетность'!$K$3),"-",'Годовая отчетность'!I138/LOOKUP($O$5,$P$4:$P$5,$Q$4:$Q$5))</f>
        <v>0</v>
      </c>
      <c r="K74" s="161">
        <f>IF(K$64&gt;YEAR('Квартальная отчетность'!$K$3),"-",'Годовая отчетность'!J138/LOOKUP($O$5,$P$4:$P$5,$Q$4:$Q$5))</f>
        <v>0</v>
      </c>
      <c r="L74" s="161" t="str">
        <f>IF(L$64&gt;YEAR('Квартальная отчетность'!$K$3),"-",'Годовая отчетность'!K138/LOOKUP($O$5,$P$4:$P$5,$Q$4:$Q$5))</f>
        <v>-</v>
      </c>
      <c r="M74" s="161" t="str">
        <f>IF(M$64&gt;YEAR('Квартальная отчетность'!$K$3),"-",'Годовая отчетность'!L138/LOOKUP($O$5,$P$4:$P$5,$Q$4:$Q$5))</f>
        <v>-</v>
      </c>
      <c r="N74" s="161" t="str">
        <f>IF(N$64&gt;YEAR('Квартальная отчетность'!$K$3),"-",'Годовая отчетность'!M138/LOOKUP($O$5,$P$4:$P$5,$Q$4:$Q$5))</f>
        <v>-</v>
      </c>
      <c r="O74" s="161" t="str">
        <f>IF(O$64&gt;YEAR('Квартальная отчетность'!$K$3),"-",'Годовая отчетность'!N138/LOOKUP($O$5,$P$4:$P$5,$Q$4:$Q$5))</f>
        <v>-</v>
      </c>
      <c r="P74" s="161" t="str">
        <f>IF(P$64&gt;YEAR('Квартальная отчетность'!$K$3),"-",'Годовая отчетность'!O138/LOOKUP($O$5,$P$4:$P$5,$Q$4:$Q$5))</f>
        <v>-</v>
      </c>
      <c r="Q74" s="161" t="str">
        <f>IF(Q$64&gt;YEAR('Квартальная отчетность'!$K$3),"-",'Годовая отчетность'!P138/LOOKUP($O$5,$P$4:$P$5,$Q$4:$Q$5))</f>
        <v>-</v>
      </c>
      <c r="R74" s="161" t="str">
        <f>IF(R$64&gt;YEAR('Квартальная отчетность'!$K$3),"-",'Годовая отчетность'!Q138/LOOKUP($O$5,$P$4:$P$5,$Q$4:$Q$5))</f>
        <v>-</v>
      </c>
      <c r="S74" s="161" t="str">
        <f>IF(S$64&gt;YEAR('Квартальная отчетность'!$K$3),"-",'Годовая отчетность'!R138/LOOKUP($O$5,$P$4:$P$5,$Q$4:$Q$5))</f>
        <v>-</v>
      </c>
      <c r="T74" s="161" t="str">
        <f>IF(T$64&gt;YEAR('Квартальная отчетность'!$K$3),"-",'Годовая отчетность'!S138/LOOKUP($O$5,$P$4:$P$5,$Q$4:$Q$5))</f>
        <v>-</v>
      </c>
      <c r="U74" s="161" t="str">
        <f>IF(U$64&gt;YEAR('Квартальная отчетность'!$K$3),"-",'Годовая отчетность'!T138/LOOKUP($O$5,$P$4:$P$5,$Q$4:$Q$5))</f>
        <v>-</v>
      </c>
    </row>
    <row r="75" spans="2:21" ht="15" customHeight="1">
      <c r="B75" s="130" t="s">
        <v>284</v>
      </c>
      <c r="C75" s="161" t="str">
        <f>O5</f>
        <v>тыс. руб.</v>
      </c>
      <c r="D75" s="139"/>
      <c r="E75" s="139"/>
      <c r="F75" s="161">
        <f>IF(F$64&gt;YEAR('Квартальная отчетность'!$K$3),"-",SUM('Годовая отчетность'!E139:E141)/LOOKUP($O$5,$P$4:$P$5,$Q$4:$Q$5))</f>
        <v>0</v>
      </c>
      <c r="G75" s="161">
        <f>IF(G$64&gt;YEAR('Квартальная отчетность'!$K$3),"-",SUM('Годовая отчетность'!F139:F141)/LOOKUP($O$5,$P$4:$P$5,$Q$4:$Q$5))</f>
        <v>0</v>
      </c>
      <c r="H75" s="161">
        <f>IF(H$64&gt;YEAR('Квартальная отчетность'!$K$3),"-",SUM('Годовая отчетность'!G139:G141)/LOOKUP($O$5,$P$4:$P$5,$Q$4:$Q$5))</f>
        <v>0</v>
      </c>
      <c r="I75" s="161">
        <f>IF(I$64&gt;YEAR('Квартальная отчетность'!$K$3),"-",SUM('Годовая отчетность'!H139:H141)/LOOKUP($O$5,$P$4:$P$5,$Q$4:$Q$5))</f>
        <v>0</v>
      </c>
      <c r="J75" s="161">
        <f>IF(J$64&gt;YEAR('Квартальная отчетность'!$K$3),"-",SUM('Годовая отчетность'!I139:I141)/LOOKUP($O$5,$P$4:$P$5,$Q$4:$Q$5))</f>
        <v>0</v>
      </c>
      <c r="K75" s="161">
        <f>IF(K$64&gt;YEAR('Квартальная отчетность'!$K$3),"-",SUM('Годовая отчетность'!J139:J141)/LOOKUP($O$5,$P$4:$P$5,$Q$4:$Q$5))</f>
        <v>0</v>
      </c>
      <c r="L75" s="161" t="str">
        <f>IF(L$64&gt;YEAR('Квартальная отчетность'!$K$3),"-",SUM('Годовая отчетность'!K139:K141)/LOOKUP($O$5,$P$4:$P$5,$Q$4:$Q$5))</f>
        <v>-</v>
      </c>
      <c r="M75" s="161" t="str">
        <f>IF(M$64&gt;YEAR('Квартальная отчетность'!$K$3),"-",SUM('Годовая отчетность'!L139:L141)/LOOKUP($O$5,$P$4:$P$5,$Q$4:$Q$5))</f>
        <v>-</v>
      </c>
      <c r="N75" s="161" t="str">
        <f>IF(N$64&gt;YEAR('Квартальная отчетность'!$K$3),"-",SUM('Годовая отчетность'!M139:M141)/LOOKUP($O$5,$P$4:$P$5,$Q$4:$Q$5))</f>
        <v>-</v>
      </c>
      <c r="O75" s="161" t="str">
        <f>IF(O$64&gt;YEAR('Квартальная отчетность'!$K$3),"-",SUM('Годовая отчетность'!N139:N141)/LOOKUP($O$5,$P$4:$P$5,$Q$4:$Q$5))</f>
        <v>-</v>
      </c>
      <c r="P75" s="161" t="str">
        <f>IF(P$64&gt;YEAR('Квартальная отчетность'!$K$3),"-",SUM('Годовая отчетность'!O139:O141)/LOOKUP($O$5,$P$4:$P$5,$Q$4:$Q$5))</f>
        <v>-</v>
      </c>
      <c r="Q75" s="161" t="str">
        <f>IF(Q$64&gt;YEAR('Квартальная отчетность'!$K$3),"-",SUM('Годовая отчетность'!P139:P141)/LOOKUP($O$5,$P$4:$P$5,$Q$4:$Q$5))</f>
        <v>-</v>
      </c>
      <c r="R75" s="161" t="str">
        <f>IF(R$64&gt;YEAR('Квартальная отчетность'!$K$3),"-",SUM('Годовая отчетность'!Q139:Q141)/LOOKUP($O$5,$P$4:$P$5,$Q$4:$Q$5))</f>
        <v>-</v>
      </c>
      <c r="S75" s="161" t="str">
        <f>IF(S$64&gt;YEAR('Квартальная отчетность'!$K$3),"-",SUM('Годовая отчетность'!R139:R141)/LOOKUP($O$5,$P$4:$P$5,$Q$4:$Q$5))</f>
        <v>-</v>
      </c>
      <c r="T75" s="161" t="str">
        <f>IF(T$64&gt;YEAR('Квартальная отчетность'!$K$3),"-",SUM('Годовая отчетность'!S139:S141)/LOOKUP($O$5,$P$4:$P$5,$Q$4:$Q$5))</f>
        <v>-</v>
      </c>
      <c r="U75" s="161" t="str">
        <f>IF(U$64&gt;YEAR('Квартальная отчетность'!$K$3),"-",SUM('Годовая отчетность'!T139:T141)/LOOKUP($O$5,$P$4:$P$5,$Q$4:$Q$5))</f>
        <v>-</v>
      </c>
    </row>
    <row r="76" spans="2:21" ht="15" customHeight="1">
      <c r="B76" s="269" t="s">
        <v>144</v>
      </c>
      <c r="C76" s="270" t="str">
        <f>O5</f>
        <v>тыс. руб.</v>
      </c>
      <c r="D76" s="279"/>
      <c r="E76" s="279"/>
      <c r="F76" s="270">
        <f t="shared" ref="F76:U76" si="10">SUM(F73:F75)</f>
        <v>0</v>
      </c>
      <c r="G76" s="270">
        <f t="shared" si="10"/>
        <v>0</v>
      </c>
      <c r="H76" s="270">
        <f t="shared" si="10"/>
        <v>0</v>
      </c>
      <c r="I76" s="270">
        <f t="shared" si="10"/>
        <v>0</v>
      </c>
      <c r="J76" s="270">
        <f t="shared" si="10"/>
        <v>0</v>
      </c>
      <c r="K76" s="270">
        <f t="shared" si="10"/>
        <v>0</v>
      </c>
      <c r="L76" s="270">
        <f t="shared" si="10"/>
        <v>0</v>
      </c>
      <c r="M76" s="270">
        <f t="shared" si="10"/>
        <v>0</v>
      </c>
      <c r="N76" s="270">
        <f t="shared" si="10"/>
        <v>0</v>
      </c>
      <c r="O76" s="270">
        <f t="shared" si="10"/>
        <v>0</v>
      </c>
      <c r="P76" s="270">
        <f t="shared" si="10"/>
        <v>0</v>
      </c>
      <c r="Q76" s="270">
        <f t="shared" si="10"/>
        <v>0</v>
      </c>
      <c r="R76" s="270">
        <f t="shared" si="10"/>
        <v>0</v>
      </c>
      <c r="S76" s="270">
        <f t="shared" si="10"/>
        <v>0</v>
      </c>
      <c r="T76" s="270">
        <f t="shared" si="10"/>
        <v>0</v>
      </c>
      <c r="U76" s="270">
        <f t="shared" si="10"/>
        <v>0</v>
      </c>
    </row>
    <row r="77" spans="2:21" ht="15" customHeight="1">
      <c r="B77" s="274" t="s">
        <v>83</v>
      </c>
      <c r="C77" s="275" t="str">
        <f>O5</f>
        <v>тыс. руб.</v>
      </c>
      <c r="D77" s="280"/>
      <c r="E77" s="280"/>
      <c r="F77" s="275">
        <f t="shared" ref="F77:U77" si="11">SUM(F69,F72,F76)</f>
        <v>0</v>
      </c>
      <c r="G77" s="275">
        <f t="shared" si="11"/>
        <v>0</v>
      </c>
      <c r="H77" s="275">
        <f t="shared" si="11"/>
        <v>0</v>
      </c>
      <c r="I77" s="275">
        <f t="shared" si="11"/>
        <v>0</v>
      </c>
      <c r="J77" s="275">
        <f t="shared" si="11"/>
        <v>0</v>
      </c>
      <c r="K77" s="275">
        <f t="shared" si="11"/>
        <v>0</v>
      </c>
      <c r="L77" s="275">
        <f t="shared" si="11"/>
        <v>0</v>
      </c>
      <c r="M77" s="275">
        <f t="shared" si="11"/>
        <v>0</v>
      </c>
      <c r="N77" s="275">
        <f t="shared" si="11"/>
        <v>0</v>
      </c>
      <c r="O77" s="275">
        <f t="shared" si="11"/>
        <v>0</v>
      </c>
      <c r="P77" s="275">
        <f t="shared" si="11"/>
        <v>0</v>
      </c>
      <c r="Q77" s="275">
        <f t="shared" si="11"/>
        <v>0</v>
      </c>
      <c r="R77" s="275">
        <f t="shared" si="11"/>
        <v>0</v>
      </c>
      <c r="S77" s="275">
        <f t="shared" si="11"/>
        <v>0</v>
      </c>
      <c r="T77" s="275">
        <f t="shared" si="11"/>
        <v>0</v>
      </c>
      <c r="U77" s="275">
        <f t="shared" si="11"/>
        <v>0</v>
      </c>
    </row>
    <row r="78" spans="2:21" ht="15" customHeight="1"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</row>
    <row r="79" spans="2:21" ht="15" customHeight="1">
      <c r="B79" s="118" t="s">
        <v>437</v>
      </c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</row>
    <row r="80" spans="2:21" ht="15" customHeight="1">
      <c r="B80" s="531" t="s">
        <v>255</v>
      </c>
      <c r="C80" s="531" t="s">
        <v>13</v>
      </c>
      <c r="D80" s="539"/>
      <c r="E80" s="539"/>
      <c r="F80" s="531">
        <f>YEAR('Годовая отчетность'!E$8)</f>
        <v>2026</v>
      </c>
      <c r="G80" s="531">
        <f>YEAR('Годовая отчетность'!F$8)</f>
        <v>2027</v>
      </c>
      <c r="H80" s="531">
        <f>YEAR('Годовая отчетность'!G$8)</f>
        <v>2028</v>
      </c>
      <c r="I80" s="531">
        <f>YEAR('Годовая отчетность'!H$8)</f>
        <v>2029</v>
      </c>
      <c r="J80" s="531">
        <f>YEAR('Годовая отчетность'!I$8)</f>
        <v>2030</v>
      </c>
      <c r="K80" s="531">
        <f>YEAR('Годовая отчетность'!J$8)</f>
        <v>2031</v>
      </c>
      <c r="L80" s="531">
        <f>YEAR('Годовая отчетность'!K$8)</f>
        <v>2032</v>
      </c>
      <c r="M80" s="531">
        <f>YEAR('Годовая отчетность'!L$8)</f>
        <v>2033</v>
      </c>
      <c r="N80" s="531">
        <f>YEAR('Годовая отчетность'!M$8)</f>
        <v>2034</v>
      </c>
      <c r="O80" s="531">
        <f>YEAR('Годовая отчетность'!N$8)</f>
        <v>2035</v>
      </c>
      <c r="P80" s="531">
        <f>YEAR('Годовая отчетность'!O$8)</f>
        <v>2036</v>
      </c>
      <c r="Q80" s="531">
        <f>YEAR('Годовая отчетность'!P$8)</f>
        <v>2037</v>
      </c>
      <c r="R80" s="531">
        <f>YEAR('Годовая отчетность'!Q$8)</f>
        <v>2038</v>
      </c>
      <c r="S80" s="531">
        <f>YEAR('Годовая отчетность'!R$8)</f>
        <v>2039</v>
      </c>
      <c r="T80" s="531">
        <f>YEAR('Годовая отчетность'!S$8)</f>
        <v>2040</v>
      </c>
      <c r="U80" s="531">
        <f>YEAR('Годовая отчетность'!T$8)</f>
        <v>2041</v>
      </c>
    </row>
    <row r="81" spans="2:22" ht="15" customHeight="1">
      <c r="B81" s="532"/>
      <c r="C81" s="532"/>
      <c r="D81" s="540"/>
      <c r="E81" s="540"/>
      <c r="F81" s="532"/>
      <c r="G81" s="532"/>
      <c r="H81" s="532"/>
      <c r="I81" s="532"/>
      <c r="J81" s="532"/>
      <c r="K81" s="532"/>
      <c r="L81" s="532"/>
      <c r="M81" s="532"/>
      <c r="N81" s="532"/>
      <c r="O81" s="532"/>
      <c r="P81" s="532"/>
      <c r="Q81" s="532"/>
      <c r="R81" s="532"/>
      <c r="S81" s="532"/>
      <c r="T81" s="532"/>
      <c r="U81" s="532"/>
    </row>
    <row r="82" spans="2:22" ht="15" customHeight="1">
      <c r="B82" s="140" t="s">
        <v>133</v>
      </c>
      <c r="C82" s="160" t="str">
        <f>O5</f>
        <v>тыс. руб.</v>
      </c>
      <c r="D82" s="141"/>
      <c r="E82" s="141"/>
      <c r="F82" s="159">
        <f ca="1">IF(F$80&gt;YEAR('Квартальная отчетность'!$K$3),"-",LOOKUP(DATE(F$80,12,31),Показатели!$E$8:$T$8,Показатели!$E$55:$T$55)/LOOKUP($O$5,$P$4:$P$5,$Q$4:$Q$5))</f>
        <v>0</v>
      </c>
      <c r="G82" s="159">
        <f ca="1">IF(G$80&gt;YEAR('Квартальная отчетность'!$K$3),"-",LOOKUP(DATE(G$80,12,31),Показатели!$E$8:$T$8,Показатели!$E$55:$T$55)/LOOKUP($O$5,$P$4:$P$5,$Q$4:$Q$5))</f>
        <v>0</v>
      </c>
      <c r="H82" s="159">
        <f ca="1">IF(H$80&gt;YEAR('Квартальная отчетность'!$K$3),"-",LOOKUP(DATE(H$80,12,31),Показатели!$E$8:$T$8,Показатели!$E$55:$T$55)/LOOKUP($O$5,$P$4:$P$5,$Q$4:$Q$5))</f>
        <v>0</v>
      </c>
      <c r="I82" s="159">
        <f ca="1">IF(I$80&gt;YEAR('Квартальная отчетность'!$K$3),"-",LOOKUP(DATE(I$80,12,31),Показатели!$E$8:$T$8,Показатели!$E$55:$T$55)/LOOKUP($O$5,$P$4:$P$5,$Q$4:$Q$5))</f>
        <v>0</v>
      </c>
      <c r="J82" s="159">
        <f ca="1">IF(J$80&gt;YEAR('Квартальная отчетность'!$K$3),"-",LOOKUP(DATE(J$80,12,31),Показатели!$E$8:$T$8,Показатели!$E$55:$T$55)/LOOKUP($O$5,$P$4:$P$5,$Q$4:$Q$5))</f>
        <v>0</v>
      </c>
      <c r="K82" s="159">
        <f ca="1">IF(K$80&gt;YEAR('Квартальная отчетность'!$K$3),"-",LOOKUP(DATE(K$80,12,31),Показатели!$E$8:$T$8,Показатели!$E$55:$T$55)/LOOKUP($O$5,$P$4:$P$5,$Q$4:$Q$5))</f>
        <v>0</v>
      </c>
      <c r="L82" s="159" t="str">
        <f>IF(L$80&gt;YEAR('Квартальная отчетность'!$K$3),"-",LOOKUP(DATE(L$80,12,31),Показатели!$E$8:$T$8,Показатели!$E$55:$T$55)/LOOKUP($O$5,$P$4:$P$5,$Q$4:$Q$5))</f>
        <v>-</v>
      </c>
      <c r="M82" s="159" t="str">
        <f>IF(M$80&gt;YEAR('Квартальная отчетность'!$K$3),"-",LOOKUP(DATE(M$80,12,31),Показатели!$E$8:$T$8,Показатели!$E$55:$T$55)/LOOKUP($O$5,$P$4:$P$5,$Q$4:$Q$5))</f>
        <v>-</v>
      </c>
      <c r="N82" s="159" t="str">
        <f>IF(N$80&gt;YEAR('Квартальная отчетность'!$K$3),"-",LOOKUP(DATE(N$80,12,31),Показатели!$E$8:$T$8,Показатели!$E$55:$T$55)/LOOKUP($O$5,$P$4:$P$5,$Q$4:$Q$5))</f>
        <v>-</v>
      </c>
      <c r="O82" s="159" t="str">
        <f>IF(O$80&gt;YEAR('Квартальная отчетность'!$K$3),"-",LOOKUP(DATE(O$80,12,31),Показатели!$E$8:$T$8,Показатели!$E$55:$T$55)/LOOKUP($O$5,$P$4:$P$5,$Q$4:$Q$5))</f>
        <v>-</v>
      </c>
      <c r="P82" s="159" t="str">
        <f>IF(P$80&gt;YEAR('Квартальная отчетность'!$K$3),"-",LOOKUP(DATE(P$80,12,31),Показатели!$E$8:$T$8,Показатели!$E$55:$T$55)/LOOKUP($O$5,$P$4:$P$5,$Q$4:$Q$5))</f>
        <v>-</v>
      </c>
      <c r="Q82" s="159" t="str">
        <f>IF(Q$80&gt;YEAR('Квартальная отчетность'!$K$3),"-",LOOKUP(DATE(Q$80,12,31),Показатели!$E$8:$T$8,Показатели!$E$55:$T$55)/LOOKUP($O$5,$P$4:$P$5,$Q$4:$Q$5))</f>
        <v>-</v>
      </c>
      <c r="R82" s="159" t="str">
        <f>IF(R$80&gt;YEAR('Квартальная отчетность'!$K$3),"-",LOOKUP(DATE(R$80,12,31),Показатели!$E$8:$T$8,Показатели!$E$55:$T$55)/LOOKUP($O$5,$P$4:$P$5,$Q$4:$Q$5))</f>
        <v>-</v>
      </c>
      <c r="S82" s="159" t="str">
        <f>IF(S$80&gt;YEAR('Квартальная отчетность'!$K$3),"-",LOOKUP(DATE(S$80,12,31),Показатели!$E$8:$T$8,Показатели!$E$55:$T$55)/LOOKUP($O$5,$P$4:$P$5,$Q$4:$Q$5))</f>
        <v>-</v>
      </c>
      <c r="T82" s="159" t="str">
        <f>IF(T$80&gt;YEAR('Квартальная отчетность'!$K$3),"-",LOOKUP(DATE(T$80,12,31),Показатели!$E$8:$T$8,Показатели!$E$55:$T$55)/LOOKUP($O$5,$P$4:$P$5,$Q$4:$Q$5))</f>
        <v>-</v>
      </c>
      <c r="U82" s="159" t="str">
        <f>IF(U$80&gt;YEAR('Квартальная отчетность'!$K$3),"-",LOOKUP(DATE(U$80,12,31),Показатели!$E$8:$T$8,Показатели!$E$55:$T$55)/LOOKUP($O$5,$P$4:$P$5,$Q$4:$Q$5))</f>
        <v>-</v>
      </c>
    </row>
    <row r="83" spans="2:22" ht="15" customHeight="1">
      <c r="B83" s="140" t="s">
        <v>436</v>
      </c>
      <c r="C83" s="160" t="str">
        <f>O5</f>
        <v>тыс. руб.</v>
      </c>
      <c r="D83" s="141"/>
      <c r="E83" s="141"/>
      <c r="F83" s="159">
        <f ca="1">IF(F$80&gt;YEAR('Квартальная отчетность'!$K$3),"-",LOOKUP(DATE(F$80,12,31),Показатели!$E$8:$T$8,Показатели!$E$66:$T$66)/LOOKUP($O$5,$P$4:$P$5,$Q$4:$Q$5))</f>
        <v>0</v>
      </c>
      <c r="G83" s="159">
        <f ca="1">IF(G$80&gt;YEAR('Квартальная отчетность'!$K$3),"-",LOOKUP(DATE(G$80,12,31),Показатели!$E$8:$T$8,Показатели!$E$66:$T$66)/LOOKUP($O$5,$P$4:$P$5,$Q$4:$Q$5))</f>
        <v>0</v>
      </c>
      <c r="H83" s="159">
        <f ca="1">IF(H$80&gt;YEAR('Квартальная отчетность'!$K$3),"-",LOOKUP(DATE(H$80,12,31),Показатели!$E$8:$T$8,Показатели!$E$66:$T$66)/LOOKUP($O$5,$P$4:$P$5,$Q$4:$Q$5))</f>
        <v>0</v>
      </c>
      <c r="I83" s="159">
        <f ca="1">IF(I$80&gt;YEAR('Квартальная отчетность'!$K$3),"-",LOOKUP(DATE(I$80,12,31),Показатели!$E$8:$T$8,Показатели!$E$66:$T$66)/LOOKUP($O$5,$P$4:$P$5,$Q$4:$Q$5))</f>
        <v>0</v>
      </c>
      <c r="J83" s="159">
        <f ca="1">IF(J$80&gt;YEAR('Квартальная отчетность'!$K$3),"-",LOOKUP(DATE(J$80,12,31),Показатели!$E$8:$T$8,Показатели!$E$66:$T$66)/LOOKUP($O$5,$P$4:$P$5,$Q$4:$Q$5))</f>
        <v>0</v>
      </c>
      <c r="K83" s="159">
        <f ca="1">IF(K$80&gt;YEAR('Квартальная отчетность'!$K$3),"-",LOOKUP(DATE(K$80,12,31),Показатели!$E$8:$T$8,Показатели!$E$66:$T$66)/LOOKUP($O$5,$P$4:$P$5,$Q$4:$Q$5))</f>
        <v>0</v>
      </c>
      <c r="L83" s="159" t="str">
        <f>IF(L$80&gt;YEAR('Квартальная отчетность'!$K$3),"-",LOOKUP(DATE(L$80,12,31),Показатели!$E$8:$T$8,Показатели!$E$66:$T$66)/LOOKUP($O$5,$P$4:$P$5,$Q$4:$Q$5))</f>
        <v>-</v>
      </c>
      <c r="M83" s="159" t="str">
        <f>IF(M$80&gt;YEAR('Квартальная отчетность'!$K$3),"-",LOOKUP(DATE(M$80,12,31),Показатели!$E$8:$T$8,Показатели!$E$66:$T$66)/LOOKUP($O$5,$P$4:$P$5,$Q$4:$Q$5))</f>
        <v>-</v>
      </c>
      <c r="N83" s="159" t="str">
        <f>IF(N$80&gt;YEAR('Квартальная отчетность'!$K$3),"-",LOOKUP(DATE(N$80,12,31),Показатели!$E$8:$T$8,Показатели!$E$66:$T$66)/LOOKUP($O$5,$P$4:$P$5,$Q$4:$Q$5))</f>
        <v>-</v>
      </c>
      <c r="O83" s="159" t="str">
        <f>IF(O$80&gt;YEAR('Квартальная отчетность'!$K$3),"-",LOOKUP(DATE(O$80,12,31),Показатели!$E$8:$T$8,Показатели!$E$66:$T$66)/LOOKUP($O$5,$P$4:$P$5,$Q$4:$Q$5))</f>
        <v>-</v>
      </c>
      <c r="P83" s="159" t="str">
        <f>IF(P$80&gt;YEAR('Квартальная отчетность'!$K$3),"-",LOOKUP(DATE(P$80,12,31),Показатели!$E$8:$T$8,Показатели!$E$66:$T$66)/LOOKUP($O$5,$P$4:$P$5,$Q$4:$Q$5))</f>
        <v>-</v>
      </c>
      <c r="Q83" s="159" t="str">
        <f>IF(Q$80&gt;YEAR('Квартальная отчетность'!$K$3),"-",LOOKUP(DATE(Q$80,12,31),Показатели!$E$8:$T$8,Показатели!$E$66:$T$66)/LOOKUP($O$5,$P$4:$P$5,$Q$4:$Q$5))</f>
        <v>-</v>
      </c>
      <c r="R83" s="159" t="str">
        <f>IF(R$80&gt;YEAR('Квартальная отчетность'!$K$3),"-",LOOKUP(DATE(R$80,12,31),Показатели!$E$8:$T$8,Показатели!$E$66:$T$66)/LOOKUP($O$5,$P$4:$P$5,$Q$4:$Q$5))</f>
        <v>-</v>
      </c>
      <c r="S83" s="159" t="str">
        <f>IF(S$80&gt;YEAR('Квартальная отчетность'!$K$3),"-",LOOKUP(DATE(S$80,12,31),Показатели!$E$8:$T$8,Показатели!$E$66:$T$66)/LOOKUP($O$5,$P$4:$P$5,$Q$4:$Q$5))</f>
        <v>-</v>
      </c>
      <c r="T83" s="159" t="str">
        <f>IF(T$80&gt;YEAR('Квартальная отчетность'!$K$3),"-",LOOKUP(DATE(T$80,12,31),Показатели!$E$8:$T$8,Показатели!$E$66:$T$66)/LOOKUP($O$5,$P$4:$P$5,$Q$4:$Q$5))</f>
        <v>-</v>
      </c>
      <c r="U83" s="159" t="str">
        <f>IF(U$80&gt;YEAR('Квартальная отчетность'!$K$3),"-",LOOKUP(DATE(U$80,12,31),Показатели!$E$8:$T$8,Показатели!$E$66:$T$66)/LOOKUP($O$5,$P$4:$P$5,$Q$4:$Q$5))</f>
        <v>-</v>
      </c>
      <c r="V83" s="129"/>
    </row>
    <row r="84" spans="2:22" ht="15" customHeight="1">
      <c r="B84" s="140" t="s">
        <v>140</v>
      </c>
      <c r="C84" s="160" t="str">
        <f>O5</f>
        <v>тыс. руб.</v>
      </c>
      <c r="D84" s="141"/>
      <c r="E84" s="141"/>
      <c r="F84" s="159">
        <f>IF(F$80&gt;YEAR('Квартальная отчетность'!$K$3),"-",SUM(F70,F73))</f>
        <v>0</v>
      </c>
      <c r="G84" s="159">
        <f>IF(G$80&gt;YEAR('Квартальная отчетность'!$K$3),"-",SUM(G70,G73))</f>
        <v>0</v>
      </c>
      <c r="H84" s="159">
        <f>IF(H$80&gt;YEAR('Квартальная отчетность'!$K$3),"-",SUM(H70,H73))</f>
        <v>0</v>
      </c>
      <c r="I84" s="159">
        <f>IF(I$80&gt;YEAR('Квартальная отчетность'!$K$3),"-",SUM(I70,I73))</f>
        <v>0</v>
      </c>
      <c r="J84" s="159">
        <f>IF(J$80&gt;YEAR('Квартальная отчетность'!$K$3),"-",SUM(J70,J73))</f>
        <v>0</v>
      </c>
      <c r="K84" s="159">
        <f>IF(K$80&gt;YEAR('Квартальная отчетность'!$K$3),"-",SUM(K70,K73))</f>
        <v>0</v>
      </c>
      <c r="L84" s="159" t="str">
        <f>IF(L$80&gt;YEAR('Квартальная отчетность'!$K$3),"-",SUM(L70,L73))</f>
        <v>-</v>
      </c>
      <c r="M84" s="159" t="str">
        <f>IF(M$80&gt;YEAR('Квартальная отчетность'!$K$3),"-",SUM(M70,M73))</f>
        <v>-</v>
      </c>
      <c r="N84" s="159" t="str">
        <f>IF(N$80&gt;YEAR('Квартальная отчетность'!$K$3),"-",SUM(N70,N73))</f>
        <v>-</v>
      </c>
      <c r="O84" s="159" t="str">
        <f>IF(O$80&gt;YEAR('Квартальная отчетность'!$K$3),"-",SUM(O70,O73))</f>
        <v>-</v>
      </c>
      <c r="P84" s="159" t="str">
        <f>IF(P$80&gt;YEAR('Квартальная отчетность'!$K$3),"-",SUM(P70,P73))</f>
        <v>-</v>
      </c>
      <c r="Q84" s="159" t="str">
        <f>IF(Q$80&gt;YEAR('Квартальная отчетность'!$K$3),"-",SUM(Q70,Q73))</f>
        <v>-</v>
      </c>
      <c r="R84" s="159" t="str">
        <f>IF(R$80&gt;YEAR('Квартальная отчетность'!$K$3),"-",SUM(R70,R73))</f>
        <v>-</v>
      </c>
      <c r="S84" s="159" t="str">
        <f>IF(S$80&gt;YEAR('Квартальная отчетность'!$K$3),"-",SUM(S70,S73))</f>
        <v>-</v>
      </c>
      <c r="T84" s="159" t="str">
        <f>IF(T$80&gt;YEAR('Квартальная отчетность'!$K$3),"-",SUM(T70,T73))</f>
        <v>-</v>
      </c>
      <c r="U84" s="159" t="str">
        <f>IF(U$80&gt;YEAR('Квартальная отчетность'!$K$3),"-",SUM(U70,U73))</f>
        <v>-</v>
      </c>
    </row>
    <row r="85" spans="2:22" ht="15" customHeight="1">
      <c r="B85" s="142" t="s">
        <v>290</v>
      </c>
      <c r="C85" s="161" t="str">
        <f>O5</f>
        <v>тыс. руб.</v>
      </c>
      <c r="D85" s="143"/>
      <c r="E85" s="143"/>
      <c r="F85" s="136">
        <f>IF(F$80&gt;YEAR('Квартальная отчетность'!$K$3),"-",MAX(0,F84-F58))</f>
        <v>0</v>
      </c>
      <c r="G85" s="136">
        <f>IF(G$80&gt;YEAR('Квартальная отчетность'!$K$3),"-",MAX(0,G84-G58))</f>
        <v>0</v>
      </c>
      <c r="H85" s="136">
        <f>IF(H$80&gt;YEAR('Квартальная отчетность'!$K$3),"-",MAX(0,H84-H58))</f>
        <v>0</v>
      </c>
      <c r="I85" s="136">
        <f>IF(I$80&gt;YEAR('Квартальная отчетность'!$K$3),"-",MAX(0,I84-I58))</f>
        <v>0</v>
      </c>
      <c r="J85" s="136">
        <f>IF(J$80&gt;YEAR('Квартальная отчетность'!$K$3),"-",MAX(0,J84-J58))</f>
        <v>0</v>
      </c>
      <c r="K85" s="136">
        <f>IF(K$80&gt;YEAR('Квартальная отчетность'!$K$3),"-",MAX(0,K84-K58))</f>
        <v>0</v>
      </c>
      <c r="L85" s="136" t="str">
        <f>IF(L$80&gt;YEAR('Квартальная отчетность'!$K$3),"-",MAX(0,L84-L58))</f>
        <v>-</v>
      </c>
      <c r="M85" s="136" t="str">
        <f>IF(M$80&gt;YEAR('Квартальная отчетность'!$K$3),"-",MAX(0,M84-M58))</f>
        <v>-</v>
      </c>
      <c r="N85" s="136" t="str">
        <f>IF(N$80&gt;YEAR('Квартальная отчетность'!$K$3),"-",MAX(0,N84-N58))</f>
        <v>-</v>
      </c>
      <c r="O85" s="136" t="str">
        <f>IF(O$80&gt;YEAR('Квартальная отчетность'!$K$3),"-",MAX(0,O84-O58))</f>
        <v>-</v>
      </c>
      <c r="P85" s="136" t="str">
        <f>IF(P$80&gt;YEAR('Квартальная отчетность'!$K$3),"-",MAX(0,P84-P58))</f>
        <v>-</v>
      </c>
      <c r="Q85" s="136" t="str">
        <f>IF(Q$80&gt;YEAR('Квартальная отчетность'!$K$3),"-",MAX(0,Q84-Q58))</f>
        <v>-</v>
      </c>
      <c r="R85" s="136" t="str">
        <f>IF(R$80&gt;YEAR('Квартальная отчетность'!$K$3),"-",MAX(0,R84-R58))</f>
        <v>-</v>
      </c>
      <c r="S85" s="136" t="str">
        <f>IF(S$80&gt;YEAR('Квартальная отчетность'!$K$3),"-",MAX(0,S84-S58))</f>
        <v>-</v>
      </c>
      <c r="T85" s="136" t="str">
        <f>IF(T$80&gt;YEAR('Квартальная отчетность'!$K$3),"-",MAX(0,T84-T58))</f>
        <v>-</v>
      </c>
      <c r="U85" s="136" t="str">
        <f>IF(U$80&gt;YEAR('Квартальная отчетность'!$K$3),"-",MAX(0,U84-U58))</f>
        <v>-</v>
      </c>
    </row>
    <row r="86" spans="2:22" ht="15" customHeight="1">
      <c r="B86" s="142" t="s">
        <v>139</v>
      </c>
      <c r="C86" s="135" t="s">
        <v>146</v>
      </c>
      <c r="D86" s="143"/>
      <c r="E86" s="143"/>
      <c r="F86" s="144" t="str">
        <f>IF(F$80&gt;YEAR('Квартальная отчетность'!$K$3),"-",LOOKUP(DATE(F$80,12,31),Показатели!$E$8:$T$8,Показатели!$E$34:$T$34))</f>
        <v>-</v>
      </c>
      <c r="G86" s="144" t="str">
        <f>IF(G$80&gt;YEAR('Квартальная отчетность'!$K$3),"-",LOOKUP(DATE(G$80,12,31),Показатели!$E$8:$T$8,Показатели!$E$34:$T$34))</f>
        <v>-</v>
      </c>
      <c r="H86" s="144" t="str">
        <f>IF(H$80&gt;YEAR('Квартальная отчетность'!$K$3),"-",LOOKUP(DATE(H$80,12,31),Показатели!$E$8:$T$8,Показатели!$E$34:$T$34))</f>
        <v>-</v>
      </c>
      <c r="I86" s="144" t="str">
        <f>IF(I$80&gt;YEAR('Квартальная отчетность'!$K$3),"-",LOOKUP(DATE(I$80,12,31),Показатели!$E$8:$T$8,Показатели!$E$34:$T$34))</f>
        <v>-</v>
      </c>
      <c r="J86" s="144" t="str">
        <f>IF(J$80&gt;YEAR('Квартальная отчетность'!$K$3),"-",LOOKUP(DATE(J$80,12,31),Показатели!$E$8:$T$8,Показатели!$E$34:$T$34))</f>
        <v>-</v>
      </c>
      <c r="K86" s="144" t="str">
        <f>IF(K$80&gt;YEAR('Квартальная отчетность'!$K$3),"-",LOOKUP(DATE(K$80,12,31),Показатели!$E$8:$T$8,Показатели!$E$34:$T$34))</f>
        <v>-</v>
      </c>
      <c r="L86" s="144" t="str">
        <f>IF(L$80&gt;YEAR('Квартальная отчетность'!$K$3),"-",LOOKUP(DATE(L$80,12,31),Показатели!$E$8:$T$8,Показатели!$E$34:$T$34))</f>
        <v>-</v>
      </c>
      <c r="M86" s="144" t="str">
        <f>IF(M$80&gt;YEAR('Квартальная отчетность'!$K$3),"-",LOOKUP(DATE(M$80,12,31),Показатели!$E$8:$T$8,Показатели!$E$34:$T$34))</f>
        <v>-</v>
      </c>
      <c r="N86" s="144" t="str">
        <f>IF(N$80&gt;YEAR('Квартальная отчетность'!$K$3),"-",LOOKUP(DATE(N$80,12,31),Показатели!$E$8:$T$8,Показатели!$E$34:$T$34))</f>
        <v>-</v>
      </c>
      <c r="O86" s="144" t="str">
        <f>IF(O$80&gt;YEAR('Квартальная отчетность'!$K$3),"-",LOOKUP(DATE(O$80,12,31),Показатели!$E$8:$T$8,Показатели!$E$34:$T$34))</f>
        <v>-</v>
      </c>
      <c r="P86" s="144" t="str">
        <f>IF(P$80&gt;YEAR('Квартальная отчетность'!$K$3),"-",LOOKUP(DATE(P$80,12,31),Показатели!$E$8:$T$8,Показатели!$E$34:$T$34))</f>
        <v>-</v>
      </c>
      <c r="Q86" s="144" t="str">
        <f>IF(Q$80&gt;YEAR('Квартальная отчетность'!$K$3),"-",LOOKUP(DATE(Q$80,12,31),Показатели!$E$8:$T$8,Показатели!$E$34:$T$34))</f>
        <v>-</v>
      </c>
      <c r="R86" s="144" t="str">
        <f>IF(R$80&gt;YEAR('Квартальная отчетность'!$K$3),"-",LOOKUP(DATE(R$80,12,31),Показатели!$E$8:$T$8,Показатели!$E$34:$T$34))</f>
        <v>-</v>
      </c>
      <c r="S86" s="144" t="str">
        <f>IF(S$80&gt;YEAR('Квартальная отчетность'!$K$3),"-",LOOKUP(DATE(S$80,12,31),Показатели!$E$8:$T$8,Показатели!$E$34:$T$34))</f>
        <v>-</v>
      </c>
      <c r="T86" s="144" t="str">
        <f>IF(T$80&gt;YEAR('Квартальная отчетность'!$K$3),"-",LOOKUP(DATE(T$80,12,31),Показатели!$E$8:$T$8,Показатели!$E$34:$T$34))</f>
        <v>-</v>
      </c>
      <c r="U86" s="144" t="str">
        <f>IF(U$80&gt;YEAR('Квартальная отчетность'!$K$3),"-",LOOKUP(DATE(U$80,12,31),Показатели!$E$8:$T$8,Показатели!$E$34:$T$34))</f>
        <v>-</v>
      </c>
    </row>
    <row r="87" spans="2:22" ht="15" customHeight="1">
      <c r="B87" s="142" t="s">
        <v>141</v>
      </c>
      <c r="C87" s="135" t="s">
        <v>146</v>
      </c>
      <c r="D87" s="143"/>
      <c r="E87" s="143"/>
      <c r="F87" s="144" t="str">
        <f>IF(F$80&gt;YEAR('Квартальная отчетность'!$K$3),"-",LOOKUP(DATE(F$80,12,31),Показатели!$E$8:$T$8,Показатели!$E$44:$T$44))</f>
        <v>-</v>
      </c>
      <c r="G87" s="144" t="str">
        <f>IF(G$80&gt;YEAR('Квартальная отчетность'!$K$3),"-",LOOKUP(DATE(G$80,12,31),Показатели!$E$8:$T$8,Показатели!$E$44:$T$44))</f>
        <v>-</v>
      </c>
      <c r="H87" s="144" t="str">
        <f>IF(H$80&gt;YEAR('Квартальная отчетность'!$K$3),"-",LOOKUP(DATE(H$80,12,31),Показатели!$E$8:$T$8,Показатели!$E$44:$T$44))</f>
        <v>-</v>
      </c>
      <c r="I87" s="144" t="str">
        <f>IF(I$80&gt;YEAR('Квартальная отчетность'!$K$3),"-",LOOKUP(DATE(I$80,12,31),Показатели!$E$8:$T$8,Показатели!$E$44:$T$44))</f>
        <v>-</v>
      </c>
      <c r="J87" s="144" t="str">
        <f>IF(J$80&gt;YEAR('Квартальная отчетность'!$K$3),"-",LOOKUP(DATE(J$80,12,31),Показатели!$E$8:$T$8,Показатели!$E$44:$T$44))</f>
        <v>-</v>
      </c>
      <c r="K87" s="144" t="str">
        <f>IF(K$80&gt;YEAR('Квартальная отчетность'!$K$3),"-",LOOKUP(DATE(K$80,12,31),Показатели!$E$8:$T$8,Показатели!$E$44:$T$44))</f>
        <v>-</v>
      </c>
      <c r="L87" s="144" t="str">
        <f>IF(L$80&gt;YEAR('Квартальная отчетность'!$K$3),"-",LOOKUP(DATE(L$80,12,31),Показатели!$E$8:$T$8,Показатели!$E$44:$T$44))</f>
        <v>-</v>
      </c>
      <c r="M87" s="144" t="str">
        <f>IF(M$80&gt;YEAR('Квартальная отчетность'!$K$3),"-",LOOKUP(DATE(M$80,12,31),Показатели!$E$8:$T$8,Показатели!$E$44:$T$44))</f>
        <v>-</v>
      </c>
      <c r="N87" s="144" t="str">
        <f>IF(N$80&gt;YEAR('Квартальная отчетность'!$K$3),"-",LOOKUP(DATE(N$80,12,31),Показатели!$E$8:$T$8,Показатели!$E$44:$T$44))</f>
        <v>-</v>
      </c>
      <c r="O87" s="144" t="str">
        <f>IF(O$80&gt;YEAR('Квартальная отчетность'!$K$3),"-",LOOKUP(DATE(O$80,12,31),Показатели!$E$8:$T$8,Показатели!$E$44:$T$44))</f>
        <v>-</v>
      </c>
      <c r="P87" s="144" t="str">
        <f>IF(P$80&gt;YEAR('Квартальная отчетность'!$K$3),"-",LOOKUP(DATE(P$80,12,31),Показатели!$E$8:$T$8,Показатели!$E$44:$T$44))</f>
        <v>-</v>
      </c>
      <c r="Q87" s="144" t="str">
        <f>IF(Q$80&gt;YEAR('Квартальная отчетность'!$K$3),"-",LOOKUP(DATE(Q$80,12,31),Показатели!$E$8:$T$8,Показатели!$E$44:$T$44))</f>
        <v>-</v>
      </c>
      <c r="R87" s="144" t="str">
        <f>IF(R$80&gt;YEAR('Квартальная отчетность'!$K$3),"-",LOOKUP(DATE(R$80,12,31),Показатели!$E$8:$T$8,Показатели!$E$44:$T$44))</f>
        <v>-</v>
      </c>
      <c r="S87" s="144" t="str">
        <f>IF(S$80&gt;YEAR('Квартальная отчетность'!$K$3),"-",LOOKUP(DATE(S$80,12,31),Показатели!$E$8:$T$8,Показатели!$E$44:$T$44))</f>
        <v>-</v>
      </c>
      <c r="T87" s="144" t="str">
        <f>IF(T$80&gt;YEAR('Квартальная отчетность'!$K$3),"-",LOOKUP(DATE(T$80,12,31),Показатели!$E$8:$T$8,Показатели!$E$44:$T$44))</f>
        <v>-</v>
      </c>
      <c r="U87" s="144" t="str">
        <f>IF(U$80&gt;YEAR('Квартальная отчетность'!$K$3),"-",LOOKUP(DATE(U$80,12,31),Показатели!$E$8:$T$8,Показатели!$E$44:$T$44))</f>
        <v>-</v>
      </c>
    </row>
    <row r="88" spans="2:22" ht="15" customHeight="1">
      <c r="B88" s="142" t="s">
        <v>367</v>
      </c>
      <c r="C88" s="135" t="s">
        <v>146</v>
      </c>
      <c r="D88" s="143"/>
      <c r="E88" s="143"/>
      <c r="F88" s="144">
        <f ca="1">IF(F$80&gt;YEAR('Квартальная отчетность'!$K$3),"-",LOOKUP(DATE(F$80,12,31),Показатели!$E$8:$T$8,Показатели!$E$71:$T$71))</f>
        <v>0</v>
      </c>
      <c r="G88" s="144">
        <f ca="1">IF(G$80&gt;YEAR('Квартальная отчетность'!$K$3),"-",LOOKUP(DATE(G$80,12,31),Показатели!$E$8:$T$8,Показатели!$E$71:$T$71))</f>
        <v>0</v>
      </c>
      <c r="H88" s="144">
        <f ca="1">IF(H$80&gt;YEAR('Квартальная отчетность'!$K$3),"-",LOOKUP(DATE(H$80,12,31),Показатели!$E$8:$T$8,Показатели!$E$71:$T$71))</f>
        <v>0</v>
      </c>
      <c r="I88" s="144">
        <f ca="1">IF(I$80&gt;YEAR('Квартальная отчетность'!$K$3),"-",LOOKUP(DATE(I$80,12,31),Показатели!$E$8:$T$8,Показатели!$E$71:$T$71))</f>
        <v>0</v>
      </c>
      <c r="J88" s="144">
        <f ca="1">IF(J$80&gt;YEAR('Квартальная отчетность'!$K$3),"-",LOOKUP(DATE(J$80,12,31),Показатели!$E$8:$T$8,Показатели!$E$71:$T$71))</f>
        <v>0</v>
      </c>
      <c r="K88" s="144">
        <f ca="1">IF(K$80&gt;YEAR('Квартальная отчетность'!$K$3),"-",LOOKUP(DATE(K$80,12,31),Показатели!$E$8:$T$8,Показатели!$E$71:$T$71))</f>
        <v>0</v>
      </c>
      <c r="L88" s="144" t="str">
        <f>IF(L$80&gt;YEAR('Квартальная отчетность'!$K$3),"-",LOOKUP(DATE(L$80,12,31),Показатели!$E$8:$T$8,Показатели!$E$71:$T$71))</f>
        <v>-</v>
      </c>
      <c r="M88" s="144" t="str">
        <f>IF(M$80&gt;YEAR('Квартальная отчетность'!$K$3),"-",LOOKUP(DATE(M$80,12,31),Показатели!$E$8:$T$8,Показатели!$E$71:$T$71))</f>
        <v>-</v>
      </c>
      <c r="N88" s="144" t="str">
        <f>IF(N$80&gt;YEAR('Квартальная отчетность'!$K$3),"-",LOOKUP(DATE(N$80,12,31),Показатели!$E$8:$T$8,Показатели!$E$71:$T$71))</f>
        <v>-</v>
      </c>
      <c r="O88" s="144" t="str">
        <f>IF(O$80&gt;YEAR('Квартальная отчетность'!$K$3),"-",LOOKUP(DATE(O$80,12,31),Показатели!$E$8:$T$8,Показатели!$E$71:$T$71))</f>
        <v>-</v>
      </c>
      <c r="P88" s="144" t="str">
        <f>IF(P$80&gt;YEAR('Квартальная отчетность'!$K$3),"-",LOOKUP(DATE(P$80,12,31),Показатели!$E$8:$T$8,Показатели!$E$71:$T$71))</f>
        <v>-</v>
      </c>
      <c r="Q88" s="144" t="str">
        <f>IF(Q$80&gt;YEAR('Квартальная отчетность'!$K$3),"-",LOOKUP(DATE(Q$80,12,31),Показатели!$E$8:$T$8,Показатели!$E$71:$T$71))</f>
        <v>-</v>
      </c>
      <c r="R88" s="144" t="str">
        <f>IF(R$80&gt;YEAR('Квартальная отчетность'!$K$3),"-",LOOKUP(DATE(R$80,12,31),Показатели!$E$8:$T$8,Показатели!$E$71:$T$71))</f>
        <v>-</v>
      </c>
      <c r="S88" s="144" t="str">
        <f>IF(S$80&gt;YEAR('Квартальная отчетность'!$K$3),"-",LOOKUP(DATE(S$80,12,31),Показатели!$E$8:$T$8,Показатели!$E$71:$T$71))</f>
        <v>-</v>
      </c>
      <c r="T88" s="144" t="str">
        <f>IF(T$80&gt;YEAR('Квартальная отчетность'!$K$3),"-",LOOKUP(DATE(T$80,12,31),Показатели!$E$8:$T$8,Показатели!$E$71:$T$71))</f>
        <v>-</v>
      </c>
      <c r="U88" s="144" t="str">
        <f>IF(U$80&gt;YEAR('Квартальная отчетность'!$K$3),"-",LOOKUP(DATE(U$80,12,31),Показатели!$E$8:$T$8,Показатели!$E$71:$T$71))</f>
        <v>-</v>
      </c>
    </row>
    <row r="89" spans="2:22" ht="15" customHeight="1">
      <c r="B89" s="142" t="s">
        <v>137</v>
      </c>
      <c r="C89" s="135" t="s">
        <v>146</v>
      </c>
      <c r="D89" s="143"/>
      <c r="E89" s="143"/>
      <c r="F89" s="144" t="str">
        <f ca="1">IF(F$80&gt;YEAR('Квартальная отчетность'!$K$3),"-",LOOKUP(DATE(F$80,12,31),Показатели!$E$8:$T$8,Показатели!$E$58:$T$58))</f>
        <v>-</v>
      </c>
      <c r="G89" s="144" t="str">
        <f ca="1">IF(G$80&gt;YEAR('Квартальная отчетность'!$K$3),"-",LOOKUP(DATE(G$80,12,31),Показатели!$E$8:$T$8,Показатели!$E$58:$T$58))</f>
        <v>-</v>
      </c>
      <c r="H89" s="144" t="str">
        <f ca="1">IF(H$80&gt;YEAR('Квартальная отчетность'!$K$3),"-",LOOKUP(DATE(H$80,12,31),Показатели!$E$8:$T$8,Показатели!$E$58:$T$58))</f>
        <v>-</v>
      </c>
      <c r="I89" s="144" t="str">
        <f ca="1">IF(I$80&gt;YEAR('Квартальная отчетность'!$K$3),"-",LOOKUP(DATE(I$80,12,31),Показатели!$E$8:$T$8,Показатели!$E$58:$T$58))</f>
        <v>-</v>
      </c>
      <c r="J89" s="144" t="str">
        <f ca="1">IF(J$80&gt;YEAR('Квартальная отчетность'!$K$3),"-",LOOKUP(DATE(J$80,12,31),Показатели!$E$8:$T$8,Показатели!$E$58:$T$58))</f>
        <v>-</v>
      </c>
      <c r="K89" s="144" t="str">
        <f ca="1">IF(K$80&gt;YEAR('Квартальная отчетность'!$K$3),"-",LOOKUP(DATE(K$80,12,31),Показатели!$E$8:$T$8,Показатели!$E$58:$T$58))</f>
        <v>-</v>
      </c>
      <c r="L89" s="144" t="str">
        <f>IF(L$80&gt;YEAR('Квартальная отчетность'!$K$3),"-",LOOKUP(DATE(L$80,12,31),Показатели!$E$8:$T$8,Показатели!$E$58:$T$58))</f>
        <v>-</v>
      </c>
      <c r="M89" s="144" t="str">
        <f>IF(M$80&gt;YEAR('Квартальная отчетность'!$K$3),"-",LOOKUP(DATE(M$80,12,31),Показатели!$E$8:$T$8,Показатели!$E$58:$T$58))</f>
        <v>-</v>
      </c>
      <c r="N89" s="144" t="str">
        <f>IF(N$80&gt;YEAR('Квартальная отчетность'!$K$3),"-",LOOKUP(DATE(N$80,12,31),Показатели!$E$8:$T$8,Показатели!$E$58:$T$58))</f>
        <v>-</v>
      </c>
      <c r="O89" s="144" t="str">
        <f>IF(O$80&gt;YEAR('Квартальная отчетность'!$K$3),"-",LOOKUP(DATE(O$80,12,31),Показатели!$E$8:$T$8,Показатели!$E$58:$T$58))</f>
        <v>-</v>
      </c>
      <c r="P89" s="144" t="str">
        <f>IF(P$80&gt;YEAR('Квартальная отчетность'!$K$3),"-",LOOKUP(DATE(P$80,12,31),Показатели!$E$8:$T$8,Показатели!$E$58:$T$58))</f>
        <v>-</v>
      </c>
      <c r="Q89" s="144" t="str">
        <f>IF(Q$80&gt;YEAR('Квартальная отчетность'!$K$3),"-",LOOKUP(DATE(Q$80,12,31),Показатели!$E$8:$T$8,Показатели!$E$58:$T$58))</f>
        <v>-</v>
      </c>
      <c r="R89" s="144" t="str">
        <f>IF(R$80&gt;YEAR('Квартальная отчетность'!$K$3),"-",LOOKUP(DATE(R$80,12,31),Показатели!$E$8:$T$8,Показатели!$E$58:$T$58))</f>
        <v>-</v>
      </c>
      <c r="S89" s="144" t="str">
        <f>IF(S$80&gt;YEAR('Квартальная отчетность'!$K$3),"-",LOOKUP(DATE(S$80,12,31),Показатели!$E$8:$T$8,Показатели!$E$58:$T$58))</f>
        <v>-</v>
      </c>
      <c r="T89" s="144" t="str">
        <f>IF(T$80&gt;YEAR('Квартальная отчетность'!$K$3),"-",LOOKUP(DATE(T$80,12,31),Показатели!$E$8:$T$8,Показатели!$E$58:$T$58))</f>
        <v>-</v>
      </c>
      <c r="U89" s="144" t="str">
        <f>IF(U$80&gt;YEAR('Квартальная отчетность'!$K$3),"-",LOOKUP(DATE(U$80,12,31),Показатели!$E$8:$T$8,Показатели!$E$58:$T$58))</f>
        <v>-</v>
      </c>
    </row>
    <row r="90" spans="2:22" ht="15" customHeight="1">
      <c r="B90" s="142" t="s">
        <v>524</v>
      </c>
      <c r="C90" s="135" t="s">
        <v>146</v>
      </c>
      <c r="D90" s="143"/>
      <c r="E90" s="143"/>
      <c r="F90" s="144" t="str">
        <f ca="1">IF(F$80&gt;YEAR('Квартальная отчетность'!$K$3),"-",LOOKUP(DATE(F$80,12,31),Показатели!$E$8:$T$8,Показатели!$E$59:$T$59))</f>
        <v>-</v>
      </c>
      <c r="G90" s="144" t="str">
        <f ca="1">IF(G$80&gt;YEAR('Квартальная отчетность'!$K$3),"-",LOOKUP(DATE(G$80,12,31),Показатели!$E$8:$T$8,Показатели!$E$59:$T$59))</f>
        <v>-</v>
      </c>
      <c r="H90" s="144" t="str">
        <f ca="1">IF(H$80&gt;YEAR('Квартальная отчетность'!$K$3),"-",LOOKUP(DATE(H$80,12,31),Показатели!$E$8:$T$8,Показатели!$E$59:$T$59))</f>
        <v>-</v>
      </c>
      <c r="I90" s="144" t="str">
        <f ca="1">IF(I$80&gt;YEAR('Квартальная отчетность'!$K$3),"-",LOOKUP(DATE(I$80,12,31),Показатели!$E$8:$T$8,Показатели!$E$59:$T$59))</f>
        <v>-</v>
      </c>
      <c r="J90" s="144" t="str">
        <f ca="1">IF(J$80&gt;YEAR('Квартальная отчетность'!$K$3),"-",LOOKUP(DATE(J$80,12,31),Показатели!$E$8:$T$8,Показатели!$E$59:$T$59))</f>
        <v>-</v>
      </c>
      <c r="K90" s="144" t="str">
        <f ca="1">IF(K$80&gt;YEAR('Квартальная отчетность'!$K$3),"-",LOOKUP(DATE(K$80,12,31),Показатели!$E$8:$T$8,Показатели!$E$59:$T$59))</f>
        <v>-</v>
      </c>
      <c r="L90" s="144" t="str">
        <f>IF(L$80&gt;YEAR('Квартальная отчетность'!$K$3),"-",LOOKUP(DATE(L$80,12,31),Показатели!$E$8:$T$8,Показатели!$E$59:$T$59))</f>
        <v>-</v>
      </c>
      <c r="M90" s="144" t="str">
        <f>IF(M$80&gt;YEAR('Квартальная отчетность'!$K$3),"-",LOOKUP(DATE(M$80,12,31),Показатели!$E$8:$T$8,Показатели!$E$59:$T$59))</f>
        <v>-</v>
      </c>
      <c r="N90" s="144" t="str">
        <f>IF(N$80&gt;YEAR('Квартальная отчетность'!$K$3),"-",LOOKUP(DATE(N$80,12,31),Показатели!$E$8:$T$8,Показатели!$E$59:$T$59))</f>
        <v>-</v>
      </c>
      <c r="O90" s="144" t="str">
        <f>IF(O$80&gt;YEAR('Квартальная отчетность'!$K$3),"-",LOOKUP(DATE(O$80,12,31),Показатели!$E$8:$T$8,Показатели!$E$59:$T$59))</f>
        <v>-</v>
      </c>
      <c r="P90" s="144" t="str">
        <f>IF(P$80&gt;YEAR('Квартальная отчетность'!$K$3),"-",LOOKUP(DATE(P$80,12,31),Показатели!$E$8:$T$8,Показатели!$E$59:$T$59))</f>
        <v>-</v>
      </c>
      <c r="Q90" s="144" t="str">
        <f>IF(Q$80&gt;YEAR('Квартальная отчетность'!$K$3),"-",LOOKUP(DATE(Q$80,12,31),Показатели!$E$8:$T$8,Показатели!$E$59:$T$59))</f>
        <v>-</v>
      </c>
      <c r="R90" s="144" t="str">
        <f>IF(R$80&gt;YEAR('Квартальная отчетность'!$K$3),"-",LOOKUP(DATE(R$80,12,31),Показатели!$E$8:$T$8,Показатели!$E$59:$T$59))</f>
        <v>-</v>
      </c>
      <c r="S90" s="144" t="str">
        <f>IF(S$80&gt;YEAR('Квартальная отчетность'!$K$3),"-",LOOKUP(DATE(S$80,12,31),Показатели!$E$8:$T$8,Показатели!$E$59:$T$59))</f>
        <v>-</v>
      </c>
      <c r="T90" s="144" t="str">
        <f>IF(T$80&gt;YEAR('Квартальная отчетность'!$K$3),"-",LOOKUP(DATE(T$80,12,31),Показатели!$E$8:$T$8,Показатели!$E$59:$T$59))</f>
        <v>-</v>
      </c>
      <c r="U90" s="144" t="str">
        <f>IF(U$80&gt;YEAR('Квартальная отчетность'!$K$3),"-",LOOKUP(DATE(U$80,12,31),Показатели!$E$8:$T$8,Показатели!$E$59:$T$59))</f>
        <v>-</v>
      </c>
    </row>
    <row r="91" spans="2:22" ht="15" customHeight="1">
      <c r="B91" s="142" t="s">
        <v>142</v>
      </c>
      <c r="C91" s="135" t="s">
        <v>146</v>
      </c>
      <c r="D91" s="143"/>
      <c r="E91" s="143"/>
      <c r="F91" s="132" t="str">
        <f>IF(F$80&gt;YEAR('Квартальная отчетность'!$K$3),"-",LOOKUP(DATE(F$80,12,31),Показатели!$E$8:$T$8,Показатели!$E$77:$T$77))</f>
        <v>-</v>
      </c>
      <c r="G91" s="132" t="str">
        <f>IF(G$80&gt;YEAR('Квартальная отчетность'!$K$3),"-",LOOKUP(DATE(G$80,12,31),Показатели!$E$8:$T$8,Показатели!$E$77:$T$77))</f>
        <v>-</v>
      </c>
      <c r="H91" s="132" t="str">
        <f>IF(H$80&gt;YEAR('Квартальная отчетность'!$K$3),"-",LOOKUP(DATE(H$80,12,31),Показатели!$E$8:$T$8,Показатели!$E$77:$T$77))</f>
        <v>-</v>
      </c>
      <c r="I91" s="132" t="str">
        <f>IF(I$80&gt;YEAR('Квартальная отчетность'!$K$3),"-",LOOKUP(DATE(I$80,12,31),Показатели!$E$8:$T$8,Показатели!$E$77:$T$77))</f>
        <v>-</v>
      </c>
      <c r="J91" s="132" t="str">
        <f>IF(J$80&gt;YEAR('Квартальная отчетность'!$K$3),"-",LOOKUP(DATE(J$80,12,31),Показатели!$E$8:$T$8,Показатели!$E$77:$T$77))</f>
        <v>-</v>
      </c>
      <c r="K91" s="132" t="str">
        <f>IF(K$80&gt;YEAR('Квартальная отчетность'!$K$3),"-",LOOKUP(DATE(K$80,12,31),Показатели!$E$8:$T$8,Показатели!$E$77:$T$77))</f>
        <v>-</v>
      </c>
      <c r="L91" s="132" t="str">
        <f>IF(L$80&gt;YEAR('Квартальная отчетность'!$K$3),"-",LOOKUP(DATE(L$80,12,31),Показатели!$E$8:$T$8,Показатели!$E$77:$T$77))</f>
        <v>-</v>
      </c>
      <c r="M91" s="132" t="str">
        <f>IF(M$80&gt;YEAR('Квартальная отчетность'!$K$3),"-",LOOKUP(DATE(M$80,12,31),Показатели!$E$8:$T$8,Показатели!$E$77:$T$77))</f>
        <v>-</v>
      </c>
      <c r="N91" s="132" t="str">
        <f>IF(N$80&gt;YEAR('Квартальная отчетность'!$K$3),"-",LOOKUP(DATE(N$80,12,31),Показатели!$E$8:$T$8,Показатели!$E$77:$T$77))</f>
        <v>-</v>
      </c>
      <c r="O91" s="132" t="str">
        <f>IF(O$80&gt;YEAR('Квартальная отчетность'!$K$3),"-",LOOKUP(DATE(O$80,12,31),Показатели!$E$8:$T$8,Показатели!$E$77:$T$77))</f>
        <v>-</v>
      </c>
      <c r="P91" s="132" t="str">
        <f>IF(P$80&gt;YEAR('Квартальная отчетность'!$K$3),"-",LOOKUP(DATE(P$80,12,31),Показатели!$E$8:$T$8,Показатели!$E$77:$T$77))</f>
        <v>-</v>
      </c>
      <c r="Q91" s="132" t="str">
        <f>IF(Q$80&gt;YEAR('Квартальная отчетность'!$K$3),"-",LOOKUP(DATE(Q$80,12,31),Показатели!$E$8:$T$8,Показатели!$E$77:$T$77))</f>
        <v>-</v>
      </c>
      <c r="R91" s="132" t="str">
        <f>IF(R$80&gt;YEAR('Квартальная отчетность'!$K$3),"-",LOOKUP(DATE(R$80,12,31),Показатели!$E$8:$T$8,Показатели!$E$77:$T$77))</f>
        <v>-</v>
      </c>
      <c r="S91" s="132" t="str">
        <f>IF(S$80&gt;YEAR('Квартальная отчетность'!$K$3),"-",LOOKUP(DATE(S$80,12,31),Показатели!$E$8:$T$8,Показатели!$E$77:$T$77))</f>
        <v>-</v>
      </c>
      <c r="T91" s="132" t="str">
        <f>IF(T$80&gt;YEAR('Квартальная отчетность'!$K$3),"-",LOOKUP(DATE(T$80,12,31),Показатели!$E$8:$T$8,Показатели!$E$77:$T$77))</f>
        <v>-</v>
      </c>
      <c r="U91" s="132" t="str">
        <f>IF(U$80&gt;YEAR('Квартальная отчетность'!$K$3),"-",LOOKUP(DATE(U$80,12,31),Показатели!$E$8:$T$8,Показатели!$E$77:$T$77))</f>
        <v>-</v>
      </c>
    </row>
    <row r="92" spans="2:22" ht="15" customHeight="1">
      <c r="B92" s="142" t="s">
        <v>143</v>
      </c>
      <c r="C92" s="135" t="s">
        <v>146</v>
      </c>
      <c r="D92" s="143"/>
      <c r="E92" s="143"/>
      <c r="F92" s="132" t="str">
        <f>IF(F$80&gt;YEAR('Квартальная отчетность'!$K$3),"-",LOOKUP(DATE(F$80,12,31),Показатели!$E$8:$T$8,Показатели!$E$82:$T$82))</f>
        <v>-</v>
      </c>
      <c r="G92" s="132" t="str">
        <f>IF(G$80&gt;YEAR('Квартальная отчетность'!$K$3),"-",LOOKUP(DATE(G$80,12,31),Показатели!$E$8:$T$8,Показатели!$E$82:$T$82))</f>
        <v>-</v>
      </c>
      <c r="H92" s="132" t="str">
        <f>IF(H$80&gt;YEAR('Квартальная отчетность'!$K$3),"-",LOOKUP(DATE(H$80,12,31),Показатели!$E$8:$T$8,Показатели!$E$82:$T$82))</f>
        <v>-</v>
      </c>
      <c r="I92" s="132" t="str">
        <f>IF(I$80&gt;YEAR('Квартальная отчетность'!$K$3),"-",LOOKUP(DATE(I$80,12,31),Показатели!$E$8:$T$8,Показатели!$E$82:$T$82))</f>
        <v>-</v>
      </c>
      <c r="J92" s="132" t="str">
        <f>IF(J$80&gt;YEAR('Квартальная отчетность'!$K$3),"-",LOOKUP(DATE(J$80,12,31),Показатели!$E$8:$T$8,Показатели!$E$82:$T$82))</f>
        <v>-</v>
      </c>
      <c r="K92" s="132" t="str">
        <f>IF(K$80&gt;YEAR('Квартальная отчетность'!$K$3),"-",LOOKUP(DATE(K$80,12,31),Показатели!$E$8:$T$8,Показатели!$E$82:$T$82))</f>
        <v>-</v>
      </c>
      <c r="L92" s="132" t="str">
        <f>IF(L$80&gt;YEAR('Квартальная отчетность'!$K$3),"-",LOOKUP(DATE(L$80,12,31),Показатели!$E$8:$T$8,Показатели!$E$82:$T$82))</f>
        <v>-</v>
      </c>
      <c r="M92" s="132" t="str">
        <f>IF(M$80&gt;YEAR('Квартальная отчетность'!$K$3),"-",LOOKUP(DATE(M$80,12,31),Показатели!$E$8:$T$8,Показатели!$E$82:$T$82))</f>
        <v>-</v>
      </c>
      <c r="N92" s="132" t="str">
        <f>IF(N$80&gt;YEAR('Квартальная отчетность'!$K$3),"-",LOOKUP(DATE(N$80,12,31),Показатели!$E$8:$T$8,Показатели!$E$82:$T$82))</f>
        <v>-</v>
      </c>
      <c r="O92" s="132" t="str">
        <f>IF(O$80&gt;YEAR('Квартальная отчетность'!$K$3),"-",LOOKUP(DATE(O$80,12,31),Показатели!$E$8:$T$8,Показатели!$E$82:$T$82))</f>
        <v>-</v>
      </c>
      <c r="P92" s="132" t="str">
        <f>IF(P$80&gt;YEAR('Квартальная отчетность'!$K$3),"-",LOOKUP(DATE(P$80,12,31),Показатели!$E$8:$T$8,Показатели!$E$82:$T$82))</f>
        <v>-</v>
      </c>
      <c r="Q92" s="132" t="str">
        <f>IF(Q$80&gt;YEAR('Квартальная отчетность'!$K$3),"-",LOOKUP(DATE(Q$80,12,31),Показатели!$E$8:$T$8,Показатели!$E$82:$T$82))</f>
        <v>-</v>
      </c>
      <c r="R92" s="132" t="str">
        <f>IF(R$80&gt;YEAR('Квартальная отчетность'!$K$3),"-",LOOKUP(DATE(R$80,12,31),Показатели!$E$8:$T$8,Показатели!$E$82:$T$82))</f>
        <v>-</v>
      </c>
      <c r="S92" s="132" t="str">
        <f>IF(S$80&gt;YEAR('Квартальная отчетность'!$K$3),"-",LOOKUP(DATE(S$80,12,31),Показатели!$E$8:$T$8,Показатели!$E$82:$T$82))</f>
        <v>-</v>
      </c>
      <c r="T92" s="132" t="str">
        <f>IF(T$80&gt;YEAR('Квартальная отчетность'!$K$3),"-",LOOKUP(DATE(T$80,12,31),Показатели!$E$8:$T$8,Показатели!$E$82:$T$82))</f>
        <v>-</v>
      </c>
      <c r="U92" s="132" t="str">
        <f>IF(U$80&gt;YEAR('Квартальная отчетность'!$K$3),"-",LOOKUP(DATE(U$80,12,31),Показатели!$E$8:$T$8,Показатели!$E$82:$T$82))</f>
        <v>-</v>
      </c>
    </row>
    <row r="93" spans="2:22" ht="15" customHeight="1"/>
    <row r="94" spans="2:22" ht="15" hidden="1" customHeight="1"/>
    <row r="95" spans="2:22" ht="15" hidden="1" customHeight="1"/>
    <row r="96" spans="2:22" ht="15" hidden="1" customHeight="1"/>
    <row r="97" ht="15" hidden="1" customHeight="1"/>
    <row r="98" ht="15" hidden="1" customHeight="1"/>
    <row r="99" ht="15" hidden="1" customHeight="1"/>
    <row r="100" ht="15" hidden="1" customHeight="1"/>
    <row r="101" ht="15" hidden="1" customHeight="1"/>
    <row r="102" ht="15" hidden="1" customHeight="1"/>
    <row r="103" ht="15" hidden="1" customHeight="1"/>
    <row r="104" ht="15" hidden="1" customHeight="1"/>
    <row r="105" ht="15" hidden="1" customHeight="1"/>
    <row r="106" ht="15" hidden="1" customHeight="1"/>
    <row r="107" ht="15" hidden="1" customHeight="1"/>
    <row r="108" ht="15" hidden="1" customHeight="1"/>
    <row r="109" ht="15" hidden="1" customHeight="1"/>
    <row r="110" ht="15" hidden="1" customHeight="1"/>
    <row r="111" ht="15" hidden="1" customHeight="1"/>
    <row r="112" ht="15" hidden="1" customHeight="1"/>
    <row r="113" ht="15" hidden="1" customHeight="1"/>
    <row r="114" ht="15" hidden="1" customHeight="1"/>
    <row r="115" ht="15" hidden="1" customHeight="1"/>
    <row r="116" ht="15" hidden="1" customHeight="1"/>
    <row r="117" ht="15" hidden="1" customHeight="1"/>
    <row r="118" ht="15" hidden="1" customHeight="1"/>
    <row r="119" ht="15" hidden="1" customHeight="1"/>
    <row r="120" ht="15" hidden="1" customHeight="1"/>
    <row r="121" ht="15" hidden="1" customHeight="1"/>
    <row r="122" ht="15" hidden="1" customHeight="1"/>
    <row r="123" ht="15" hidden="1" customHeight="1"/>
    <row r="124" ht="15" hidden="1" customHeight="1"/>
    <row r="125" ht="15" hidden="1" customHeight="1"/>
    <row r="126" ht="15" hidden="1" customHeight="1"/>
    <row r="127" ht="15" hidden="1" customHeight="1"/>
    <row r="128" ht="15" hidden="1" customHeight="1"/>
    <row r="129" ht="15" hidden="1" customHeight="1"/>
    <row r="130" ht="15" hidden="1" customHeight="1"/>
    <row r="131" ht="15" hidden="1" customHeight="1"/>
    <row r="132" ht="15" hidden="1" customHeight="1"/>
    <row r="133" ht="15" hidden="1" customHeight="1"/>
    <row r="134" ht="15" hidden="1" customHeight="1"/>
    <row r="135" ht="15" hidden="1" customHeight="1"/>
    <row r="136" ht="15" hidden="1" customHeight="1"/>
    <row r="137" ht="15" hidden="1" customHeight="1"/>
    <row r="138" ht="15" hidden="1" customHeight="1"/>
    <row r="139" ht="15" hidden="1" customHeight="1"/>
    <row r="140" ht="15" hidden="1" customHeight="1"/>
    <row r="141" ht="15" hidden="1" customHeight="1"/>
    <row r="142" ht="15" hidden="1" customHeight="1"/>
    <row r="143" ht="15" hidden="1" customHeight="1"/>
    <row r="144" ht="15" hidden="1" customHeight="1"/>
    <row r="145" ht="15" hidden="1" customHeight="1"/>
    <row r="146" ht="15" hidden="1" customHeight="1"/>
    <row r="147" ht="15" hidden="1" customHeight="1"/>
    <row r="148" ht="15" hidden="1" customHeight="1"/>
    <row r="149" ht="15" hidden="1" customHeight="1"/>
    <row r="150" ht="15" hidden="1" customHeight="1"/>
    <row r="151" ht="15" hidden="1" customHeight="1"/>
    <row r="152" ht="15" hidden="1" customHeight="1"/>
    <row r="153" ht="15" hidden="1" customHeight="1"/>
    <row r="154" ht="15" hidden="1" customHeight="1"/>
    <row r="155" ht="15" hidden="1" customHeight="1"/>
    <row r="156" ht="15" hidden="1" customHeight="1"/>
    <row r="157" ht="15" hidden="1" customHeight="1"/>
    <row r="158" ht="15" hidden="1" customHeight="1"/>
    <row r="159" ht="15" hidden="1" customHeight="1"/>
    <row r="160" ht="15" hidden="1" customHeight="1"/>
    <row r="161" ht="15" hidden="1" customHeight="1"/>
    <row r="162" ht="15" hidden="1" customHeight="1"/>
    <row r="163" ht="15" hidden="1" customHeight="1"/>
    <row r="164" ht="15" hidden="1" customHeight="1"/>
    <row r="165" ht="15" hidden="1" customHeight="1"/>
    <row r="166" ht="15" hidden="1" customHeight="1"/>
    <row r="167" ht="15" hidden="1" customHeight="1"/>
    <row r="168" ht="15" hidden="1" customHeight="1"/>
    <row r="169" ht="15" hidden="1" customHeight="1"/>
    <row r="170" ht="15" hidden="1" customHeight="1"/>
    <row r="171" ht="15" hidden="1" customHeight="1"/>
    <row r="172" ht="15" hidden="1" customHeight="1"/>
    <row r="173" ht="15" hidden="1" customHeight="1"/>
    <row r="174" ht="15" hidden="1" customHeight="1"/>
    <row r="175" ht="15" hidden="1" customHeight="1"/>
    <row r="176" ht="15" hidden="1" customHeight="1"/>
    <row r="177" ht="15" hidden="1" customHeight="1"/>
    <row r="178" ht="15" hidden="1" customHeight="1"/>
    <row r="179" ht="15" hidden="1" customHeight="1"/>
    <row r="180" ht="15" hidden="1" customHeight="1"/>
    <row r="181" ht="15" hidden="1" customHeight="1"/>
    <row r="182" ht="15" hidden="1" customHeight="1"/>
    <row r="183" ht="15" hidden="1" customHeight="1"/>
    <row r="184" ht="15" hidden="1" customHeight="1"/>
    <row r="185" ht="15" hidden="1" customHeight="1"/>
    <row r="186" ht="15" hidden="1" customHeight="1"/>
    <row r="187" ht="15" hidden="1" customHeight="1"/>
    <row r="188" ht="15" hidden="1" customHeight="1"/>
    <row r="189" ht="15" hidden="1" customHeight="1"/>
    <row r="190" ht="15" hidden="1" customHeight="1"/>
    <row r="191" ht="15" hidden="1" customHeight="1"/>
    <row r="192" ht="15" hidden="1" customHeight="1"/>
    <row r="193" ht="15" hidden="1" customHeight="1"/>
    <row r="194" ht="15" hidden="1" customHeight="1"/>
    <row r="195" ht="15" hidden="1" customHeight="1"/>
    <row r="196" ht="15" hidden="1" customHeight="1"/>
    <row r="197" ht="15" hidden="1" customHeight="1"/>
    <row r="198" ht="15" hidden="1" customHeight="1"/>
    <row r="199" ht="15" hidden="1" customHeight="1"/>
    <row r="200" ht="15" hidden="1" customHeight="1"/>
    <row r="201" ht="15" hidden="1" customHeight="1"/>
    <row r="202" ht="15" hidden="1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</sheetData>
  <sheetProtection algorithmName="SHA-512" hashValue="io6I3SYO69g4KyfSjTacXP4jR/VgX471j9P6zg8dBmYJ0HULUKZ1u1Gr5J3SsY2sfS/vOIBa4ZktAV/q7pzqWg==" saltValue="sFrvEzgv2xqOIDihVAqvTg==" spinCount="100000" sheet="1" objects="1" scenarios="1"/>
  <dataConsolidate link="1"/>
  <mergeCells count="122">
    <mergeCell ref="B51:B52"/>
    <mergeCell ref="C51:C52"/>
    <mergeCell ref="J80:J81"/>
    <mergeCell ref="B64:B65"/>
    <mergeCell ref="C64:C65"/>
    <mergeCell ref="D64:D65"/>
    <mergeCell ref="E64:E65"/>
    <mergeCell ref="F64:F65"/>
    <mergeCell ref="G64:G65"/>
    <mergeCell ref="H64:H65"/>
    <mergeCell ref="I64:I65"/>
    <mergeCell ref="J64:J65"/>
    <mergeCell ref="E80:E81"/>
    <mergeCell ref="F80:F81"/>
    <mergeCell ref="G80:G81"/>
    <mergeCell ref="H80:H81"/>
    <mergeCell ref="I80:I81"/>
    <mergeCell ref="B80:B81"/>
    <mergeCell ref="C80:C81"/>
    <mergeCell ref="B9:B10"/>
    <mergeCell ref="C9:C10"/>
    <mergeCell ref="D9:D10"/>
    <mergeCell ref="G42:G43"/>
    <mergeCell ref="H42:H43"/>
    <mergeCell ref="G17:G18"/>
    <mergeCell ref="B17:B18"/>
    <mergeCell ref="C17:C18"/>
    <mergeCell ref="D80:D81"/>
    <mergeCell ref="G9:G10"/>
    <mergeCell ref="B28:B29"/>
    <mergeCell ref="C28:C29"/>
    <mergeCell ref="D28:D29"/>
    <mergeCell ref="E28:E29"/>
    <mergeCell ref="F28:F29"/>
    <mergeCell ref="B42:B43"/>
    <mergeCell ref="C42:C43"/>
    <mergeCell ref="E9:E10"/>
    <mergeCell ref="F9:F10"/>
    <mergeCell ref="G28:G29"/>
    <mergeCell ref="H28:H29"/>
    <mergeCell ref="D42:D43"/>
    <mergeCell ref="E42:E43"/>
    <mergeCell ref="F42:F43"/>
    <mergeCell ref="D2:M3"/>
    <mergeCell ref="C2:C3"/>
    <mergeCell ref="D51:D52"/>
    <mergeCell ref="E51:E52"/>
    <mergeCell ref="F51:F52"/>
    <mergeCell ref="J42:J43"/>
    <mergeCell ref="I42:I43"/>
    <mergeCell ref="G51:G52"/>
    <mergeCell ref="H51:H52"/>
    <mergeCell ref="I51:I52"/>
    <mergeCell ref="I28:I29"/>
    <mergeCell ref="J28:J29"/>
    <mergeCell ref="H9:H10"/>
    <mergeCell ref="I9:I10"/>
    <mergeCell ref="D17:D18"/>
    <mergeCell ref="E17:E18"/>
    <mergeCell ref="F17:F18"/>
    <mergeCell ref="J51:J52"/>
    <mergeCell ref="J9:J10"/>
    <mergeCell ref="N9:N10"/>
    <mergeCell ref="O9:O10"/>
    <mergeCell ref="L80:L81"/>
    <mergeCell ref="M80:M81"/>
    <mergeCell ref="K28:K29"/>
    <mergeCell ref="K42:K43"/>
    <mergeCell ref="N64:N65"/>
    <mergeCell ref="O64:O65"/>
    <mergeCell ref="P64:P65"/>
    <mergeCell ref="K51:K52"/>
    <mergeCell ref="K64:K65"/>
    <mergeCell ref="L28:L29"/>
    <mergeCell ref="M28:M29"/>
    <mergeCell ref="L42:L43"/>
    <mergeCell ref="M42:M43"/>
    <mergeCell ref="L51:L52"/>
    <mergeCell ref="M51:M52"/>
    <mergeCell ref="L64:L65"/>
    <mergeCell ref="M9:M10"/>
    <mergeCell ref="M64:M65"/>
    <mergeCell ref="K9:K10"/>
    <mergeCell ref="L9:L10"/>
    <mergeCell ref="K80:K81"/>
    <mergeCell ref="N28:N29"/>
    <mergeCell ref="O28:O29"/>
    <mergeCell ref="P28:P29"/>
    <mergeCell ref="Q28:Q29"/>
    <mergeCell ref="R28:R29"/>
    <mergeCell ref="S28:S29"/>
    <mergeCell ref="T28:T29"/>
    <mergeCell ref="U28:U29"/>
    <mergeCell ref="S42:S43"/>
    <mergeCell ref="T42:T43"/>
    <mergeCell ref="U42:U43"/>
    <mergeCell ref="N42:N43"/>
    <mergeCell ref="O42:O43"/>
    <mergeCell ref="P42:P43"/>
    <mergeCell ref="Q42:Q43"/>
    <mergeCell ref="R42:R43"/>
    <mergeCell ref="N80:N81"/>
    <mergeCell ref="O80:O81"/>
    <mergeCell ref="P80:P81"/>
    <mergeCell ref="Q80:Q81"/>
    <mergeCell ref="R80:R81"/>
    <mergeCell ref="S80:S81"/>
    <mergeCell ref="T80:T81"/>
    <mergeCell ref="U80:U81"/>
    <mergeCell ref="N51:N52"/>
    <mergeCell ref="O51:O52"/>
    <mergeCell ref="P51:P52"/>
    <mergeCell ref="Q51:Q52"/>
    <mergeCell ref="R51:R52"/>
    <mergeCell ref="S51:S52"/>
    <mergeCell ref="T51:T52"/>
    <mergeCell ref="U51:U52"/>
    <mergeCell ref="S64:S65"/>
    <mergeCell ref="T64:T65"/>
    <mergeCell ref="U64:U65"/>
    <mergeCell ref="Q64:Q65"/>
    <mergeCell ref="R64:R65"/>
  </mergeCells>
  <dataValidations count="1">
    <dataValidation type="list" allowBlank="1" showInputMessage="1" showErrorMessage="1" sqref="O5">
      <formula1>$P$4:$P$5</formula1>
    </dataValidation>
  </dataValidations>
  <pageMargins left="0.70866141732283472" right="0.70866141732283472" top="0.74803149606299213" bottom="0.74803149606299213" header="0.31496062992125984" footer="0.31496062992125984"/>
  <pageSetup paperSize="9" scale="52" fitToHeight="0" orientation="landscape" r:id="rId1"/>
  <rowBreaks count="2" manualBreakCount="2">
    <brk id="24" min="1" max="13" man="1"/>
    <brk id="77" min="1" max="13" man="1"/>
  </rowBreaks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2C7DBB07-515A-4D5E-89DA-3D81ACCD9141}">
            <xm:f>'Параметры займа'!$E$7&lt;&gt;"Лизинг"</xm:f>
            <x14:dxf>
              <fill>
                <patternFill patternType="lightGray">
                  <bgColor theme="0"/>
                </patternFill>
              </fill>
            </x14:dxf>
          </x14:cfRule>
          <xm:sqref>B22:G22</xm:sqref>
        </x14:conditionalFormatting>
      </x14:conditionalFormatting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1">
    <tabColor rgb="FFC8E6E5"/>
  </sheetPr>
  <dimension ref="A1:AZ59"/>
  <sheetViews>
    <sheetView showGridLines="0" zoomScale="80" zoomScaleNormal="80" workbookViewId="0">
      <pane ySplit="5" topLeftCell="A6" activePane="bottomLeft" state="frozen"/>
      <selection activeCell="K3" sqref="K3"/>
      <selection pane="bottomLeft" activeCell="B5" sqref="B5"/>
    </sheetView>
  </sheetViews>
  <sheetFormatPr defaultColWidth="0" defaultRowHeight="15" customHeight="1" zeroHeight="1"/>
  <cols>
    <col min="1" max="1" width="2.7109375" customWidth="1"/>
    <col min="2" max="2" width="50.140625" customWidth="1"/>
    <col min="3" max="7" width="17.140625" customWidth="1"/>
    <col min="8" max="8" width="2.7109375" customWidth="1"/>
    <col min="9" max="29" width="15.7109375" hidden="1" customWidth="1"/>
    <col min="30" max="30" width="2.85546875" hidden="1" customWidth="1"/>
    <col min="31" max="35" width="15.7109375" hidden="1" customWidth="1"/>
    <col min="36" max="36" width="2.85546875" hidden="1" customWidth="1"/>
    <col min="37" max="52" width="0" hidden="1" customWidth="1"/>
    <col min="53" max="16384" width="9.140625" hidden="1"/>
  </cols>
  <sheetData>
    <row r="1" spans="2:35" ht="15" customHeight="1"/>
    <row r="2" spans="2:35">
      <c r="D2" s="520" t="s">
        <v>401</v>
      </c>
      <c r="E2" s="521"/>
      <c r="F2" s="521"/>
      <c r="G2" s="522"/>
    </row>
    <row r="3" spans="2:35" ht="15" customHeight="1">
      <c r="D3" s="65" t="s">
        <v>250</v>
      </c>
      <c r="E3" s="65" t="s">
        <v>28</v>
      </c>
      <c r="F3" s="65" t="s">
        <v>1</v>
      </c>
      <c r="G3" s="65" t="s">
        <v>172</v>
      </c>
    </row>
    <row r="4" spans="2:35" ht="15" customHeight="1">
      <c r="D4" s="511" t="str">
        <f>IF(G4="R","Все расчёты корректны","Имеются некорректные данные")</f>
        <v>Имеются некорректные данные</v>
      </c>
      <c r="E4" s="512"/>
      <c r="F4" s="513"/>
      <c r="G4" s="73" t="str">
        <f>Проверка</f>
        <v>Q</v>
      </c>
    </row>
    <row r="5" spans="2:35" ht="31.5">
      <c r="B5" s="7" t="s">
        <v>122</v>
      </c>
      <c r="C5" s="7"/>
      <c r="D5" s="7"/>
      <c r="E5" s="7"/>
      <c r="F5" s="7"/>
      <c r="H5" s="7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</row>
    <row r="6" spans="2:35" ht="15" customHeight="1"/>
    <row r="7" spans="2:35" ht="21">
      <c r="B7" s="89" t="s">
        <v>298</v>
      </c>
      <c r="C7" s="89"/>
      <c r="D7" s="89"/>
      <c r="E7" s="89"/>
      <c r="F7" s="89"/>
      <c r="G7" s="88"/>
      <c r="H7" s="21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</row>
    <row r="8" spans="2:35" ht="15" customHeight="1">
      <c r="B8" s="410" t="s">
        <v>122</v>
      </c>
      <c r="C8" s="411"/>
      <c r="D8" s="411"/>
      <c r="E8" s="411"/>
      <c r="F8" s="412"/>
      <c r="G8" s="229" t="s">
        <v>123</v>
      </c>
    </row>
    <row r="9" spans="2:35" ht="15" customHeight="1">
      <c r="B9" s="547" t="s">
        <v>302</v>
      </c>
      <c r="C9" s="548"/>
      <c r="D9" s="548"/>
      <c r="E9" s="548"/>
      <c r="F9" s="549"/>
      <c r="G9" s="102" t="str">
        <f>'Параметры займа'!D12</f>
        <v>R</v>
      </c>
    </row>
    <row r="10" spans="2:35" ht="15" customHeight="1">
      <c r="B10" s="544" t="s">
        <v>299</v>
      </c>
      <c r="C10" s="545"/>
      <c r="D10" s="545"/>
      <c r="E10" s="545"/>
      <c r="F10" s="546"/>
      <c r="G10" s="73" t="str">
        <f>'Параметры займа'!D13</f>
        <v>R</v>
      </c>
    </row>
    <row r="11" spans="2:35" ht="15" customHeight="1">
      <c r="B11" s="544" t="s">
        <v>783</v>
      </c>
      <c r="C11" s="545"/>
      <c r="D11" s="545"/>
      <c r="E11" s="545"/>
      <c r="F11" s="546"/>
      <c r="G11" s="73" t="str">
        <f>'Параметры займа'!E15</f>
        <v>R</v>
      </c>
    </row>
    <row r="12" spans="2:35" ht="15" customHeight="1">
      <c r="B12" s="88"/>
      <c r="C12" s="88"/>
      <c r="D12" s="88"/>
      <c r="E12" s="88"/>
      <c r="F12" s="88"/>
      <c r="G12" s="88"/>
    </row>
    <row r="13" spans="2:35" ht="21">
      <c r="B13" s="89" t="s">
        <v>247</v>
      </c>
      <c r="C13" s="89"/>
      <c r="D13" s="89"/>
      <c r="E13" s="89"/>
      <c r="F13" s="89"/>
      <c r="H13" s="21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</row>
    <row r="14" spans="2:35" ht="15" customHeight="1">
      <c r="B14" s="410" t="s">
        <v>122</v>
      </c>
      <c r="C14" s="411"/>
      <c r="D14" s="411"/>
      <c r="E14" s="411"/>
      <c r="F14" s="412"/>
      <c r="G14" s="229" t="s">
        <v>123</v>
      </c>
    </row>
    <row r="15" spans="2:35" ht="15" customHeight="1">
      <c r="B15" s="544" t="s">
        <v>500</v>
      </c>
      <c r="C15" s="545"/>
      <c r="D15" s="545"/>
      <c r="E15" s="545"/>
      <c r="F15" s="546"/>
      <c r="G15" s="145" t="str">
        <f>IF(ISERROR(VLOOKUP("Q",Предпосылки!BS31:BS70,1,FALSE))=TRUE,"R","Q")</f>
        <v>R</v>
      </c>
    </row>
    <row r="16" spans="2:35" ht="15" customHeight="1">
      <c r="B16" s="544" t="str">
        <f>"Сумма погашения "&amp;Предпосылки!$C$194&amp;" не превышает сумму привлечения"</f>
        <v>Сумма погашения  не превышает сумму привлечения</v>
      </c>
      <c r="C16" s="545"/>
      <c r="D16" s="545"/>
      <c r="E16" s="545"/>
      <c r="F16" s="546"/>
      <c r="G16" s="119" t="str">
        <f>Предпосылки!C205</f>
        <v>R</v>
      </c>
    </row>
    <row r="17" spans="2:20" ht="15" customHeight="1">
      <c r="B17" s="544" t="str">
        <f>"Сумма погашения "&amp;Предпосылки!$C$209&amp;" не превышает сумму привлечения"</f>
        <v>Сумма погашения  не превышает сумму привлечения</v>
      </c>
      <c r="C17" s="545"/>
      <c r="D17" s="545"/>
      <c r="E17" s="545"/>
      <c r="F17" s="546"/>
      <c r="G17" s="119" t="str">
        <f>Предпосылки!C220</f>
        <v>R</v>
      </c>
    </row>
    <row r="18" spans="2:20" ht="15" customHeight="1">
      <c r="B18" s="544" t="s">
        <v>425</v>
      </c>
      <c r="C18" s="545"/>
      <c r="D18" s="545"/>
      <c r="E18" s="545"/>
      <c r="F18" s="546"/>
      <c r="G18" s="119" t="str">
        <f>Предпосылки!F255</f>
        <v>R</v>
      </c>
    </row>
    <row r="19" spans="2:20" ht="15" customHeight="1">
      <c r="B19" s="544" t="s">
        <v>598</v>
      </c>
      <c r="C19" s="545"/>
      <c r="D19" s="545"/>
      <c r="E19" s="545"/>
      <c r="F19" s="546"/>
      <c r="G19" s="119" t="str">
        <f>Предпосылки!C308</f>
        <v>Q</v>
      </c>
    </row>
    <row r="20" spans="2:20" ht="15" customHeight="1">
      <c r="B20" s="88"/>
      <c r="C20" s="88"/>
      <c r="D20" s="88"/>
      <c r="E20" s="88"/>
      <c r="F20" s="88"/>
      <c r="G20" s="37"/>
    </row>
    <row r="21" spans="2:20" ht="21">
      <c r="B21" s="89" t="s">
        <v>248</v>
      </c>
      <c r="C21" s="89"/>
      <c r="D21" s="89"/>
      <c r="E21" s="89"/>
      <c r="F21" s="89"/>
      <c r="G21" s="37"/>
      <c r="H21" s="21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</row>
    <row r="22" spans="2:20" ht="15" customHeight="1">
      <c r="B22" s="410" t="s">
        <v>122</v>
      </c>
      <c r="C22" s="411"/>
      <c r="D22" s="411"/>
      <c r="E22" s="411"/>
      <c r="F22" s="412"/>
      <c r="G22" s="237" t="s">
        <v>123</v>
      </c>
    </row>
    <row r="23" spans="2:20" ht="15" customHeight="1">
      <c r="B23" s="544" t="s">
        <v>363</v>
      </c>
      <c r="C23" s="545"/>
      <c r="D23" s="545"/>
      <c r="E23" s="545"/>
      <c r="F23" s="546"/>
      <c r="G23" s="119" t="str">
        <f>'Квартальная отчетность'!D118</f>
        <v>R</v>
      </c>
    </row>
    <row r="24" spans="2:20" ht="15" customHeight="1">
      <c r="B24" s="544" t="s">
        <v>364</v>
      </c>
      <c r="C24" s="545"/>
      <c r="D24" s="545"/>
      <c r="E24" s="545"/>
      <c r="F24" s="546"/>
      <c r="G24" s="119" t="str">
        <f>'Квартальная отчетность'!D175</f>
        <v>R</v>
      </c>
    </row>
    <row r="25" spans="2:20" ht="15" customHeight="1">
      <c r="B25" s="323" t="s">
        <v>572</v>
      </c>
      <c r="C25" s="324"/>
      <c r="D25" s="324"/>
      <c r="E25" s="324"/>
      <c r="F25" s="325"/>
      <c r="G25" s="119" t="str">
        <f>'Квартальная отчетность'!D119</f>
        <v>Q</v>
      </c>
    </row>
    <row r="26" spans="2:20" ht="15" customHeight="1">
      <c r="B26" s="544" t="str">
        <f>'Квартальная отчетность'!B120:C120</f>
        <v>Проверка учета погашения займа Фонда и лизинга в рамках проекта в прогнозе платежей</v>
      </c>
      <c r="C26" s="545"/>
      <c r="D26" s="545"/>
      <c r="E26" s="545"/>
      <c r="F26" s="546"/>
      <c r="G26" s="119" t="str">
        <f>'Квартальная отчетность'!D120</f>
        <v>Q</v>
      </c>
    </row>
    <row r="27" spans="2:20" ht="15" customHeight="1">
      <c r="B27" s="88"/>
      <c r="C27" s="88"/>
      <c r="D27" s="88"/>
      <c r="E27" s="88"/>
      <c r="F27" s="88"/>
      <c r="G27" s="37"/>
    </row>
    <row r="28" spans="2:20" ht="15" customHeight="1">
      <c r="B28" s="541" t="s">
        <v>124</v>
      </c>
      <c r="C28" s="542"/>
      <c r="D28" s="542"/>
      <c r="E28" s="542"/>
      <c r="F28" s="543"/>
      <c r="G28" s="119" t="str">
        <f>IF(COUNTIF(G8:G27,"Q")&gt;0,"Q","R")</f>
        <v>Q</v>
      </c>
    </row>
    <row r="29" spans="2:20" ht="15" customHeight="1"/>
    <row r="30" spans="2:20" ht="15" customHeight="1"/>
    <row r="31" spans="2:20" ht="15" customHeight="1"/>
    <row r="32" spans="2:20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</sheetData>
  <sheetProtection algorithmName="SHA-512" hashValue="pvgap3yZcyhT+KDIm5VU56gVi2efX22K2zOcrY5u0XzbhDTrpSj71edjFaWH+vvpZ76yEz/VxsGIYEEDpnoceA==" saltValue="O5Fe0oGvx3Bgf7j5fmTG+g==" spinCount="100000" sheet="1" objects="1" scenarios="1"/>
  <dataConsolidate link="1"/>
  <mergeCells count="17">
    <mergeCell ref="B15:F15"/>
    <mergeCell ref="B28:F28"/>
    <mergeCell ref="D2:G2"/>
    <mergeCell ref="D4:F4"/>
    <mergeCell ref="B23:F23"/>
    <mergeCell ref="B24:F24"/>
    <mergeCell ref="B26:F26"/>
    <mergeCell ref="B22:F22"/>
    <mergeCell ref="B16:F16"/>
    <mergeCell ref="B17:F17"/>
    <mergeCell ref="B18:F18"/>
    <mergeCell ref="B8:F8"/>
    <mergeCell ref="B14:F14"/>
    <mergeCell ref="B9:F9"/>
    <mergeCell ref="B10:F10"/>
    <mergeCell ref="B11:F11"/>
    <mergeCell ref="B19:F19"/>
  </mergeCells>
  <conditionalFormatting sqref="G23:G26 G15:G19 G9:G11">
    <cfRule type="cellIs" dxfId="61" priority="63" operator="equal">
      <formula>"Q"</formula>
    </cfRule>
    <cfRule type="cellIs" dxfId="60" priority="64" operator="equal">
      <formula>"R"</formula>
    </cfRule>
  </conditionalFormatting>
  <conditionalFormatting sqref="G28">
    <cfRule type="cellIs" dxfId="59" priority="45" operator="equal">
      <formula>"Q"</formula>
    </cfRule>
    <cfRule type="cellIs" dxfId="58" priority="46" operator="equal">
      <formula>"R"</formula>
    </cfRule>
  </conditionalFormatting>
  <conditionalFormatting sqref="G4">
    <cfRule type="cellIs" dxfId="57" priority="5" operator="equal">
      <formula>"Q"</formula>
    </cfRule>
    <cfRule type="cellIs" dxfId="56" priority="6" operator="equal">
      <formula>"R"</formula>
    </cfRule>
  </conditionalFormatting>
  <conditionalFormatting sqref="D4">
    <cfRule type="expression" dxfId="55" priority="3">
      <formula>$G$4="Q"</formula>
    </cfRule>
    <cfRule type="expression" dxfId="54" priority="4">
      <formula>$G$4="R"</formula>
    </cfRule>
  </conditionalFormatting>
  <hyperlinks>
    <hyperlink ref="D4:F4" location="Проверка!A1" tooltip="Перейти на лист Проверка" display="Проверка!A1"/>
    <hyperlink ref="D3" location="Руководство!A1" tooltip="Перейти на лист Руководство" display="Руководство"/>
    <hyperlink ref="E3" location="'Параметры займа'!A1" tooltip="Перейти на лист Параметры займа" display="Параметры займа"/>
    <hyperlink ref="F3" location="Предпосылки!A1" tooltip="Перейти на лист Предпосылки" display="Предпосылки"/>
    <hyperlink ref="G3" location="Выводы!A1" tooltip="Перейти на лист Выводы" display="Выводы"/>
    <hyperlink ref="G4" location="Проверка!A1" tooltip="Перейти на лист Проверка" display="Проверка!A1"/>
    <hyperlink ref="D2:G2" r:id="rId1" tooltip="Написать в Техподдержку" display="Техподдержка финансовой модели Фонда: fm@frprf.ru"/>
  </hyperlinks>
  <pageMargins left="0.7" right="0.7" top="0.75" bottom="0.75" header="0.3" footer="0.3"/>
  <pageSetup paperSize="9" orientation="portrait" r:id="rId2"/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8"/>
  <dimension ref="B3:NC141"/>
  <sheetViews>
    <sheetView workbookViewId="0">
      <selection activeCell="C10" sqref="C10"/>
    </sheetView>
  </sheetViews>
  <sheetFormatPr defaultRowHeight="15"/>
  <cols>
    <col min="2" max="2" width="24.140625" bestFit="1" customWidth="1"/>
    <col min="3" max="3" width="10.42578125" bestFit="1" customWidth="1"/>
    <col min="4" max="63" width="10.140625" bestFit="1" customWidth="1"/>
    <col min="64" max="75" width="9.85546875" bestFit="1" customWidth="1"/>
  </cols>
  <sheetData>
    <row r="3" spans="2:367">
      <c r="B3">
        <v>0</v>
      </c>
      <c r="C3">
        <v>1</v>
      </c>
      <c r="D3">
        <v>2</v>
      </c>
      <c r="E3">
        <v>3</v>
      </c>
      <c r="F3">
        <v>4</v>
      </c>
      <c r="G3">
        <v>5</v>
      </c>
      <c r="H3">
        <v>6</v>
      </c>
      <c r="I3">
        <v>7</v>
      </c>
      <c r="J3">
        <v>8</v>
      </c>
      <c r="K3">
        <v>9</v>
      </c>
      <c r="L3">
        <v>10</v>
      </c>
      <c r="M3">
        <v>11</v>
      </c>
      <c r="N3">
        <v>12</v>
      </c>
      <c r="O3">
        <v>13</v>
      </c>
      <c r="P3">
        <v>14</v>
      </c>
      <c r="Q3">
        <v>15</v>
      </c>
      <c r="R3">
        <v>16</v>
      </c>
      <c r="S3">
        <v>17</v>
      </c>
      <c r="T3">
        <v>18</v>
      </c>
      <c r="U3">
        <v>19</v>
      </c>
      <c r="V3">
        <v>20</v>
      </c>
      <c r="W3">
        <v>21</v>
      </c>
      <c r="X3">
        <v>22</v>
      </c>
      <c r="Y3">
        <v>23</v>
      </c>
      <c r="Z3">
        <v>24</v>
      </c>
      <c r="AA3">
        <v>25</v>
      </c>
      <c r="AB3">
        <v>26</v>
      </c>
      <c r="AC3">
        <v>27</v>
      </c>
      <c r="AD3">
        <v>28</v>
      </c>
      <c r="AE3">
        <v>29</v>
      </c>
      <c r="AF3">
        <v>30</v>
      </c>
      <c r="AG3">
        <v>31</v>
      </c>
      <c r="AH3">
        <v>32</v>
      </c>
      <c r="AI3">
        <v>33</v>
      </c>
      <c r="AJ3">
        <v>34</v>
      </c>
      <c r="AK3">
        <v>35</v>
      </c>
      <c r="AL3">
        <v>36</v>
      </c>
      <c r="AM3">
        <v>37</v>
      </c>
      <c r="AN3">
        <v>38</v>
      </c>
      <c r="AO3">
        <v>39</v>
      </c>
      <c r="AP3">
        <v>40</v>
      </c>
      <c r="AQ3">
        <v>41</v>
      </c>
      <c r="AR3">
        <v>42</v>
      </c>
      <c r="AS3">
        <v>43</v>
      </c>
      <c r="AT3">
        <v>44</v>
      </c>
      <c r="AU3">
        <v>45</v>
      </c>
      <c r="AV3">
        <v>46</v>
      </c>
      <c r="AW3">
        <v>47</v>
      </c>
      <c r="AX3">
        <v>48</v>
      </c>
      <c r="AY3">
        <v>49</v>
      </c>
      <c r="AZ3">
        <v>50</v>
      </c>
      <c r="BA3">
        <v>51</v>
      </c>
      <c r="BB3">
        <v>52</v>
      </c>
      <c r="BC3">
        <v>53</v>
      </c>
      <c r="BD3">
        <v>54</v>
      </c>
      <c r="BE3">
        <v>55</v>
      </c>
      <c r="BF3">
        <v>56</v>
      </c>
      <c r="BG3">
        <v>57</v>
      </c>
      <c r="BH3">
        <v>58</v>
      </c>
      <c r="BI3">
        <v>59</v>
      </c>
      <c r="BJ3">
        <v>60</v>
      </c>
      <c r="BK3">
        <v>61</v>
      </c>
      <c r="BL3">
        <v>62</v>
      </c>
      <c r="BM3">
        <v>63</v>
      </c>
      <c r="BN3">
        <v>64</v>
      </c>
      <c r="BO3">
        <v>65</v>
      </c>
      <c r="BP3">
        <v>66</v>
      </c>
      <c r="BQ3">
        <v>67</v>
      </c>
      <c r="BR3">
        <v>68</v>
      </c>
      <c r="BS3">
        <v>69</v>
      </c>
      <c r="BT3">
        <v>70</v>
      </c>
      <c r="BU3">
        <v>71</v>
      </c>
      <c r="BV3">
        <v>72</v>
      </c>
      <c r="BW3">
        <v>73</v>
      </c>
      <c r="BX3">
        <v>74</v>
      </c>
      <c r="BY3">
        <v>75</v>
      </c>
      <c r="BZ3">
        <v>76</v>
      </c>
      <c r="CA3">
        <v>77</v>
      </c>
      <c r="CB3">
        <v>78</v>
      </c>
      <c r="CC3">
        <v>79</v>
      </c>
      <c r="CD3">
        <v>80</v>
      </c>
      <c r="CE3">
        <v>81</v>
      </c>
      <c r="CF3">
        <v>82</v>
      </c>
      <c r="CG3">
        <v>83</v>
      </c>
      <c r="CH3">
        <v>84</v>
      </c>
      <c r="CI3">
        <v>85</v>
      </c>
      <c r="CJ3">
        <v>86</v>
      </c>
      <c r="CK3">
        <v>87</v>
      </c>
      <c r="CL3">
        <v>88</v>
      </c>
      <c r="CM3">
        <v>89</v>
      </c>
      <c r="CN3">
        <v>90</v>
      </c>
      <c r="CO3">
        <v>91</v>
      </c>
      <c r="CP3">
        <v>92</v>
      </c>
      <c r="CQ3">
        <v>93</v>
      </c>
      <c r="CR3">
        <v>94</v>
      </c>
      <c r="CS3">
        <v>95</v>
      </c>
      <c r="CT3">
        <v>96</v>
      </c>
      <c r="CU3">
        <v>97</v>
      </c>
      <c r="CV3">
        <v>98</v>
      </c>
      <c r="CW3">
        <v>99</v>
      </c>
      <c r="CX3">
        <v>100</v>
      </c>
      <c r="CY3">
        <v>101</v>
      </c>
      <c r="CZ3">
        <v>102</v>
      </c>
      <c r="DA3">
        <v>103</v>
      </c>
      <c r="DB3">
        <v>104</v>
      </c>
      <c r="DC3">
        <v>105</v>
      </c>
      <c r="DD3">
        <v>106</v>
      </c>
      <c r="DE3">
        <v>107</v>
      </c>
      <c r="DF3">
        <v>108</v>
      </c>
      <c r="DG3">
        <v>109</v>
      </c>
      <c r="DH3">
        <v>110</v>
      </c>
      <c r="DI3">
        <v>111</v>
      </c>
      <c r="DJ3">
        <v>112</v>
      </c>
      <c r="DK3">
        <v>113</v>
      </c>
      <c r="DL3">
        <v>114</v>
      </c>
      <c r="DM3">
        <v>115</v>
      </c>
      <c r="DN3">
        <v>116</v>
      </c>
      <c r="DO3">
        <v>117</v>
      </c>
      <c r="DP3">
        <v>118</v>
      </c>
      <c r="DQ3">
        <v>119</v>
      </c>
      <c r="DR3">
        <v>120</v>
      </c>
      <c r="DS3">
        <v>121</v>
      </c>
      <c r="DT3">
        <v>122</v>
      </c>
      <c r="DU3">
        <v>123</v>
      </c>
      <c r="DV3">
        <v>124</v>
      </c>
      <c r="DW3">
        <v>125</v>
      </c>
      <c r="DX3">
        <v>126</v>
      </c>
      <c r="DY3">
        <v>127</v>
      </c>
      <c r="DZ3">
        <v>128</v>
      </c>
      <c r="EA3">
        <v>129</v>
      </c>
      <c r="EB3">
        <v>130</v>
      </c>
      <c r="EC3">
        <v>131</v>
      </c>
      <c r="ED3">
        <v>132</v>
      </c>
      <c r="EE3">
        <v>133</v>
      </c>
      <c r="EF3">
        <v>134</v>
      </c>
      <c r="EG3">
        <v>135</v>
      </c>
      <c r="EH3">
        <v>136</v>
      </c>
      <c r="EI3">
        <v>137</v>
      </c>
      <c r="EJ3">
        <v>138</v>
      </c>
      <c r="EK3">
        <v>139</v>
      </c>
      <c r="EL3">
        <v>140</v>
      </c>
      <c r="EM3">
        <v>141</v>
      </c>
      <c r="EN3">
        <v>142</v>
      </c>
      <c r="EO3">
        <v>143</v>
      </c>
      <c r="EP3">
        <v>144</v>
      </c>
      <c r="EQ3">
        <v>145</v>
      </c>
      <c r="ER3">
        <v>146</v>
      </c>
      <c r="ES3">
        <v>147</v>
      </c>
      <c r="ET3">
        <v>148</v>
      </c>
      <c r="EU3">
        <v>149</v>
      </c>
      <c r="EV3">
        <v>150</v>
      </c>
      <c r="EW3">
        <v>151</v>
      </c>
      <c r="EX3">
        <v>152</v>
      </c>
      <c r="EY3">
        <v>153</v>
      </c>
      <c r="EZ3">
        <v>154</v>
      </c>
      <c r="FA3">
        <v>155</v>
      </c>
      <c r="FB3">
        <v>156</v>
      </c>
      <c r="FC3">
        <v>157</v>
      </c>
      <c r="FD3">
        <v>158</v>
      </c>
      <c r="FE3">
        <v>159</v>
      </c>
      <c r="FF3">
        <v>160</v>
      </c>
      <c r="FG3">
        <v>161</v>
      </c>
      <c r="FH3">
        <v>162</v>
      </c>
      <c r="FI3">
        <v>163</v>
      </c>
      <c r="FJ3">
        <v>164</v>
      </c>
      <c r="FK3">
        <v>165</v>
      </c>
      <c r="FL3">
        <v>166</v>
      </c>
      <c r="FM3">
        <v>167</v>
      </c>
      <c r="FN3">
        <v>168</v>
      </c>
      <c r="FO3">
        <v>169</v>
      </c>
      <c r="FP3">
        <v>170</v>
      </c>
      <c r="FQ3">
        <v>171</v>
      </c>
      <c r="FR3">
        <v>172</v>
      </c>
      <c r="FS3">
        <v>173</v>
      </c>
      <c r="FT3">
        <v>174</v>
      </c>
      <c r="FU3">
        <v>175</v>
      </c>
      <c r="FV3">
        <v>176</v>
      </c>
      <c r="FW3">
        <v>177</v>
      </c>
      <c r="FX3">
        <v>178</v>
      </c>
      <c r="FY3">
        <v>179</v>
      </c>
      <c r="FZ3">
        <v>180</v>
      </c>
      <c r="GA3">
        <v>181</v>
      </c>
      <c r="GB3">
        <v>182</v>
      </c>
      <c r="GC3">
        <v>183</v>
      </c>
      <c r="GD3">
        <v>184</v>
      </c>
      <c r="GE3">
        <v>185</v>
      </c>
      <c r="GF3">
        <v>186</v>
      </c>
      <c r="GG3">
        <v>187</v>
      </c>
      <c r="GH3">
        <v>188</v>
      </c>
      <c r="GI3">
        <v>189</v>
      </c>
      <c r="GJ3">
        <v>190</v>
      </c>
      <c r="GK3">
        <v>191</v>
      </c>
      <c r="GL3">
        <v>192</v>
      </c>
      <c r="GM3">
        <v>193</v>
      </c>
      <c r="GN3">
        <v>194</v>
      </c>
      <c r="GO3">
        <v>195</v>
      </c>
      <c r="GP3">
        <v>196</v>
      </c>
      <c r="GQ3">
        <v>197</v>
      </c>
      <c r="GR3">
        <v>198</v>
      </c>
      <c r="GS3">
        <v>199</v>
      </c>
      <c r="GT3">
        <v>200</v>
      </c>
      <c r="GU3">
        <v>201</v>
      </c>
      <c r="GV3">
        <v>202</v>
      </c>
      <c r="GW3">
        <v>203</v>
      </c>
      <c r="GX3">
        <v>204</v>
      </c>
      <c r="GY3">
        <v>205</v>
      </c>
      <c r="GZ3">
        <v>206</v>
      </c>
      <c r="HA3">
        <v>207</v>
      </c>
      <c r="HB3">
        <v>208</v>
      </c>
      <c r="HC3">
        <v>209</v>
      </c>
      <c r="HD3">
        <v>210</v>
      </c>
      <c r="HE3">
        <v>211</v>
      </c>
      <c r="HF3">
        <v>212</v>
      </c>
      <c r="HG3">
        <v>213</v>
      </c>
      <c r="HH3">
        <v>214</v>
      </c>
      <c r="HI3">
        <v>215</v>
      </c>
      <c r="HJ3">
        <v>216</v>
      </c>
      <c r="HK3">
        <v>217</v>
      </c>
      <c r="HL3">
        <v>218</v>
      </c>
      <c r="HM3">
        <v>219</v>
      </c>
      <c r="HN3">
        <v>220</v>
      </c>
      <c r="HO3">
        <v>221</v>
      </c>
      <c r="HP3">
        <v>222</v>
      </c>
      <c r="HQ3">
        <v>223</v>
      </c>
      <c r="HR3">
        <v>224</v>
      </c>
      <c r="HS3">
        <v>225</v>
      </c>
      <c r="HT3">
        <v>226</v>
      </c>
      <c r="HU3">
        <v>227</v>
      </c>
      <c r="HV3">
        <v>228</v>
      </c>
      <c r="HW3">
        <v>229</v>
      </c>
      <c r="HX3">
        <v>230</v>
      </c>
      <c r="HY3">
        <v>231</v>
      </c>
      <c r="HZ3">
        <v>232</v>
      </c>
      <c r="IA3">
        <v>233</v>
      </c>
      <c r="IB3">
        <v>234</v>
      </c>
      <c r="IC3">
        <v>235</v>
      </c>
      <c r="ID3">
        <v>236</v>
      </c>
      <c r="IE3">
        <v>237</v>
      </c>
      <c r="IF3">
        <v>238</v>
      </c>
      <c r="IG3">
        <v>239</v>
      </c>
      <c r="IH3">
        <v>240</v>
      </c>
      <c r="II3">
        <v>241</v>
      </c>
      <c r="IJ3">
        <v>242</v>
      </c>
      <c r="IK3">
        <v>243</v>
      </c>
      <c r="IL3">
        <v>244</v>
      </c>
      <c r="IM3">
        <v>245</v>
      </c>
      <c r="IN3">
        <v>246</v>
      </c>
      <c r="IO3">
        <v>247</v>
      </c>
      <c r="IP3">
        <v>248</v>
      </c>
      <c r="IQ3">
        <v>249</v>
      </c>
      <c r="IR3">
        <v>250</v>
      </c>
      <c r="IS3">
        <v>251</v>
      </c>
      <c r="IT3">
        <v>252</v>
      </c>
      <c r="IU3">
        <v>253</v>
      </c>
      <c r="IV3">
        <v>254</v>
      </c>
      <c r="IW3">
        <v>255</v>
      </c>
      <c r="IX3">
        <v>256</v>
      </c>
      <c r="IY3">
        <v>257</v>
      </c>
      <c r="IZ3">
        <v>258</v>
      </c>
      <c r="JA3">
        <v>259</v>
      </c>
      <c r="JB3">
        <v>260</v>
      </c>
      <c r="JC3">
        <v>261</v>
      </c>
      <c r="JD3">
        <v>262</v>
      </c>
      <c r="JE3">
        <v>263</v>
      </c>
      <c r="JF3">
        <v>264</v>
      </c>
      <c r="JG3">
        <v>265</v>
      </c>
      <c r="JH3">
        <v>266</v>
      </c>
      <c r="JI3">
        <v>267</v>
      </c>
      <c r="JJ3">
        <v>268</v>
      </c>
      <c r="JK3">
        <v>269</v>
      </c>
      <c r="JL3">
        <v>270</v>
      </c>
      <c r="JM3">
        <v>271</v>
      </c>
      <c r="JN3">
        <v>272</v>
      </c>
      <c r="JO3">
        <v>273</v>
      </c>
      <c r="JP3">
        <v>274</v>
      </c>
      <c r="JQ3">
        <v>275</v>
      </c>
      <c r="JR3">
        <v>276</v>
      </c>
      <c r="JS3">
        <v>277</v>
      </c>
      <c r="JT3">
        <v>278</v>
      </c>
      <c r="JU3">
        <v>279</v>
      </c>
      <c r="JV3">
        <v>280</v>
      </c>
      <c r="JW3">
        <v>281</v>
      </c>
      <c r="JX3">
        <v>282</v>
      </c>
      <c r="JY3">
        <v>283</v>
      </c>
      <c r="JZ3">
        <v>284</v>
      </c>
      <c r="KA3">
        <v>285</v>
      </c>
      <c r="KB3">
        <v>286</v>
      </c>
      <c r="KC3">
        <v>287</v>
      </c>
      <c r="KD3">
        <v>288</v>
      </c>
      <c r="KE3">
        <v>289</v>
      </c>
      <c r="KF3">
        <v>290</v>
      </c>
      <c r="KG3">
        <v>291</v>
      </c>
      <c r="KH3">
        <v>292</v>
      </c>
      <c r="KI3">
        <v>293</v>
      </c>
      <c r="KJ3">
        <v>294</v>
      </c>
      <c r="KK3">
        <v>295</v>
      </c>
      <c r="KL3">
        <v>296</v>
      </c>
      <c r="KM3">
        <v>297</v>
      </c>
      <c r="KN3">
        <v>298</v>
      </c>
      <c r="KO3">
        <v>299</v>
      </c>
      <c r="KP3">
        <v>300</v>
      </c>
      <c r="KQ3">
        <v>301</v>
      </c>
      <c r="KR3">
        <v>302</v>
      </c>
      <c r="KS3">
        <v>303</v>
      </c>
      <c r="KT3">
        <v>304</v>
      </c>
      <c r="KU3">
        <v>305</v>
      </c>
      <c r="KV3">
        <v>306</v>
      </c>
      <c r="KW3">
        <v>307</v>
      </c>
      <c r="KX3">
        <v>308</v>
      </c>
      <c r="KY3">
        <v>309</v>
      </c>
      <c r="KZ3">
        <v>310</v>
      </c>
      <c r="LA3">
        <v>311</v>
      </c>
      <c r="LB3">
        <v>312</v>
      </c>
      <c r="LC3">
        <v>313</v>
      </c>
      <c r="LD3">
        <v>314</v>
      </c>
      <c r="LE3">
        <v>315</v>
      </c>
      <c r="LF3">
        <v>316</v>
      </c>
      <c r="LG3">
        <v>317</v>
      </c>
      <c r="LH3">
        <v>318</v>
      </c>
      <c r="LI3">
        <v>319</v>
      </c>
      <c r="LJ3">
        <v>320</v>
      </c>
      <c r="LK3">
        <v>321</v>
      </c>
      <c r="LL3">
        <v>322</v>
      </c>
      <c r="LM3">
        <v>323</v>
      </c>
      <c r="LN3">
        <v>324</v>
      </c>
      <c r="LO3">
        <v>325</v>
      </c>
      <c r="LP3">
        <v>326</v>
      </c>
      <c r="LQ3">
        <v>327</v>
      </c>
      <c r="LR3">
        <v>328</v>
      </c>
      <c r="LS3">
        <v>329</v>
      </c>
      <c r="LT3">
        <v>330</v>
      </c>
      <c r="LU3">
        <v>331</v>
      </c>
      <c r="LV3">
        <v>332</v>
      </c>
      <c r="LW3">
        <v>333</v>
      </c>
      <c r="LX3">
        <v>334</v>
      </c>
      <c r="LY3">
        <v>335</v>
      </c>
      <c r="LZ3">
        <v>336</v>
      </c>
      <c r="MA3">
        <v>337</v>
      </c>
      <c r="MB3">
        <v>338</v>
      </c>
      <c r="MC3">
        <v>339</v>
      </c>
      <c r="MD3">
        <v>340</v>
      </c>
      <c r="ME3">
        <v>341</v>
      </c>
      <c r="MF3">
        <v>342</v>
      </c>
      <c r="MG3">
        <v>343</v>
      </c>
      <c r="MH3">
        <v>344</v>
      </c>
      <c r="MI3">
        <v>345</v>
      </c>
      <c r="MJ3">
        <v>346</v>
      </c>
      <c r="MK3">
        <v>347</v>
      </c>
      <c r="ML3">
        <v>348</v>
      </c>
      <c r="MM3">
        <v>349</v>
      </c>
      <c r="MN3">
        <v>350</v>
      </c>
      <c r="MO3">
        <v>351</v>
      </c>
      <c r="MP3">
        <v>352</v>
      </c>
      <c r="MQ3">
        <v>353</v>
      </c>
      <c r="MR3">
        <v>354</v>
      </c>
      <c r="MS3">
        <v>355</v>
      </c>
      <c r="MT3">
        <v>356</v>
      </c>
      <c r="MU3">
        <v>357</v>
      </c>
      <c r="MV3">
        <v>358</v>
      </c>
      <c r="MW3">
        <v>359</v>
      </c>
      <c r="MX3">
        <v>360</v>
      </c>
      <c r="MY3">
        <v>361</v>
      </c>
      <c r="MZ3">
        <v>362</v>
      </c>
      <c r="NA3">
        <v>363</v>
      </c>
      <c r="NB3">
        <v>364</v>
      </c>
      <c r="NC3">
        <v>365</v>
      </c>
    </row>
    <row r="4" spans="2:367">
      <c r="B4" s="153">
        <f>'Параметры займа'!J13</f>
        <v>121500</v>
      </c>
      <c r="C4">
        <f t="dataTable" ref="C4:NC4" dt2D="0" dtr="1" r1="B3"/>
        <v>121500</v>
      </c>
      <c r="D4">
        <v>121500</v>
      </c>
      <c r="E4">
        <v>121500</v>
      </c>
      <c r="F4">
        <v>121500</v>
      </c>
      <c r="G4">
        <v>121500</v>
      </c>
      <c r="H4">
        <v>121500</v>
      </c>
      <c r="I4">
        <v>121500</v>
      </c>
      <c r="J4">
        <v>121500</v>
      </c>
      <c r="K4">
        <v>121500</v>
      </c>
      <c r="L4">
        <v>121500</v>
      </c>
      <c r="M4">
        <v>121500</v>
      </c>
      <c r="N4">
        <v>121500</v>
      </c>
      <c r="O4">
        <v>121500</v>
      </c>
      <c r="P4">
        <v>121500</v>
      </c>
      <c r="Q4">
        <v>121500</v>
      </c>
      <c r="R4">
        <v>121500</v>
      </c>
      <c r="S4">
        <v>121500</v>
      </c>
      <c r="T4">
        <v>121000</v>
      </c>
      <c r="U4">
        <v>121000</v>
      </c>
      <c r="V4">
        <v>121000</v>
      </c>
      <c r="W4">
        <v>121000</v>
      </c>
      <c r="X4">
        <v>121000</v>
      </c>
      <c r="Y4">
        <v>121000</v>
      </c>
      <c r="Z4">
        <v>121000</v>
      </c>
      <c r="AA4">
        <v>121000</v>
      </c>
      <c r="AB4">
        <v>121000</v>
      </c>
      <c r="AC4">
        <v>121000</v>
      </c>
      <c r="AD4">
        <v>121000</v>
      </c>
      <c r="AE4">
        <v>121000</v>
      </c>
      <c r="AF4">
        <v>121000</v>
      </c>
      <c r="AG4">
        <v>121000</v>
      </c>
      <c r="AH4">
        <v>121000</v>
      </c>
      <c r="AI4">
        <v>121000</v>
      </c>
      <c r="AJ4">
        <v>121000</v>
      </c>
      <c r="AK4">
        <v>121000</v>
      </c>
      <c r="AL4">
        <v>121000</v>
      </c>
      <c r="AM4">
        <v>121000</v>
      </c>
      <c r="AN4">
        <v>121000</v>
      </c>
      <c r="AO4">
        <v>121000</v>
      </c>
      <c r="AP4">
        <v>121000</v>
      </c>
      <c r="AQ4">
        <v>121000</v>
      </c>
      <c r="AR4">
        <v>121000</v>
      </c>
      <c r="AS4">
        <v>121000</v>
      </c>
      <c r="AT4">
        <v>121000</v>
      </c>
      <c r="AU4">
        <v>121000</v>
      </c>
      <c r="AV4">
        <v>121000</v>
      </c>
      <c r="AW4">
        <v>121000</v>
      </c>
      <c r="AX4">
        <v>121000</v>
      </c>
      <c r="AY4">
        <v>121000</v>
      </c>
      <c r="AZ4">
        <v>121000</v>
      </c>
      <c r="BA4">
        <v>121000</v>
      </c>
      <c r="BB4">
        <v>121000</v>
      </c>
      <c r="BC4">
        <v>121000</v>
      </c>
      <c r="BD4">
        <v>121000</v>
      </c>
      <c r="BE4">
        <v>121000</v>
      </c>
      <c r="BF4">
        <v>121000</v>
      </c>
      <c r="BG4">
        <v>121000</v>
      </c>
      <c r="BH4">
        <v>121000</v>
      </c>
      <c r="BI4">
        <v>121000</v>
      </c>
      <c r="BJ4">
        <v>120500</v>
      </c>
      <c r="BK4">
        <v>120500</v>
      </c>
      <c r="BL4">
        <v>120500</v>
      </c>
      <c r="BM4">
        <v>120500</v>
      </c>
      <c r="BN4">
        <v>120500</v>
      </c>
      <c r="BO4">
        <v>120500</v>
      </c>
      <c r="BP4">
        <v>120500</v>
      </c>
      <c r="BQ4">
        <v>120500</v>
      </c>
      <c r="BR4">
        <v>120500</v>
      </c>
      <c r="BS4">
        <v>120500</v>
      </c>
      <c r="BT4">
        <v>120500</v>
      </c>
      <c r="BU4">
        <v>120500</v>
      </c>
      <c r="BV4">
        <v>120500</v>
      </c>
      <c r="BW4">
        <v>120500</v>
      </c>
      <c r="BX4">
        <v>120500</v>
      </c>
      <c r="BY4">
        <v>120500</v>
      </c>
      <c r="BZ4">
        <v>120500</v>
      </c>
      <c r="CA4">
        <v>120500</v>
      </c>
      <c r="CB4">
        <v>120500</v>
      </c>
      <c r="CC4">
        <v>120500</v>
      </c>
      <c r="CD4">
        <v>120500</v>
      </c>
      <c r="CE4">
        <v>120500</v>
      </c>
      <c r="CF4">
        <v>120500</v>
      </c>
      <c r="CG4">
        <v>120500</v>
      </c>
      <c r="CH4">
        <v>120500</v>
      </c>
      <c r="CI4">
        <v>120500</v>
      </c>
      <c r="CJ4">
        <v>120500</v>
      </c>
      <c r="CK4">
        <v>120500</v>
      </c>
      <c r="CL4">
        <v>120500</v>
      </c>
      <c r="CM4">
        <v>120500</v>
      </c>
      <c r="CN4">
        <v>120500</v>
      </c>
      <c r="CO4">
        <v>120500</v>
      </c>
      <c r="CP4">
        <v>121500</v>
      </c>
      <c r="CQ4">
        <v>121500</v>
      </c>
      <c r="CR4">
        <v>121500</v>
      </c>
      <c r="CS4">
        <v>121500</v>
      </c>
      <c r="CT4">
        <v>121500</v>
      </c>
      <c r="CU4">
        <v>121500</v>
      </c>
      <c r="CV4">
        <v>121500</v>
      </c>
      <c r="CW4">
        <v>121500</v>
      </c>
      <c r="CX4">
        <v>121500</v>
      </c>
      <c r="CY4">
        <v>121500</v>
      </c>
      <c r="CZ4">
        <v>121500</v>
      </c>
      <c r="DA4">
        <v>121500</v>
      </c>
      <c r="DB4">
        <v>121500</v>
      </c>
      <c r="DC4">
        <v>121500</v>
      </c>
      <c r="DD4">
        <v>121500</v>
      </c>
      <c r="DE4">
        <v>121000</v>
      </c>
      <c r="DF4">
        <v>121000</v>
      </c>
      <c r="DG4">
        <v>121000</v>
      </c>
      <c r="DH4">
        <v>121000</v>
      </c>
      <c r="DI4">
        <v>121000</v>
      </c>
      <c r="DJ4">
        <v>121000</v>
      </c>
      <c r="DK4">
        <v>121000</v>
      </c>
      <c r="DL4">
        <v>121000</v>
      </c>
      <c r="DM4">
        <v>121000</v>
      </c>
      <c r="DN4">
        <v>121000</v>
      </c>
      <c r="DO4">
        <v>121000</v>
      </c>
      <c r="DP4">
        <v>121000</v>
      </c>
      <c r="DQ4">
        <v>121000</v>
      </c>
      <c r="DR4">
        <v>121000</v>
      </c>
      <c r="DS4">
        <v>121000</v>
      </c>
      <c r="DT4">
        <v>121000</v>
      </c>
      <c r="DU4">
        <v>121000</v>
      </c>
      <c r="DV4">
        <v>121000</v>
      </c>
      <c r="DW4">
        <v>121000</v>
      </c>
      <c r="DX4">
        <v>121000</v>
      </c>
      <c r="DY4">
        <v>121000</v>
      </c>
      <c r="DZ4">
        <v>121000</v>
      </c>
      <c r="EA4">
        <v>121000</v>
      </c>
      <c r="EB4">
        <v>121000</v>
      </c>
      <c r="EC4">
        <v>121000</v>
      </c>
      <c r="ED4">
        <v>121000</v>
      </c>
      <c r="EE4">
        <v>121000</v>
      </c>
      <c r="EF4">
        <v>121000</v>
      </c>
      <c r="EG4">
        <v>121000</v>
      </c>
      <c r="EH4">
        <v>121000</v>
      </c>
      <c r="EI4">
        <v>121000</v>
      </c>
      <c r="EJ4">
        <v>121000</v>
      </c>
      <c r="EK4">
        <v>121000</v>
      </c>
      <c r="EL4">
        <v>121000</v>
      </c>
      <c r="EM4">
        <v>121000</v>
      </c>
      <c r="EN4">
        <v>121000</v>
      </c>
      <c r="EO4">
        <v>121000</v>
      </c>
      <c r="EP4">
        <v>121000</v>
      </c>
      <c r="EQ4">
        <v>121000</v>
      </c>
      <c r="ER4">
        <v>121000</v>
      </c>
      <c r="ES4">
        <v>121000</v>
      </c>
      <c r="ET4">
        <v>121000</v>
      </c>
      <c r="EU4">
        <v>120500</v>
      </c>
      <c r="EV4">
        <v>120500</v>
      </c>
      <c r="EW4">
        <v>120500</v>
      </c>
      <c r="EX4">
        <v>108500</v>
      </c>
      <c r="EY4">
        <v>120500</v>
      </c>
      <c r="EZ4">
        <v>120500</v>
      </c>
      <c r="FA4">
        <v>120500</v>
      </c>
      <c r="FB4">
        <v>120500</v>
      </c>
      <c r="FC4">
        <v>120500</v>
      </c>
      <c r="FD4">
        <v>120500</v>
      </c>
      <c r="FE4">
        <v>120500</v>
      </c>
      <c r="FF4">
        <v>120500</v>
      </c>
      <c r="FG4">
        <v>120500</v>
      </c>
      <c r="FH4">
        <v>120500</v>
      </c>
      <c r="FI4">
        <v>120500</v>
      </c>
      <c r="FJ4">
        <v>120500</v>
      </c>
      <c r="FK4">
        <v>120500</v>
      </c>
      <c r="FL4">
        <v>120500</v>
      </c>
      <c r="FM4">
        <v>120500</v>
      </c>
      <c r="FN4">
        <v>120500</v>
      </c>
      <c r="FO4">
        <v>120500</v>
      </c>
      <c r="FP4">
        <v>120500</v>
      </c>
      <c r="FQ4">
        <v>120500</v>
      </c>
      <c r="FR4">
        <v>120500</v>
      </c>
      <c r="FS4">
        <v>120500</v>
      </c>
      <c r="FT4">
        <v>120500</v>
      </c>
      <c r="FU4">
        <v>120500</v>
      </c>
      <c r="FV4">
        <v>120500</v>
      </c>
      <c r="FW4">
        <v>120500</v>
      </c>
      <c r="FX4">
        <v>120500</v>
      </c>
      <c r="FY4">
        <v>120500</v>
      </c>
      <c r="FZ4">
        <v>120500</v>
      </c>
      <c r="GA4">
        <v>120500</v>
      </c>
      <c r="GB4">
        <v>120500</v>
      </c>
      <c r="GC4">
        <v>120500</v>
      </c>
      <c r="GD4">
        <v>121500</v>
      </c>
      <c r="GE4">
        <v>121500</v>
      </c>
      <c r="GF4">
        <v>121500</v>
      </c>
      <c r="GG4">
        <v>121500</v>
      </c>
      <c r="GH4">
        <v>121500</v>
      </c>
      <c r="GI4">
        <v>121500</v>
      </c>
      <c r="GJ4">
        <v>121500</v>
      </c>
      <c r="GK4">
        <v>121500</v>
      </c>
      <c r="GL4">
        <v>121500</v>
      </c>
      <c r="GM4">
        <v>121500</v>
      </c>
      <c r="GN4">
        <v>121500</v>
      </c>
      <c r="GO4">
        <v>121500</v>
      </c>
      <c r="GP4">
        <v>121500</v>
      </c>
      <c r="GQ4">
        <v>121500</v>
      </c>
      <c r="GR4">
        <v>121500</v>
      </c>
      <c r="GS4">
        <v>121500</v>
      </c>
      <c r="GT4">
        <v>121500</v>
      </c>
      <c r="GU4">
        <v>121000</v>
      </c>
      <c r="GV4">
        <v>121000</v>
      </c>
      <c r="GW4">
        <v>121000</v>
      </c>
      <c r="GX4">
        <v>121000</v>
      </c>
      <c r="GY4">
        <v>121000</v>
      </c>
      <c r="GZ4">
        <v>121000</v>
      </c>
      <c r="HA4">
        <v>121000</v>
      </c>
      <c r="HB4">
        <v>121000</v>
      </c>
      <c r="HC4">
        <v>121000</v>
      </c>
      <c r="HD4">
        <v>121000</v>
      </c>
      <c r="HE4">
        <v>121000</v>
      </c>
      <c r="HF4">
        <v>121000</v>
      </c>
      <c r="HG4">
        <v>121000</v>
      </c>
      <c r="HH4">
        <v>121000</v>
      </c>
      <c r="HI4">
        <v>121000</v>
      </c>
      <c r="HJ4">
        <v>121000</v>
      </c>
      <c r="HK4">
        <v>121000</v>
      </c>
      <c r="HL4">
        <v>121000</v>
      </c>
      <c r="HM4">
        <v>121000</v>
      </c>
      <c r="HN4">
        <v>121000</v>
      </c>
      <c r="HO4">
        <v>121000</v>
      </c>
      <c r="HP4">
        <v>121000</v>
      </c>
      <c r="HQ4">
        <v>121000</v>
      </c>
      <c r="HR4">
        <v>121000</v>
      </c>
      <c r="HS4">
        <v>121000</v>
      </c>
      <c r="HT4">
        <v>121000</v>
      </c>
      <c r="HU4">
        <v>121000</v>
      </c>
      <c r="HV4">
        <v>121000</v>
      </c>
      <c r="HW4">
        <v>121000</v>
      </c>
      <c r="HX4">
        <v>121000</v>
      </c>
      <c r="HY4">
        <v>121000</v>
      </c>
      <c r="HZ4">
        <v>121000</v>
      </c>
      <c r="IA4">
        <v>121000</v>
      </c>
      <c r="IB4">
        <v>121000</v>
      </c>
      <c r="IC4">
        <v>121000</v>
      </c>
      <c r="ID4">
        <v>121000</v>
      </c>
      <c r="IE4">
        <v>121000</v>
      </c>
      <c r="IF4">
        <v>121000</v>
      </c>
      <c r="IG4">
        <v>121000</v>
      </c>
      <c r="IH4">
        <v>121000</v>
      </c>
      <c r="II4">
        <v>121000</v>
      </c>
      <c r="IJ4">
        <v>121000</v>
      </c>
      <c r="IK4">
        <v>120500</v>
      </c>
      <c r="IL4">
        <v>120500</v>
      </c>
      <c r="IM4">
        <v>120500</v>
      </c>
      <c r="IN4">
        <v>120500</v>
      </c>
      <c r="IO4">
        <v>120500</v>
      </c>
      <c r="IP4">
        <v>120500</v>
      </c>
      <c r="IQ4">
        <v>120500</v>
      </c>
      <c r="IR4">
        <v>120500</v>
      </c>
      <c r="IS4">
        <v>120500</v>
      </c>
      <c r="IT4">
        <v>120500</v>
      </c>
      <c r="IU4">
        <v>120500</v>
      </c>
      <c r="IV4">
        <v>120500</v>
      </c>
      <c r="IW4">
        <v>120500</v>
      </c>
      <c r="IX4">
        <v>120500</v>
      </c>
      <c r="IY4">
        <v>120500</v>
      </c>
      <c r="IZ4">
        <v>120500</v>
      </c>
      <c r="JA4">
        <v>120500</v>
      </c>
      <c r="JB4">
        <v>120500</v>
      </c>
      <c r="JC4">
        <v>120500</v>
      </c>
      <c r="JD4">
        <v>120500</v>
      </c>
      <c r="JE4">
        <v>120500</v>
      </c>
      <c r="JF4">
        <v>120500</v>
      </c>
      <c r="JG4">
        <v>120500</v>
      </c>
      <c r="JH4">
        <v>120500</v>
      </c>
      <c r="JI4">
        <v>120500</v>
      </c>
      <c r="JJ4">
        <v>120500</v>
      </c>
      <c r="JK4">
        <v>120500</v>
      </c>
      <c r="JL4">
        <v>120500</v>
      </c>
      <c r="JM4">
        <v>120500</v>
      </c>
      <c r="JN4">
        <v>120500</v>
      </c>
      <c r="JO4">
        <v>121500</v>
      </c>
      <c r="JP4">
        <v>121500</v>
      </c>
      <c r="JQ4">
        <v>121500</v>
      </c>
      <c r="JR4">
        <v>121500</v>
      </c>
      <c r="JS4">
        <v>121500</v>
      </c>
      <c r="JT4">
        <v>121500</v>
      </c>
      <c r="JU4">
        <v>121500</v>
      </c>
      <c r="JV4">
        <v>121500</v>
      </c>
      <c r="JW4">
        <v>121500</v>
      </c>
      <c r="JX4">
        <v>121500</v>
      </c>
      <c r="JY4">
        <v>121500</v>
      </c>
      <c r="JZ4">
        <v>121500</v>
      </c>
      <c r="KA4">
        <v>121500</v>
      </c>
      <c r="KB4">
        <v>121500</v>
      </c>
      <c r="KC4">
        <v>121500</v>
      </c>
      <c r="KD4">
        <v>121500</v>
      </c>
      <c r="KE4">
        <v>121500</v>
      </c>
      <c r="KF4">
        <v>121500</v>
      </c>
      <c r="KG4">
        <v>121500</v>
      </c>
      <c r="KH4">
        <v>121000</v>
      </c>
      <c r="KI4">
        <v>121000</v>
      </c>
      <c r="KJ4">
        <v>121000</v>
      </c>
      <c r="KK4">
        <v>121000</v>
      </c>
      <c r="KL4">
        <v>121000</v>
      </c>
      <c r="KM4">
        <v>121000</v>
      </c>
      <c r="KN4">
        <v>121000</v>
      </c>
      <c r="KO4">
        <v>121000</v>
      </c>
      <c r="KP4">
        <v>121000</v>
      </c>
      <c r="KQ4">
        <v>121000</v>
      </c>
      <c r="KR4">
        <v>121000</v>
      </c>
      <c r="KS4">
        <v>121000</v>
      </c>
      <c r="KT4">
        <v>121000</v>
      </c>
      <c r="KU4">
        <v>121000</v>
      </c>
      <c r="KV4">
        <v>121000</v>
      </c>
      <c r="KW4">
        <v>121000</v>
      </c>
      <c r="KX4">
        <v>121000</v>
      </c>
      <c r="KY4">
        <v>121000</v>
      </c>
      <c r="KZ4">
        <v>121000</v>
      </c>
      <c r="LA4">
        <v>121000</v>
      </c>
      <c r="LB4">
        <v>121000</v>
      </c>
      <c r="LC4">
        <v>121000</v>
      </c>
      <c r="LD4">
        <v>121000</v>
      </c>
      <c r="LE4">
        <v>121000</v>
      </c>
      <c r="LF4">
        <v>121000</v>
      </c>
      <c r="LG4">
        <v>121000</v>
      </c>
      <c r="LH4">
        <v>121000</v>
      </c>
      <c r="LI4">
        <v>121000</v>
      </c>
      <c r="LJ4">
        <v>121000</v>
      </c>
      <c r="LK4">
        <v>121000</v>
      </c>
      <c r="LL4">
        <v>121000</v>
      </c>
      <c r="LM4">
        <v>121000</v>
      </c>
      <c r="LN4">
        <v>121000</v>
      </c>
      <c r="LO4">
        <v>121000</v>
      </c>
      <c r="LP4">
        <v>121000</v>
      </c>
      <c r="LQ4">
        <v>121000</v>
      </c>
      <c r="LR4">
        <v>121000</v>
      </c>
      <c r="LS4">
        <v>121000</v>
      </c>
      <c r="LT4">
        <v>121000</v>
      </c>
      <c r="LU4">
        <v>121000</v>
      </c>
      <c r="LV4">
        <v>121000</v>
      </c>
      <c r="LW4">
        <v>121000</v>
      </c>
      <c r="LX4">
        <v>120500</v>
      </c>
      <c r="LY4">
        <v>120500</v>
      </c>
      <c r="LZ4">
        <v>120500</v>
      </c>
      <c r="MA4">
        <v>120500</v>
      </c>
      <c r="MB4">
        <v>120500</v>
      </c>
      <c r="MC4">
        <v>120500</v>
      </c>
      <c r="MD4">
        <v>120500</v>
      </c>
      <c r="ME4">
        <v>120500</v>
      </c>
      <c r="MF4">
        <v>120500</v>
      </c>
      <c r="MG4">
        <v>120500</v>
      </c>
      <c r="MH4">
        <v>120500</v>
      </c>
      <c r="MI4">
        <v>120500</v>
      </c>
      <c r="MJ4">
        <v>120500</v>
      </c>
      <c r="MK4">
        <v>120500</v>
      </c>
      <c r="ML4">
        <v>120500</v>
      </c>
      <c r="MM4">
        <v>120500</v>
      </c>
      <c r="MN4">
        <v>120500</v>
      </c>
      <c r="MO4">
        <v>120500</v>
      </c>
      <c r="MP4">
        <v>120500</v>
      </c>
      <c r="MQ4">
        <v>120500</v>
      </c>
      <c r="MR4">
        <v>120500</v>
      </c>
      <c r="MS4">
        <v>120500</v>
      </c>
      <c r="MT4">
        <v>120500</v>
      </c>
      <c r="MU4">
        <v>120500</v>
      </c>
      <c r="MV4">
        <v>120500</v>
      </c>
      <c r="MW4">
        <v>120500</v>
      </c>
      <c r="MX4">
        <v>120500</v>
      </c>
      <c r="MY4">
        <v>120500</v>
      </c>
      <c r="MZ4">
        <v>120500</v>
      </c>
      <c r="NA4">
        <v>120500</v>
      </c>
      <c r="NB4">
        <v>120500</v>
      </c>
      <c r="NC4">
        <v>121500</v>
      </c>
    </row>
    <row r="5" spans="2:367">
      <c r="C5">
        <f>IF(C4&lt;$C$6,0,1)</f>
        <v>1</v>
      </c>
      <c r="D5">
        <f t="shared" ref="D5:BO5" si="0">IF(D4&lt;$C$6,0,1)</f>
        <v>1</v>
      </c>
      <c r="E5">
        <f t="shared" si="0"/>
        <v>1</v>
      </c>
      <c r="F5">
        <f t="shared" si="0"/>
        <v>1</v>
      </c>
      <c r="G5">
        <f t="shared" si="0"/>
        <v>1</v>
      </c>
      <c r="H5">
        <f t="shared" si="0"/>
        <v>1</v>
      </c>
      <c r="I5">
        <f t="shared" si="0"/>
        <v>1</v>
      </c>
      <c r="J5">
        <f t="shared" si="0"/>
        <v>1</v>
      </c>
      <c r="K5">
        <f t="shared" si="0"/>
        <v>1</v>
      </c>
      <c r="L5">
        <f t="shared" si="0"/>
        <v>1</v>
      </c>
      <c r="M5">
        <f t="shared" si="0"/>
        <v>1</v>
      </c>
      <c r="N5">
        <f t="shared" si="0"/>
        <v>1</v>
      </c>
      <c r="O5">
        <f t="shared" si="0"/>
        <v>1</v>
      </c>
      <c r="P5">
        <f t="shared" si="0"/>
        <v>1</v>
      </c>
      <c r="Q5">
        <f t="shared" si="0"/>
        <v>1</v>
      </c>
      <c r="R5">
        <f t="shared" si="0"/>
        <v>1</v>
      </c>
      <c r="S5">
        <f t="shared" si="0"/>
        <v>1</v>
      </c>
      <c r="T5">
        <f t="shared" si="0"/>
        <v>0</v>
      </c>
      <c r="U5">
        <f t="shared" si="0"/>
        <v>0</v>
      </c>
      <c r="V5">
        <f t="shared" si="0"/>
        <v>0</v>
      </c>
      <c r="W5">
        <f t="shared" si="0"/>
        <v>0</v>
      </c>
      <c r="X5">
        <f t="shared" si="0"/>
        <v>0</v>
      </c>
      <c r="Y5">
        <f t="shared" si="0"/>
        <v>0</v>
      </c>
      <c r="Z5">
        <f t="shared" si="0"/>
        <v>0</v>
      </c>
      <c r="AA5">
        <f t="shared" si="0"/>
        <v>0</v>
      </c>
      <c r="AB5">
        <f t="shared" si="0"/>
        <v>0</v>
      </c>
      <c r="AC5">
        <f t="shared" si="0"/>
        <v>0</v>
      </c>
      <c r="AD5">
        <f t="shared" si="0"/>
        <v>0</v>
      </c>
      <c r="AE5">
        <f t="shared" si="0"/>
        <v>0</v>
      </c>
      <c r="AF5">
        <f t="shared" si="0"/>
        <v>0</v>
      </c>
      <c r="AG5">
        <f t="shared" si="0"/>
        <v>0</v>
      </c>
      <c r="AH5">
        <f t="shared" si="0"/>
        <v>0</v>
      </c>
      <c r="AI5">
        <f t="shared" si="0"/>
        <v>0</v>
      </c>
      <c r="AJ5">
        <f t="shared" si="0"/>
        <v>0</v>
      </c>
      <c r="AK5">
        <f t="shared" si="0"/>
        <v>0</v>
      </c>
      <c r="AL5">
        <f t="shared" si="0"/>
        <v>0</v>
      </c>
      <c r="AM5">
        <f t="shared" si="0"/>
        <v>0</v>
      </c>
      <c r="AN5">
        <f t="shared" si="0"/>
        <v>0</v>
      </c>
      <c r="AO5">
        <f t="shared" si="0"/>
        <v>0</v>
      </c>
      <c r="AP5">
        <f t="shared" si="0"/>
        <v>0</v>
      </c>
      <c r="AQ5">
        <f t="shared" si="0"/>
        <v>0</v>
      </c>
      <c r="AR5">
        <f t="shared" si="0"/>
        <v>0</v>
      </c>
      <c r="AS5">
        <f t="shared" si="0"/>
        <v>0</v>
      </c>
      <c r="AT5">
        <f t="shared" si="0"/>
        <v>0</v>
      </c>
      <c r="AU5">
        <f t="shared" si="0"/>
        <v>0</v>
      </c>
      <c r="AV5">
        <f t="shared" si="0"/>
        <v>0</v>
      </c>
      <c r="AW5">
        <f t="shared" si="0"/>
        <v>0</v>
      </c>
      <c r="AX5">
        <f t="shared" si="0"/>
        <v>0</v>
      </c>
      <c r="AY5">
        <f t="shared" si="0"/>
        <v>0</v>
      </c>
      <c r="AZ5">
        <f t="shared" si="0"/>
        <v>0</v>
      </c>
      <c r="BA5">
        <f t="shared" si="0"/>
        <v>0</v>
      </c>
      <c r="BB5">
        <f t="shared" si="0"/>
        <v>0</v>
      </c>
      <c r="BC5">
        <f t="shared" si="0"/>
        <v>0</v>
      </c>
      <c r="BD5">
        <f t="shared" si="0"/>
        <v>0</v>
      </c>
      <c r="BE5">
        <f t="shared" si="0"/>
        <v>0</v>
      </c>
      <c r="BF5">
        <f t="shared" si="0"/>
        <v>0</v>
      </c>
      <c r="BG5">
        <f t="shared" si="0"/>
        <v>0</v>
      </c>
      <c r="BH5">
        <f t="shared" si="0"/>
        <v>0</v>
      </c>
      <c r="BI5">
        <f t="shared" si="0"/>
        <v>0</v>
      </c>
      <c r="BJ5">
        <f t="shared" si="0"/>
        <v>0</v>
      </c>
      <c r="BK5">
        <f t="shared" si="0"/>
        <v>0</v>
      </c>
      <c r="BL5">
        <f t="shared" si="0"/>
        <v>0</v>
      </c>
      <c r="BM5">
        <f t="shared" si="0"/>
        <v>0</v>
      </c>
      <c r="BN5">
        <f t="shared" si="0"/>
        <v>0</v>
      </c>
      <c r="BO5">
        <f t="shared" si="0"/>
        <v>0</v>
      </c>
      <c r="BP5">
        <f t="shared" ref="BP5:EA5" si="1">IF(BP4&lt;$C$6,0,1)</f>
        <v>0</v>
      </c>
      <c r="BQ5">
        <f t="shared" si="1"/>
        <v>0</v>
      </c>
      <c r="BR5">
        <f t="shared" si="1"/>
        <v>0</v>
      </c>
      <c r="BS5">
        <f t="shared" si="1"/>
        <v>0</v>
      </c>
      <c r="BT5">
        <f t="shared" si="1"/>
        <v>0</v>
      </c>
      <c r="BU5">
        <f t="shared" si="1"/>
        <v>0</v>
      </c>
      <c r="BV5">
        <f t="shared" si="1"/>
        <v>0</v>
      </c>
      <c r="BW5">
        <f t="shared" si="1"/>
        <v>0</v>
      </c>
      <c r="BX5">
        <f t="shared" si="1"/>
        <v>0</v>
      </c>
      <c r="BY5">
        <f t="shared" si="1"/>
        <v>0</v>
      </c>
      <c r="BZ5">
        <f t="shared" si="1"/>
        <v>0</v>
      </c>
      <c r="CA5">
        <f t="shared" si="1"/>
        <v>0</v>
      </c>
      <c r="CB5">
        <f t="shared" si="1"/>
        <v>0</v>
      </c>
      <c r="CC5">
        <f t="shared" si="1"/>
        <v>0</v>
      </c>
      <c r="CD5">
        <f t="shared" si="1"/>
        <v>0</v>
      </c>
      <c r="CE5">
        <f t="shared" si="1"/>
        <v>0</v>
      </c>
      <c r="CF5">
        <f t="shared" si="1"/>
        <v>0</v>
      </c>
      <c r="CG5">
        <f t="shared" si="1"/>
        <v>0</v>
      </c>
      <c r="CH5">
        <f t="shared" si="1"/>
        <v>0</v>
      </c>
      <c r="CI5">
        <f t="shared" si="1"/>
        <v>0</v>
      </c>
      <c r="CJ5">
        <f t="shared" si="1"/>
        <v>0</v>
      </c>
      <c r="CK5">
        <f t="shared" si="1"/>
        <v>0</v>
      </c>
      <c r="CL5">
        <f t="shared" si="1"/>
        <v>0</v>
      </c>
      <c r="CM5">
        <f t="shared" si="1"/>
        <v>0</v>
      </c>
      <c r="CN5">
        <f t="shared" si="1"/>
        <v>0</v>
      </c>
      <c r="CO5">
        <f t="shared" si="1"/>
        <v>0</v>
      </c>
      <c r="CP5">
        <f t="shared" si="1"/>
        <v>1</v>
      </c>
      <c r="CQ5">
        <f t="shared" si="1"/>
        <v>1</v>
      </c>
      <c r="CR5">
        <f t="shared" si="1"/>
        <v>1</v>
      </c>
      <c r="CS5">
        <f t="shared" si="1"/>
        <v>1</v>
      </c>
      <c r="CT5">
        <f t="shared" si="1"/>
        <v>1</v>
      </c>
      <c r="CU5">
        <f t="shared" si="1"/>
        <v>1</v>
      </c>
      <c r="CV5">
        <f t="shared" si="1"/>
        <v>1</v>
      </c>
      <c r="CW5">
        <f t="shared" si="1"/>
        <v>1</v>
      </c>
      <c r="CX5">
        <f t="shared" si="1"/>
        <v>1</v>
      </c>
      <c r="CY5">
        <f t="shared" si="1"/>
        <v>1</v>
      </c>
      <c r="CZ5">
        <f t="shared" si="1"/>
        <v>1</v>
      </c>
      <c r="DA5">
        <f t="shared" si="1"/>
        <v>1</v>
      </c>
      <c r="DB5">
        <f t="shared" si="1"/>
        <v>1</v>
      </c>
      <c r="DC5">
        <f t="shared" si="1"/>
        <v>1</v>
      </c>
      <c r="DD5">
        <f t="shared" si="1"/>
        <v>1</v>
      </c>
      <c r="DE5">
        <f t="shared" si="1"/>
        <v>0</v>
      </c>
      <c r="DF5">
        <f t="shared" si="1"/>
        <v>0</v>
      </c>
      <c r="DG5">
        <f t="shared" si="1"/>
        <v>0</v>
      </c>
      <c r="DH5">
        <f t="shared" si="1"/>
        <v>0</v>
      </c>
      <c r="DI5">
        <f t="shared" si="1"/>
        <v>0</v>
      </c>
      <c r="DJ5">
        <f t="shared" si="1"/>
        <v>0</v>
      </c>
      <c r="DK5">
        <f t="shared" si="1"/>
        <v>0</v>
      </c>
      <c r="DL5">
        <f t="shared" si="1"/>
        <v>0</v>
      </c>
      <c r="DM5">
        <f t="shared" si="1"/>
        <v>0</v>
      </c>
      <c r="DN5">
        <f t="shared" si="1"/>
        <v>0</v>
      </c>
      <c r="DO5">
        <f t="shared" si="1"/>
        <v>0</v>
      </c>
      <c r="DP5">
        <f t="shared" si="1"/>
        <v>0</v>
      </c>
      <c r="DQ5">
        <f t="shared" si="1"/>
        <v>0</v>
      </c>
      <c r="DR5">
        <f t="shared" si="1"/>
        <v>0</v>
      </c>
      <c r="DS5">
        <f t="shared" si="1"/>
        <v>0</v>
      </c>
      <c r="DT5">
        <f t="shared" si="1"/>
        <v>0</v>
      </c>
      <c r="DU5">
        <f t="shared" si="1"/>
        <v>0</v>
      </c>
      <c r="DV5">
        <f t="shared" si="1"/>
        <v>0</v>
      </c>
      <c r="DW5">
        <f t="shared" si="1"/>
        <v>0</v>
      </c>
      <c r="DX5">
        <f t="shared" si="1"/>
        <v>0</v>
      </c>
      <c r="DY5">
        <f t="shared" si="1"/>
        <v>0</v>
      </c>
      <c r="DZ5">
        <f t="shared" si="1"/>
        <v>0</v>
      </c>
      <c r="EA5">
        <f t="shared" si="1"/>
        <v>0</v>
      </c>
      <c r="EB5">
        <f t="shared" ref="EB5:GM5" si="2">IF(EB4&lt;$C$6,0,1)</f>
        <v>0</v>
      </c>
      <c r="EC5">
        <f t="shared" si="2"/>
        <v>0</v>
      </c>
      <c r="ED5">
        <f t="shared" si="2"/>
        <v>0</v>
      </c>
      <c r="EE5">
        <f t="shared" si="2"/>
        <v>0</v>
      </c>
      <c r="EF5">
        <f t="shared" si="2"/>
        <v>0</v>
      </c>
      <c r="EG5">
        <f t="shared" si="2"/>
        <v>0</v>
      </c>
      <c r="EH5">
        <f t="shared" si="2"/>
        <v>0</v>
      </c>
      <c r="EI5">
        <f t="shared" si="2"/>
        <v>0</v>
      </c>
      <c r="EJ5">
        <f t="shared" si="2"/>
        <v>0</v>
      </c>
      <c r="EK5">
        <f t="shared" si="2"/>
        <v>0</v>
      </c>
      <c r="EL5">
        <f t="shared" si="2"/>
        <v>0</v>
      </c>
      <c r="EM5">
        <f t="shared" si="2"/>
        <v>0</v>
      </c>
      <c r="EN5">
        <f t="shared" si="2"/>
        <v>0</v>
      </c>
      <c r="EO5">
        <f t="shared" si="2"/>
        <v>0</v>
      </c>
      <c r="EP5">
        <f t="shared" si="2"/>
        <v>0</v>
      </c>
      <c r="EQ5">
        <f t="shared" si="2"/>
        <v>0</v>
      </c>
      <c r="ER5">
        <f t="shared" si="2"/>
        <v>0</v>
      </c>
      <c r="ES5">
        <f t="shared" si="2"/>
        <v>0</v>
      </c>
      <c r="ET5">
        <f t="shared" si="2"/>
        <v>0</v>
      </c>
      <c r="EU5">
        <f t="shared" si="2"/>
        <v>0</v>
      </c>
      <c r="EV5">
        <f t="shared" si="2"/>
        <v>0</v>
      </c>
      <c r="EW5">
        <f t="shared" si="2"/>
        <v>0</v>
      </c>
      <c r="EX5">
        <f t="shared" si="2"/>
        <v>0</v>
      </c>
      <c r="EY5">
        <f t="shared" si="2"/>
        <v>0</v>
      </c>
      <c r="EZ5">
        <f t="shared" si="2"/>
        <v>0</v>
      </c>
      <c r="FA5">
        <f t="shared" si="2"/>
        <v>0</v>
      </c>
      <c r="FB5">
        <f t="shared" si="2"/>
        <v>0</v>
      </c>
      <c r="FC5">
        <f t="shared" si="2"/>
        <v>0</v>
      </c>
      <c r="FD5">
        <f t="shared" si="2"/>
        <v>0</v>
      </c>
      <c r="FE5">
        <f t="shared" si="2"/>
        <v>0</v>
      </c>
      <c r="FF5">
        <f t="shared" si="2"/>
        <v>0</v>
      </c>
      <c r="FG5">
        <f t="shared" si="2"/>
        <v>0</v>
      </c>
      <c r="FH5">
        <f t="shared" si="2"/>
        <v>0</v>
      </c>
      <c r="FI5">
        <f t="shared" si="2"/>
        <v>0</v>
      </c>
      <c r="FJ5">
        <f t="shared" si="2"/>
        <v>0</v>
      </c>
      <c r="FK5">
        <f t="shared" si="2"/>
        <v>0</v>
      </c>
      <c r="FL5">
        <f t="shared" si="2"/>
        <v>0</v>
      </c>
      <c r="FM5">
        <f t="shared" si="2"/>
        <v>0</v>
      </c>
      <c r="FN5">
        <f t="shared" si="2"/>
        <v>0</v>
      </c>
      <c r="FO5">
        <f t="shared" si="2"/>
        <v>0</v>
      </c>
      <c r="FP5">
        <f t="shared" si="2"/>
        <v>0</v>
      </c>
      <c r="FQ5">
        <f t="shared" si="2"/>
        <v>0</v>
      </c>
      <c r="FR5">
        <f t="shared" si="2"/>
        <v>0</v>
      </c>
      <c r="FS5">
        <f t="shared" si="2"/>
        <v>0</v>
      </c>
      <c r="FT5">
        <f t="shared" si="2"/>
        <v>0</v>
      </c>
      <c r="FU5">
        <f t="shared" si="2"/>
        <v>0</v>
      </c>
      <c r="FV5">
        <f t="shared" si="2"/>
        <v>0</v>
      </c>
      <c r="FW5">
        <f t="shared" si="2"/>
        <v>0</v>
      </c>
      <c r="FX5">
        <f t="shared" si="2"/>
        <v>0</v>
      </c>
      <c r="FY5">
        <f t="shared" si="2"/>
        <v>0</v>
      </c>
      <c r="FZ5">
        <f t="shared" si="2"/>
        <v>0</v>
      </c>
      <c r="GA5">
        <f t="shared" si="2"/>
        <v>0</v>
      </c>
      <c r="GB5">
        <f t="shared" si="2"/>
        <v>0</v>
      </c>
      <c r="GC5">
        <f t="shared" si="2"/>
        <v>0</v>
      </c>
      <c r="GD5">
        <f t="shared" si="2"/>
        <v>1</v>
      </c>
      <c r="GE5">
        <f t="shared" si="2"/>
        <v>1</v>
      </c>
      <c r="GF5">
        <f t="shared" si="2"/>
        <v>1</v>
      </c>
      <c r="GG5">
        <f t="shared" si="2"/>
        <v>1</v>
      </c>
      <c r="GH5">
        <f t="shared" si="2"/>
        <v>1</v>
      </c>
      <c r="GI5">
        <f t="shared" si="2"/>
        <v>1</v>
      </c>
      <c r="GJ5">
        <f t="shared" si="2"/>
        <v>1</v>
      </c>
      <c r="GK5">
        <f t="shared" si="2"/>
        <v>1</v>
      </c>
      <c r="GL5">
        <f t="shared" si="2"/>
        <v>1</v>
      </c>
      <c r="GM5">
        <f t="shared" si="2"/>
        <v>1</v>
      </c>
      <c r="GN5">
        <f t="shared" ref="GN5:IY5" si="3">IF(GN4&lt;$C$6,0,1)</f>
        <v>1</v>
      </c>
      <c r="GO5">
        <f t="shared" si="3"/>
        <v>1</v>
      </c>
      <c r="GP5">
        <f t="shared" si="3"/>
        <v>1</v>
      </c>
      <c r="GQ5">
        <f t="shared" si="3"/>
        <v>1</v>
      </c>
      <c r="GR5">
        <f t="shared" si="3"/>
        <v>1</v>
      </c>
      <c r="GS5">
        <f t="shared" si="3"/>
        <v>1</v>
      </c>
      <c r="GT5">
        <f t="shared" si="3"/>
        <v>1</v>
      </c>
      <c r="GU5">
        <f t="shared" si="3"/>
        <v>0</v>
      </c>
      <c r="GV5">
        <f t="shared" si="3"/>
        <v>0</v>
      </c>
      <c r="GW5">
        <f t="shared" si="3"/>
        <v>0</v>
      </c>
      <c r="GX5">
        <f t="shared" si="3"/>
        <v>0</v>
      </c>
      <c r="GY5">
        <f t="shared" si="3"/>
        <v>0</v>
      </c>
      <c r="GZ5">
        <f t="shared" si="3"/>
        <v>0</v>
      </c>
      <c r="HA5">
        <f t="shared" si="3"/>
        <v>0</v>
      </c>
      <c r="HB5">
        <f t="shared" si="3"/>
        <v>0</v>
      </c>
      <c r="HC5">
        <f t="shared" si="3"/>
        <v>0</v>
      </c>
      <c r="HD5">
        <f t="shared" si="3"/>
        <v>0</v>
      </c>
      <c r="HE5">
        <f t="shared" si="3"/>
        <v>0</v>
      </c>
      <c r="HF5">
        <f t="shared" si="3"/>
        <v>0</v>
      </c>
      <c r="HG5">
        <f t="shared" si="3"/>
        <v>0</v>
      </c>
      <c r="HH5">
        <f t="shared" si="3"/>
        <v>0</v>
      </c>
      <c r="HI5">
        <f t="shared" si="3"/>
        <v>0</v>
      </c>
      <c r="HJ5">
        <f t="shared" si="3"/>
        <v>0</v>
      </c>
      <c r="HK5">
        <f t="shared" si="3"/>
        <v>0</v>
      </c>
      <c r="HL5">
        <f t="shared" si="3"/>
        <v>0</v>
      </c>
      <c r="HM5">
        <f t="shared" si="3"/>
        <v>0</v>
      </c>
      <c r="HN5">
        <f t="shared" si="3"/>
        <v>0</v>
      </c>
      <c r="HO5">
        <f t="shared" si="3"/>
        <v>0</v>
      </c>
      <c r="HP5">
        <f t="shared" si="3"/>
        <v>0</v>
      </c>
      <c r="HQ5">
        <f t="shared" si="3"/>
        <v>0</v>
      </c>
      <c r="HR5">
        <f t="shared" si="3"/>
        <v>0</v>
      </c>
      <c r="HS5">
        <f t="shared" si="3"/>
        <v>0</v>
      </c>
      <c r="HT5">
        <f t="shared" si="3"/>
        <v>0</v>
      </c>
      <c r="HU5">
        <f t="shared" si="3"/>
        <v>0</v>
      </c>
      <c r="HV5">
        <f t="shared" si="3"/>
        <v>0</v>
      </c>
      <c r="HW5">
        <f t="shared" si="3"/>
        <v>0</v>
      </c>
      <c r="HX5">
        <f t="shared" si="3"/>
        <v>0</v>
      </c>
      <c r="HY5">
        <f t="shared" si="3"/>
        <v>0</v>
      </c>
      <c r="HZ5">
        <f t="shared" si="3"/>
        <v>0</v>
      </c>
      <c r="IA5">
        <f t="shared" si="3"/>
        <v>0</v>
      </c>
      <c r="IB5">
        <f t="shared" si="3"/>
        <v>0</v>
      </c>
      <c r="IC5">
        <f t="shared" si="3"/>
        <v>0</v>
      </c>
      <c r="ID5">
        <f t="shared" si="3"/>
        <v>0</v>
      </c>
      <c r="IE5">
        <f t="shared" si="3"/>
        <v>0</v>
      </c>
      <c r="IF5">
        <f t="shared" si="3"/>
        <v>0</v>
      </c>
      <c r="IG5">
        <f t="shared" si="3"/>
        <v>0</v>
      </c>
      <c r="IH5">
        <f t="shared" si="3"/>
        <v>0</v>
      </c>
      <c r="II5">
        <f t="shared" si="3"/>
        <v>0</v>
      </c>
      <c r="IJ5">
        <f t="shared" si="3"/>
        <v>0</v>
      </c>
      <c r="IK5">
        <f t="shared" si="3"/>
        <v>0</v>
      </c>
      <c r="IL5">
        <f t="shared" si="3"/>
        <v>0</v>
      </c>
      <c r="IM5">
        <f t="shared" si="3"/>
        <v>0</v>
      </c>
      <c r="IN5">
        <f t="shared" si="3"/>
        <v>0</v>
      </c>
      <c r="IO5">
        <f t="shared" si="3"/>
        <v>0</v>
      </c>
      <c r="IP5">
        <f t="shared" si="3"/>
        <v>0</v>
      </c>
      <c r="IQ5">
        <f t="shared" si="3"/>
        <v>0</v>
      </c>
      <c r="IR5">
        <f t="shared" si="3"/>
        <v>0</v>
      </c>
      <c r="IS5">
        <f t="shared" si="3"/>
        <v>0</v>
      </c>
      <c r="IT5">
        <f t="shared" si="3"/>
        <v>0</v>
      </c>
      <c r="IU5">
        <f t="shared" si="3"/>
        <v>0</v>
      </c>
      <c r="IV5">
        <f t="shared" si="3"/>
        <v>0</v>
      </c>
      <c r="IW5">
        <f t="shared" si="3"/>
        <v>0</v>
      </c>
      <c r="IX5">
        <f t="shared" si="3"/>
        <v>0</v>
      </c>
      <c r="IY5">
        <f t="shared" si="3"/>
        <v>0</v>
      </c>
      <c r="IZ5">
        <f t="shared" ref="IZ5:LK5" si="4">IF(IZ4&lt;$C$6,0,1)</f>
        <v>0</v>
      </c>
      <c r="JA5">
        <f t="shared" si="4"/>
        <v>0</v>
      </c>
      <c r="JB5">
        <f t="shared" si="4"/>
        <v>0</v>
      </c>
      <c r="JC5">
        <f t="shared" si="4"/>
        <v>0</v>
      </c>
      <c r="JD5">
        <f t="shared" si="4"/>
        <v>0</v>
      </c>
      <c r="JE5">
        <f t="shared" si="4"/>
        <v>0</v>
      </c>
      <c r="JF5">
        <f t="shared" si="4"/>
        <v>0</v>
      </c>
      <c r="JG5">
        <f t="shared" si="4"/>
        <v>0</v>
      </c>
      <c r="JH5">
        <f t="shared" si="4"/>
        <v>0</v>
      </c>
      <c r="JI5">
        <f t="shared" si="4"/>
        <v>0</v>
      </c>
      <c r="JJ5">
        <f t="shared" si="4"/>
        <v>0</v>
      </c>
      <c r="JK5">
        <f t="shared" si="4"/>
        <v>0</v>
      </c>
      <c r="JL5">
        <f t="shared" si="4"/>
        <v>0</v>
      </c>
      <c r="JM5">
        <f t="shared" si="4"/>
        <v>0</v>
      </c>
      <c r="JN5">
        <f t="shared" si="4"/>
        <v>0</v>
      </c>
      <c r="JO5">
        <f t="shared" si="4"/>
        <v>1</v>
      </c>
      <c r="JP5">
        <f t="shared" si="4"/>
        <v>1</v>
      </c>
      <c r="JQ5">
        <f t="shared" si="4"/>
        <v>1</v>
      </c>
      <c r="JR5">
        <f t="shared" si="4"/>
        <v>1</v>
      </c>
      <c r="JS5">
        <f t="shared" si="4"/>
        <v>1</v>
      </c>
      <c r="JT5">
        <f t="shared" si="4"/>
        <v>1</v>
      </c>
      <c r="JU5">
        <f t="shared" si="4"/>
        <v>1</v>
      </c>
      <c r="JV5">
        <f t="shared" si="4"/>
        <v>1</v>
      </c>
      <c r="JW5">
        <f t="shared" si="4"/>
        <v>1</v>
      </c>
      <c r="JX5">
        <f t="shared" si="4"/>
        <v>1</v>
      </c>
      <c r="JY5">
        <f t="shared" si="4"/>
        <v>1</v>
      </c>
      <c r="JZ5">
        <f t="shared" si="4"/>
        <v>1</v>
      </c>
      <c r="KA5">
        <f t="shared" si="4"/>
        <v>1</v>
      </c>
      <c r="KB5">
        <f t="shared" si="4"/>
        <v>1</v>
      </c>
      <c r="KC5">
        <f t="shared" si="4"/>
        <v>1</v>
      </c>
      <c r="KD5">
        <f t="shared" si="4"/>
        <v>1</v>
      </c>
      <c r="KE5">
        <f t="shared" si="4"/>
        <v>1</v>
      </c>
      <c r="KF5">
        <f t="shared" si="4"/>
        <v>1</v>
      </c>
      <c r="KG5">
        <f t="shared" si="4"/>
        <v>1</v>
      </c>
      <c r="KH5">
        <f t="shared" si="4"/>
        <v>0</v>
      </c>
      <c r="KI5">
        <f t="shared" si="4"/>
        <v>0</v>
      </c>
      <c r="KJ5">
        <f t="shared" si="4"/>
        <v>0</v>
      </c>
      <c r="KK5">
        <f t="shared" si="4"/>
        <v>0</v>
      </c>
      <c r="KL5">
        <f t="shared" si="4"/>
        <v>0</v>
      </c>
      <c r="KM5">
        <f t="shared" si="4"/>
        <v>0</v>
      </c>
      <c r="KN5">
        <f t="shared" si="4"/>
        <v>0</v>
      </c>
      <c r="KO5">
        <f t="shared" si="4"/>
        <v>0</v>
      </c>
      <c r="KP5">
        <f t="shared" si="4"/>
        <v>0</v>
      </c>
      <c r="KQ5">
        <f t="shared" si="4"/>
        <v>0</v>
      </c>
      <c r="KR5">
        <f t="shared" si="4"/>
        <v>0</v>
      </c>
      <c r="KS5">
        <f t="shared" si="4"/>
        <v>0</v>
      </c>
      <c r="KT5">
        <f t="shared" si="4"/>
        <v>0</v>
      </c>
      <c r="KU5">
        <f t="shared" si="4"/>
        <v>0</v>
      </c>
      <c r="KV5">
        <f t="shared" si="4"/>
        <v>0</v>
      </c>
      <c r="KW5">
        <f t="shared" si="4"/>
        <v>0</v>
      </c>
      <c r="KX5">
        <f t="shared" si="4"/>
        <v>0</v>
      </c>
      <c r="KY5">
        <f t="shared" si="4"/>
        <v>0</v>
      </c>
      <c r="KZ5">
        <f t="shared" si="4"/>
        <v>0</v>
      </c>
      <c r="LA5">
        <f t="shared" si="4"/>
        <v>0</v>
      </c>
      <c r="LB5">
        <f t="shared" si="4"/>
        <v>0</v>
      </c>
      <c r="LC5">
        <f t="shared" si="4"/>
        <v>0</v>
      </c>
      <c r="LD5">
        <f t="shared" si="4"/>
        <v>0</v>
      </c>
      <c r="LE5">
        <f t="shared" si="4"/>
        <v>0</v>
      </c>
      <c r="LF5">
        <f t="shared" si="4"/>
        <v>0</v>
      </c>
      <c r="LG5">
        <f t="shared" si="4"/>
        <v>0</v>
      </c>
      <c r="LH5">
        <f t="shared" si="4"/>
        <v>0</v>
      </c>
      <c r="LI5">
        <f t="shared" si="4"/>
        <v>0</v>
      </c>
      <c r="LJ5">
        <f t="shared" si="4"/>
        <v>0</v>
      </c>
      <c r="LK5">
        <f t="shared" si="4"/>
        <v>0</v>
      </c>
      <c r="LL5">
        <f t="shared" ref="LL5:NC5" si="5">IF(LL4&lt;$C$6,0,1)</f>
        <v>0</v>
      </c>
      <c r="LM5">
        <f t="shared" si="5"/>
        <v>0</v>
      </c>
      <c r="LN5">
        <f t="shared" si="5"/>
        <v>0</v>
      </c>
      <c r="LO5">
        <f t="shared" si="5"/>
        <v>0</v>
      </c>
      <c r="LP5">
        <f t="shared" si="5"/>
        <v>0</v>
      </c>
      <c r="LQ5">
        <f t="shared" si="5"/>
        <v>0</v>
      </c>
      <c r="LR5">
        <f t="shared" si="5"/>
        <v>0</v>
      </c>
      <c r="LS5">
        <f t="shared" si="5"/>
        <v>0</v>
      </c>
      <c r="LT5">
        <f t="shared" si="5"/>
        <v>0</v>
      </c>
      <c r="LU5">
        <f t="shared" si="5"/>
        <v>0</v>
      </c>
      <c r="LV5">
        <f t="shared" si="5"/>
        <v>0</v>
      </c>
      <c r="LW5">
        <f t="shared" si="5"/>
        <v>0</v>
      </c>
      <c r="LX5">
        <f t="shared" si="5"/>
        <v>0</v>
      </c>
      <c r="LY5">
        <f t="shared" si="5"/>
        <v>0</v>
      </c>
      <c r="LZ5">
        <f t="shared" si="5"/>
        <v>0</v>
      </c>
      <c r="MA5">
        <f t="shared" si="5"/>
        <v>0</v>
      </c>
      <c r="MB5">
        <f t="shared" si="5"/>
        <v>0</v>
      </c>
      <c r="MC5">
        <f t="shared" si="5"/>
        <v>0</v>
      </c>
      <c r="MD5">
        <f t="shared" si="5"/>
        <v>0</v>
      </c>
      <c r="ME5">
        <f t="shared" si="5"/>
        <v>0</v>
      </c>
      <c r="MF5">
        <f t="shared" si="5"/>
        <v>0</v>
      </c>
      <c r="MG5">
        <f t="shared" si="5"/>
        <v>0</v>
      </c>
      <c r="MH5">
        <f t="shared" si="5"/>
        <v>0</v>
      </c>
      <c r="MI5">
        <f t="shared" si="5"/>
        <v>0</v>
      </c>
      <c r="MJ5">
        <f t="shared" si="5"/>
        <v>0</v>
      </c>
      <c r="MK5">
        <f t="shared" si="5"/>
        <v>0</v>
      </c>
      <c r="ML5">
        <f t="shared" si="5"/>
        <v>0</v>
      </c>
      <c r="MM5">
        <f t="shared" si="5"/>
        <v>0</v>
      </c>
      <c r="MN5">
        <f t="shared" si="5"/>
        <v>0</v>
      </c>
      <c r="MO5">
        <f t="shared" si="5"/>
        <v>0</v>
      </c>
      <c r="MP5">
        <f t="shared" si="5"/>
        <v>0</v>
      </c>
      <c r="MQ5">
        <f t="shared" si="5"/>
        <v>0</v>
      </c>
      <c r="MR5">
        <f t="shared" si="5"/>
        <v>0</v>
      </c>
      <c r="MS5">
        <f t="shared" si="5"/>
        <v>0</v>
      </c>
      <c r="MT5">
        <f t="shared" si="5"/>
        <v>0</v>
      </c>
      <c r="MU5">
        <f t="shared" si="5"/>
        <v>0</v>
      </c>
      <c r="MV5">
        <f t="shared" si="5"/>
        <v>0</v>
      </c>
      <c r="MW5">
        <f t="shared" si="5"/>
        <v>0</v>
      </c>
      <c r="MX5">
        <f t="shared" si="5"/>
        <v>0</v>
      </c>
      <c r="MY5">
        <f t="shared" si="5"/>
        <v>0</v>
      </c>
      <c r="MZ5">
        <f t="shared" si="5"/>
        <v>0</v>
      </c>
      <c r="NA5">
        <f t="shared" si="5"/>
        <v>0</v>
      </c>
      <c r="NB5">
        <f t="shared" si="5"/>
        <v>0</v>
      </c>
      <c r="NC5">
        <f t="shared" si="5"/>
        <v>1</v>
      </c>
    </row>
    <row r="6" spans="2:367">
      <c r="B6" t="s">
        <v>443</v>
      </c>
      <c r="C6">
        <f>MAX(C4:NC4)</f>
        <v>121500</v>
      </c>
    </row>
    <row r="7" spans="2:367">
      <c r="B7" t="s">
        <v>391</v>
      </c>
      <c r="C7" s="154">
        <f>'Параметры займа'!F5+MATCH(1,C5:NC5,0)</f>
        <v>46251</v>
      </c>
    </row>
    <row r="9" spans="2:367">
      <c r="B9" t="s">
        <v>556</v>
      </c>
      <c r="C9" s="319">
        <f>Предпосылки!J30</f>
        <v>46295</v>
      </c>
      <c r="D9" s="319">
        <f>Предпосылки!K30</f>
        <v>46387</v>
      </c>
      <c r="E9" s="319">
        <f>Предпосылки!L30</f>
        <v>46477</v>
      </c>
      <c r="F9" s="319">
        <f>Предпосылки!M30</f>
        <v>46568</v>
      </c>
      <c r="G9" s="319">
        <f>Предпосылки!N30</f>
        <v>46660</v>
      </c>
      <c r="H9" s="319">
        <f>Предпосылки!O30</f>
        <v>46752</v>
      </c>
      <c r="I9" s="319">
        <f>Предпосылки!P30</f>
        <v>46843</v>
      </c>
      <c r="J9" s="319">
        <f>Предпосылки!Q30</f>
        <v>46934</v>
      </c>
      <c r="K9" s="319">
        <f>Предпосылки!R30</f>
        <v>47026</v>
      </c>
      <c r="L9" s="319">
        <f>Предпосылки!S30</f>
        <v>47118</v>
      </c>
      <c r="M9" s="319">
        <f>Предпосылки!T30</f>
        <v>47208</v>
      </c>
      <c r="N9" s="319">
        <f>Предпосылки!U30</f>
        <v>47299</v>
      </c>
      <c r="O9" s="319">
        <f>Предпосылки!V30</f>
        <v>47391</v>
      </c>
      <c r="P9" s="319">
        <f>Предпосылки!W30</f>
        <v>47483</v>
      </c>
      <c r="Q9" s="319">
        <f>Предпосылки!X30</f>
        <v>47573</v>
      </c>
      <c r="R9" s="319">
        <f>Предпосылки!Y30</f>
        <v>47664</v>
      </c>
      <c r="S9" s="319">
        <f>Предпосылки!Z30</f>
        <v>47756</v>
      </c>
      <c r="T9" s="319">
        <f>Предпосылки!AA30</f>
        <v>47848</v>
      </c>
      <c r="U9" s="319">
        <f>Предпосылки!AB30</f>
        <v>47938</v>
      </c>
      <c r="V9" s="319">
        <f>Предпосылки!AC30</f>
        <v>48029</v>
      </c>
      <c r="W9" s="319">
        <f>Предпосылки!AD30</f>
        <v>48121</v>
      </c>
      <c r="X9" s="319">
        <f>Предпосылки!AE30</f>
        <v>48213</v>
      </c>
      <c r="Y9" s="319">
        <f>Предпосылки!AF30</f>
        <v>48304</v>
      </c>
      <c r="Z9" s="319">
        <f>Предпосылки!AG30</f>
        <v>48395</v>
      </c>
      <c r="AA9" s="319">
        <f>Предпосылки!AH30</f>
        <v>48487</v>
      </c>
      <c r="AB9" s="319">
        <f>Предпосылки!AI30</f>
        <v>48579</v>
      </c>
      <c r="AC9" s="319">
        <f>Предпосылки!AJ30</f>
        <v>48669</v>
      </c>
      <c r="AD9" s="319">
        <f>Предпосылки!AK30</f>
        <v>48760</v>
      </c>
      <c r="AE9" s="319">
        <f>Предпосылки!AL30</f>
        <v>48852</v>
      </c>
      <c r="AF9" s="319">
        <f>Предпосылки!AM30</f>
        <v>48944</v>
      </c>
      <c r="AG9" s="319">
        <f>Предпосылки!AN30</f>
        <v>49034</v>
      </c>
      <c r="AH9" s="319">
        <f>Предпосылки!AO30</f>
        <v>49125</v>
      </c>
      <c r="AI9" s="319">
        <f>Предпосылки!AP30</f>
        <v>49217</v>
      </c>
      <c r="AJ9" s="319">
        <f>Предпосылки!AQ30</f>
        <v>49309</v>
      </c>
      <c r="AK9" s="319">
        <f>Предпосылки!AR30</f>
        <v>49399</v>
      </c>
      <c r="AL9" s="319">
        <f>Предпосылки!AS30</f>
        <v>49490</v>
      </c>
      <c r="AM9" s="319">
        <f>Предпосылки!AT30</f>
        <v>49582</v>
      </c>
      <c r="AN9" s="319">
        <f>Предпосылки!AU30</f>
        <v>49674</v>
      </c>
      <c r="AO9" s="319">
        <f>Предпосылки!AV30</f>
        <v>49765</v>
      </c>
      <c r="AP9" s="319">
        <f>Предпосылки!AW30</f>
        <v>49856</v>
      </c>
      <c r="AQ9" s="319">
        <f>Предпосылки!AX30</f>
        <v>49948</v>
      </c>
      <c r="AR9" s="319">
        <f>Предпосылки!AY30</f>
        <v>50040</v>
      </c>
      <c r="AS9" s="319">
        <f>Предпосылки!AZ30</f>
        <v>50130</v>
      </c>
      <c r="AT9" s="319">
        <f>Предпосылки!BA30</f>
        <v>50221</v>
      </c>
      <c r="AU9" s="319">
        <f>Предпосылки!BB30</f>
        <v>50313</v>
      </c>
      <c r="AV9" s="319">
        <f>Предпосылки!BC30</f>
        <v>50405</v>
      </c>
      <c r="AW9" s="319">
        <f>Предпосылки!BD30</f>
        <v>50495</v>
      </c>
      <c r="AX9" s="319">
        <f>Предпосылки!BE30</f>
        <v>50586</v>
      </c>
      <c r="AY9" s="319">
        <f>Предпосылки!BF30</f>
        <v>50678</v>
      </c>
      <c r="AZ9" s="319">
        <f>Предпосылки!BG30</f>
        <v>50770</v>
      </c>
      <c r="BA9" s="319">
        <f>Предпосылки!BH30</f>
        <v>50860</v>
      </c>
      <c r="BB9" s="319">
        <f>Предпосылки!BI30</f>
        <v>50951</v>
      </c>
      <c r="BC9" s="319">
        <f>Предпосылки!BJ30</f>
        <v>51043</v>
      </c>
      <c r="BD9" s="319">
        <f>Предпосылки!BK30</f>
        <v>51135</v>
      </c>
      <c r="BE9" s="319">
        <f>Предпосылки!BL30</f>
        <v>51226</v>
      </c>
      <c r="BF9" s="319">
        <f>Предпосылки!BM30</f>
        <v>51317</v>
      </c>
      <c r="BG9" s="319">
        <f>Предпосылки!BN30</f>
        <v>51409</v>
      </c>
      <c r="BH9" s="319">
        <f>Предпосылки!BO30</f>
        <v>51501</v>
      </c>
      <c r="BI9" s="319">
        <f>Предпосылки!BP30</f>
        <v>51591</v>
      </c>
      <c r="BJ9" s="319">
        <f>Предпосылки!BQ30</f>
        <v>51682</v>
      </c>
      <c r="BK9" s="319">
        <f>Предпосылки!BR30</f>
        <v>51774</v>
      </c>
      <c r="BL9" s="319"/>
      <c r="BM9" s="319"/>
      <c r="BN9" s="319"/>
      <c r="BO9" s="319"/>
      <c r="BP9" s="319"/>
      <c r="BQ9" s="319"/>
      <c r="BR9" s="319"/>
      <c r="BS9" s="319"/>
      <c r="BT9" s="319"/>
      <c r="BU9" s="319"/>
      <c r="BV9" s="319"/>
      <c r="BW9" s="319"/>
    </row>
    <row r="10" spans="2:367">
      <c r="B10" s="92" t="str">
        <f>Предпосылки!H13</f>
        <v>RUB</v>
      </c>
      <c r="C10">
        <f>HLOOKUP(YEAR(C$9),Предпосылки!$C$262:$R$266,2,0)</f>
        <v>1</v>
      </c>
      <c r="D10">
        <f>HLOOKUP(YEAR(D$9),Предпосылки!$C$262:$R$266,2,0)</f>
        <v>1</v>
      </c>
      <c r="E10">
        <f>HLOOKUP(YEAR(E$9),Предпосылки!$C$262:$R$266,2,0)</f>
        <v>1</v>
      </c>
      <c r="F10">
        <f>HLOOKUP(YEAR(F$9),Предпосылки!$C$262:$R$266,2,0)</f>
        <v>1</v>
      </c>
      <c r="G10">
        <f>HLOOKUP(YEAR(G$9),Предпосылки!$C$262:$R$266,2,0)</f>
        <v>1</v>
      </c>
      <c r="H10">
        <f>HLOOKUP(YEAR(H$9),Предпосылки!$C$262:$R$266,2,0)</f>
        <v>1</v>
      </c>
      <c r="I10">
        <f>HLOOKUP(YEAR(I$9),Предпосылки!$C$262:$R$266,2,0)</f>
        <v>1</v>
      </c>
      <c r="J10">
        <f>HLOOKUP(YEAR(J$9),Предпосылки!$C$262:$R$266,2,0)</f>
        <v>1</v>
      </c>
      <c r="K10">
        <f>HLOOKUP(YEAR(K$9),Предпосылки!$C$262:$R$266,2,0)</f>
        <v>1</v>
      </c>
      <c r="L10">
        <f>HLOOKUP(YEAR(L$9),Предпосылки!$C$262:$R$266,2,0)</f>
        <v>1</v>
      </c>
      <c r="M10">
        <f>HLOOKUP(YEAR(M$9),Предпосылки!$C$262:$R$266,2,0)</f>
        <v>1</v>
      </c>
      <c r="N10">
        <f>HLOOKUP(YEAR(N$9),Предпосылки!$C$262:$R$266,2,0)</f>
        <v>1</v>
      </c>
      <c r="O10">
        <f>HLOOKUP(YEAR(O$9),Предпосылки!$C$262:$R$266,2,0)</f>
        <v>1</v>
      </c>
      <c r="P10">
        <f>HLOOKUP(YEAR(P$9),Предпосылки!$C$262:$R$266,2,0)</f>
        <v>1</v>
      </c>
      <c r="Q10">
        <f>HLOOKUP(YEAR(Q$9),Предпосылки!$C$262:$R$266,2,0)</f>
        <v>1</v>
      </c>
      <c r="R10">
        <f>HLOOKUP(YEAR(R$9),Предпосылки!$C$262:$R$266,2,0)</f>
        <v>1</v>
      </c>
      <c r="S10">
        <f>HLOOKUP(YEAR(S$9),Предпосылки!$C$262:$R$266,2,0)</f>
        <v>1</v>
      </c>
      <c r="T10">
        <f>HLOOKUP(YEAR(T$9),Предпосылки!$C$262:$R$266,2,0)</f>
        <v>1</v>
      </c>
      <c r="U10">
        <f>HLOOKUP(YEAR(U$9),Предпосылки!$C$262:$R$266,2,0)</f>
        <v>1</v>
      </c>
      <c r="V10">
        <f>HLOOKUP(YEAR(V$9),Предпосылки!$C$262:$R$266,2,0)</f>
        <v>1</v>
      </c>
      <c r="W10">
        <f>HLOOKUP(YEAR(W$9),Предпосылки!$C$262:$R$266,2,0)</f>
        <v>1</v>
      </c>
      <c r="X10">
        <f>HLOOKUP(YEAR(X$9),Предпосылки!$C$262:$R$266,2,0)</f>
        <v>1</v>
      </c>
      <c r="Y10">
        <f>HLOOKUP(YEAR(Y$9),Предпосылки!$C$262:$R$266,2,0)</f>
        <v>1</v>
      </c>
      <c r="Z10">
        <f>HLOOKUP(YEAR(Z$9),Предпосылки!$C$262:$R$266,2,0)</f>
        <v>1</v>
      </c>
      <c r="AA10">
        <f>HLOOKUP(YEAR(AA$9),Предпосылки!$C$262:$R$266,2,0)</f>
        <v>1</v>
      </c>
      <c r="AB10">
        <f>HLOOKUP(YEAR(AB$9),Предпосылки!$C$262:$R$266,2,0)</f>
        <v>1</v>
      </c>
      <c r="AC10">
        <f>HLOOKUP(YEAR(AC$9),Предпосылки!$C$262:$R$266,2,0)</f>
        <v>1</v>
      </c>
      <c r="AD10">
        <f>HLOOKUP(YEAR(AD$9),Предпосылки!$C$262:$R$266,2,0)</f>
        <v>1</v>
      </c>
      <c r="AE10">
        <f>HLOOKUP(YEAR(AE$9),Предпосылки!$C$262:$R$266,2,0)</f>
        <v>1</v>
      </c>
      <c r="AF10">
        <f>HLOOKUP(YEAR(AF$9),Предпосылки!$C$262:$R$266,2,0)</f>
        <v>1</v>
      </c>
      <c r="AG10">
        <f>HLOOKUP(YEAR(AG$9),Предпосылки!$C$262:$R$266,2,0)</f>
        <v>1</v>
      </c>
      <c r="AH10">
        <f>HLOOKUP(YEAR(AH$9),Предпосылки!$C$262:$R$266,2,0)</f>
        <v>1</v>
      </c>
      <c r="AI10">
        <f>HLOOKUP(YEAR(AI$9),Предпосылки!$C$262:$R$266,2,0)</f>
        <v>1</v>
      </c>
      <c r="AJ10">
        <f>HLOOKUP(YEAR(AJ$9),Предпосылки!$C$262:$R$266,2,0)</f>
        <v>1</v>
      </c>
      <c r="AK10">
        <f>HLOOKUP(YEAR(AK$9),Предпосылки!$C$262:$R$266,2,0)</f>
        <v>1</v>
      </c>
      <c r="AL10">
        <f>HLOOKUP(YEAR(AL$9),Предпосылки!$C$262:$R$266,2,0)</f>
        <v>1</v>
      </c>
      <c r="AM10">
        <f>HLOOKUP(YEAR(AM$9),Предпосылки!$C$262:$R$266,2,0)</f>
        <v>1</v>
      </c>
      <c r="AN10">
        <f>HLOOKUP(YEAR(AN$9),Предпосылки!$C$262:$R$266,2,0)</f>
        <v>1</v>
      </c>
      <c r="AO10">
        <f>HLOOKUP(YEAR(AO$9),Предпосылки!$C$262:$R$266,2,0)</f>
        <v>1</v>
      </c>
      <c r="AP10">
        <f>HLOOKUP(YEAR(AP$9),Предпосылки!$C$262:$R$266,2,0)</f>
        <v>1</v>
      </c>
      <c r="AQ10">
        <f>HLOOKUP(YEAR(AQ$9),Предпосылки!$C$262:$R$266,2,0)</f>
        <v>1</v>
      </c>
      <c r="AR10">
        <f>HLOOKUP(YEAR(AR$9),Предпосылки!$C$262:$R$266,2,0)</f>
        <v>1</v>
      </c>
      <c r="AS10">
        <f>HLOOKUP(YEAR(AS$9),Предпосылки!$C$262:$R$266,2,0)</f>
        <v>1</v>
      </c>
      <c r="AT10">
        <f>HLOOKUP(YEAR(AT$9),Предпосылки!$C$262:$R$266,2,0)</f>
        <v>1</v>
      </c>
      <c r="AU10">
        <f>HLOOKUP(YEAR(AU$9),Предпосылки!$C$262:$R$266,2,0)</f>
        <v>1</v>
      </c>
      <c r="AV10">
        <f>HLOOKUP(YEAR(AV$9),Предпосылки!$C$262:$R$266,2,0)</f>
        <v>1</v>
      </c>
      <c r="AW10">
        <f>HLOOKUP(YEAR(AW$9),Предпосылки!$C$262:$R$266,2,0)</f>
        <v>1</v>
      </c>
      <c r="AX10">
        <f>HLOOKUP(YEAR(AX$9),Предпосылки!$C$262:$R$266,2,0)</f>
        <v>1</v>
      </c>
      <c r="AY10">
        <f>HLOOKUP(YEAR(AY$9),Предпосылки!$C$262:$R$266,2,0)</f>
        <v>1</v>
      </c>
      <c r="AZ10">
        <f>HLOOKUP(YEAR(AZ$9),Предпосылки!$C$262:$R$266,2,0)</f>
        <v>1</v>
      </c>
      <c r="BA10">
        <f>HLOOKUP(YEAR(BA$9),Предпосылки!$C$262:$R$266,2,0)</f>
        <v>1</v>
      </c>
      <c r="BB10">
        <f>HLOOKUP(YEAR(BB$9),Предпосылки!$C$262:$R$266,2,0)</f>
        <v>1</v>
      </c>
      <c r="BC10">
        <f>HLOOKUP(YEAR(BC$9),Предпосылки!$C$262:$R$266,2,0)</f>
        <v>1</v>
      </c>
      <c r="BD10">
        <f>HLOOKUP(YEAR(BD$9),Предпосылки!$C$262:$R$266,2,0)</f>
        <v>1</v>
      </c>
      <c r="BE10">
        <f>HLOOKUP(YEAR(BE$9),Предпосылки!$C$262:$R$266,2,0)</f>
        <v>1</v>
      </c>
      <c r="BF10">
        <f>HLOOKUP(YEAR(BF$9),Предпосылки!$C$262:$R$266,2,0)</f>
        <v>1</v>
      </c>
      <c r="BG10">
        <f>HLOOKUP(YEAR(BG$9),Предпосылки!$C$262:$R$266,2,0)</f>
        <v>1</v>
      </c>
      <c r="BH10">
        <f>HLOOKUP(YEAR(BH$9),Предпосылки!$C$262:$R$266,2,0)</f>
        <v>1</v>
      </c>
      <c r="BI10">
        <f>HLOOKUP(YEAR(BI$9),Предпосылки!$C$262:$R$266,2,0)</f>
        <v>1</v>
      </c>
      <c r="BJ10">
        <f>HLOOKUP(YEAR(BJ$9),Предпосылки!$C$262:$R$266,2,0)</f>
        <v>1</v>
      </c>
      <c r="BK10">
        <f>HLOOKUP(YEAR(BK$9),Предпосылки!$C$262:$R$266,2,0)</f>
        <v>1</v>
      </c>
      <c r="BL10" s="319"/>
      <c r="BM10" s="319"/>
      <c r="BN10" s="319"/>
      <c r="BO10" s="319"/>
      <c r="BP10" s="319"/>
      <c r="BQ10" s="319"/>
      <c r="BR10" s="319"/>
      <c r="BS10" s="319"/>
      <c r="BT10" s="319"/>
      <c r="BU10" s="319"/>
      <c r="BV10" s="319"/>
      <c r="BW10" s="319"/>
    </row>
    <row r="11" spans="2:367">
      <c r="B11" s="92" t="str">
        <f>Предпосылки!H14</f>
        <v>USD</v>
      </c>
      <c r="C11">
        <f>HLOOKUP(YEAR(C$9),Предпосылки!$C$262:$R$266,3,0)</f>
        <v>78.5</v>
      </c>
      <c r="D11">
        <f>HLOOKUP(YEAR(D$9),Предпосылки!$C$262:$R$266,3,0)</f>
        <v>78.5</v>
      </c>
      <c r="E11">
        <f>HLOOKUP(YEAR(E$9),Предпосылки!$C$262:$R$266,3,0)</f>
        <v>78.5</v>
      </c>
      <c r="F11">
        <f>HLOOKUP(YEAR(F$9),Предпосылки!$C$262:$R$266,3,0)</f>
        <v>78.5</v>
      </c>
      <c r="G11">
        <f>HLOOKUP(YEAR(G$9),Предпосылки!$C$262:$R$266,3,0)</f>
        <v>78.5</v>
      </c>
      <c r="H11">
        <f>HLOOKUP(YEAR(H$9),Предпосылки!$C$262:$R$266,3,0)</f>
        <v>78.5</v>
      </c>
      <c r="I11">
        <f>HLOOKUP(YEAR(I$9),Предпосылки!$C$262:$R$266,3,0)</f>
        <v>78.5</v>
      </c>
      <c r="J11">
        <f>HLOOKUP(YEAR(J$9),Предпосылки!$C$262:$R$266,3,0)</f>
        <v>78.5</v>
      </c>
      <c r="K11">
        <f>HLOOKUP(YEAR(K$9),Предпосылки!$C$262:$R$266,3,0)</f>
        <v>78.5</v>
      </c>
      <c r="L11">
        <f>HLOOKUP(YEAR(L$9),Предпосылки!$C$262:$R$266,3,0)</f>
        <v>78.5</v>
      </c>
      <c r="M11">
        <f>HLOOKUP(YEAR(M$9),Предпосылки!$C$262:$R$266,3,0)</f>
        <v>78.5</v>
      </c>
      <c r="N11">
        <f>HLOOKUP(YEAR(N$9),Предпосылки!$C$262:$R$266,3,0)</f>
        <v>78.5</v>
      </c>
      <c r="O11">
        <f>HLOOKUP(YEAR(O$9),Предпосылки!$C$262:$R$266,3,0)</f>
        <v>78.5</v>
      </c>
      <c r="P11">
        <f>HLOOKUP(YEAR(P$9),Предпосылки!$C$262:$R$266,3,0)</f>
        <v>78.5</v>
      </c>
      <c r="Q11">
        <f>HLOOKUP(YEAR(Q$9),Предпосылки!$C$262:$R$266,3,0)</f>
        <v>78.5</v>
      </c>
      <c r="R11">
        <f>HLOOKUP(YEAR(R$9),Предпосылки!$C$262:$R$266,3,0)</f>
        <v>78.5</v>
      </c>
      <c r="S11">
        <f>HLOOKUP(YEAR(S$9),Предпосылки!$C$262:$R$266,3,0)</f>
        <v>78.5</v>
      </c>
      <c r="T11">
        <f>HLOOKUP(YEAR(T$9),Предпосылки!$C$262:$R$266,3,0)</f>
        <v>78.5</v>
      </c>
      <c r="U11">
        <f>HLOOKUP(YEAR(U$9),Предпосылки!$C$262:$R$266,3,0)</f>
        <v>78.5</v>
      </c>
      <c r="V11">
        <f>HLOOKUP(YEAR(V$9),Предпосылки!$C$262:$R$266,3,0)</f>
        <v>78.5</v>
      </c>
      <c r="W11">
        <f>HLOOKUP(YEAR(W$9),Предпосылки!$C$262:$R$266,3,0)</f>
        <v>78.5</v>
      </c>
      <c r="X11">
        <f>HLOOKUP(YEAR(X$9),Предпосылки!$C$262:$R$266,3,0)</f>
        <v>78.5</v>
      </c>
      <c r="Y11">
        <f>HLOOKUP(YEAR(Y$9),Предпосылки!$C$262:$R$266,3,0)</f>
        <v>78.5</v>
      </c>
      <c r="Z11">
        <f>HLOOKUP(YEAR(Z$9),Предпосылки!$C$262:$R$266,3,0)</f>
        <v>78.5</v>
      </c>
      <c r="AA11">
        <f>HLOOKUP(YEAR(AA$9),Предпосылки!$C$262:$R$266,3,0)</f>
        <v>78.5</v>
      </c>
      <c r="AB11">
        <f>HLOOKUP(YEAR(AB$9),Предпосылки!$C$262:$R$266,3,0)</f>
        <v>78.5</v>
      </c>
      <c r="AC11">
        <f>HLOOKUP(YEAR(AC$9),Предпосылки!$C$262:$R$266,3,0)</f>
        <v>78.5</v>
      </c>
      <c r="AD11">
        <f>HLOOKUP(YEAR(AD$9),Предпосылки!$C$262:$R$266,3,0)</f>
        <v>78.5</v>
      </c>
      <c r="AE11">
        <f>HLOOKUP(YEAR(AE$9),Предпосылки!$C$262:$R$266,3,0)</f>
        <v>78.5</v>
      </c>
      <c r="AF11">
        <f>HLOOKUP(YEAR(AF$9),Предпосылки!$C$262:$R$266,3,0)</f>
        <v>78.5</v>
      </c>
      <c r="AG11">
        <f>HLOOKUP(YEAR(AG$9),Предпосылки!$C$262:$R$266,3,0)</f>
        <v>78.5</v>
      </c>
      <c r="AH11">
        <f>HLOOKUP(YEAR(AH$9),Предпосылки!$C$262:$R$266,3,0)</f>
        <v>78.5</v>
      </c>
      <c r="AI11">
        <f>HLOOKUP(YEAR(AI$9),Предпосылки!$C$262:$R$266,3,0)</f>
        <v>78.5</v>
      </c>
      <c r="AJ11">
        <f>HLOOKUP(YEAR(AJ$9),Предпосылки!$C$262:$R$266,3,0)</f>
        <v>78.5</v>
      </c>
      <c r="AK11">
        <f>HLOOKUP(YEAR(AK$9),Предпосылки!$C$262:$R$266,3,0)</f>
        <v>78.5</v>
      </c>
      <c r="AL11">
        <f>HLOOKUP(YEAR(AL$9),Предпосылки!$C$262:$R$266,3,0)</f>
        <v>78.5</v>
      </c>
      <c r="AM11">
        <f>HLOOKUP(YEAR(AM$9),Предпосылки!$C$262:$R$266,3,0)</f>
        <v>78.5</v>
      </c>
      <c r="AN11">
        <f>HLOOKUP(YEAR(AN$9),Предпосылки!$C$262:$R$266,3,0)</f>
        <v>78.5</v>
      </c>
      <c r="AO11">
        <f>HLOOKUP(YEAR(AO$9),Предпосылки!$C$262:$R$266,3,0)</f>
        <v>78.5</v>
      </c>
      <c r="AP11">
        <f>HLOOKUP(YEAR(AP$9),Предпосылки!$C$262:$R$266,3,0)</f>
        <v>78.5</v>
      </c>
      <c r="AQ11">
        <f>HLOOKUP(YEAR(AQ$9),Предпосылки!$C$262:$R$266,3,0)</f>
        <v>78.5</v>
      </c>
      <c r="AR11">
        <f>HLOOKUP(YEAR(AR$9),Предпосылки!$C$262:$R$266,3,0)</f>
        <v>78.5</v>
      </c>
      <c r="AS11">
        <f>HLOOKUP(YEAR(AS$9),Предпосылки!$C$262:$R$266,3,0)</f>
        <v>78.5</v>
      </c>
      <c r="AT11">
        <f>HLOOKUP(YEAR(AT$9),Предпосылки!$C$262:$R$266,3,0)</f>
        <v>78.5</v>
      </c>
      <c r="AU11">
        <f>HLOOKUP(YEAR(AU$9),Предпосылки!$C$262:$R$266,3,0)</f>
        <v>78.5</v>
      </c>
      <c r="AV11">
        <f>HLOOKUP(YEAR(AV$9),Предпосылки!$C$262:$R$266,3,0)</f>
        <v>78.5</v>
      </c>
      <c r="AW11">
        <f>HLOOKUP(YEAR(AW$9),Предпосылки!$C$262:$R$266,3,0)</f>
        <v>78.5</v>
      </c>
      <c r="AX11">
        <f>HLOOKUP(YEAR(AX$9),Предпосылки!$C$262:$R$266,3,0)</f>
        <v>78.5</v>
      </c>
      <c r="AY11">
        <f>HLOOKUP(YEAR(AY$9),Предпосылки!$C$262:$R$266,3,0)</f>
        <v>78.5</v>
      </c>
      <c r="AZ11">
        <f>HLOOKUP(YEAR(AZ$9),Предпосылки!$C$262:$R$266,3,0)</f>
        <v>78.5</v>
      </c>
      <c r="BA11">
        <f>HLOOKUP(YEAR(BA$9),Предпосылки!$C$262:$R$266,3,0)</f>
        <v>78.5</v>
      </c>
      <c r="BB11">
        <f>HLOOKUP(YEAR(BB$9),Предпосылки!$C$262:$R$266,3,0)</f>
        <v>78.5</v>
      </c>
      <c r="BC11">
        <f>HLOOKUP(YEAR(BC$9),Предпосылки!$C$262:$R$266,3,0)</f>
        <v>78.5</v>
      </c>
      <c r="BD11">
        <f>HLOOKUP(YEAR(BD$9),Предпосылки!$C$262:$R$266,3,0)</f>
        <v>78.5</v>
      </c>
      <c r="BE11">
        <f>HLOOKUP(YEAR(BE$9),Предпосылки!$C$262:$R$266,3,0)</f>
        <v>78.5</v>
      </c>
      <c r="BF11">
        <f>HLOOKUP(YEAR(BF$9),Предпосылки!$C$262:$R$266,3,0)</f>
        <v>78.5</v>
      </c>
      <c r="BG11">
        <f>HLOOKUP(YEAR(BG$9),Предпосылки!$C$262:$R$266,3,0)</f>
        <v>78.5</v>
      </c>
      <c r="BH11">
        <f>HLOOKUP(YEAR(BH$9),Предпосылки!$C$262:$R$266,3,0)</f>
        <v>78.5</v>
      </c>
      <c r="BI11">
        <f>HLOOKUP(YEAR(BI$9),Предпосылки!$C$262:$R$266,3,0)</f>
        <v>78.5</v>
      </c>
      <c r="BJ11">
        <f>HLOOKUP(YEAR(BJ$9),Предпосылки!$C$262:$R$266,3,0)</f>
        <v>78.5</v>
      </c>
      <c r="BK11">
        <f>HLOOKUP(YEAR(BK$9),Предпосылки!$C$262:$R$266,3,0)</f>
        <v>78.5</v>
      </c>
    </row>
    <row r="12" spans="2:367">
      <c r="B12" s="92" t="str">
        <f>Предпосылки!H15</f>
        <v>CNY</v>
      </c>
      <c r="C12">
        <f>HLOOKUP(YEAR(C$9),Предпосылки!$C$262:$R$266,4,0)</f>
        <v>11.7</v>
      </c>
      <c r="D12">
        <f>HLOOKUP(YEAR(D$9),Предпосылки!$C$262:$R$266,4,0)</f>
        <v>11.7</v>
      </c>
      <c r="E12">
        <f>HLOOKUP(YEAR(E$9),Предпосылки!$C$262:$R$266,4,0)</f>
        <v>11.7</v>
      </c>
      <c r="F12">
        <f>HLOOKUP(YEAR(F$9),Предпосылки!$C$262:$R$266,4,0)</f>
        <v>11.7</v>
      </c>
      <c r="G12">
        <f>HLOOKUP(YEAR(G$9),Предпосылки!$C$262:$R$266,4,0)</f>
        <v>11.7</v>
      </c>
      <c r="H12">
        <f>HLOOKUP(YEAR(H$9),Предпосылки!$C$262:$R$266,4,0)</f>
        <v>11.7</v>
      </c>
      <c r="I12">
        <f>HLOOKUP(YEAR(I$9),Предпосылки!$C$262:$R$266,4,0)</f>
        <v>11.7</v>
      </c>
      <c r="J12">
        <f>HLOOKUP(YEAR(J$9),Предпосылки!$C$262:$R$266,4,0)</f>
        <v>11.7</v>
      </c>
      <c r="K12">
        <f>HLOOKUP(YEAR(K$9),Предпосылки!$C$262:$R$266,4,0)</f>
        <v>11.7</v>
      </c>
      <c r="L12">
        <f>HLOOKUP(YEAR(L$9),Предпосылки!$C$262:$R$266,4,0)</f>
        <v>11.7</v>
      </c>
      <c r="M12">
        <f>HLOOKUP(YEAR(M$9),Предпосылки!$C$262:$R$266,4,0)</f>
        <v>11.7</v>
      </c>
      <c r="N12">
        <f>HLOOKUP(YEAR(N$9),Предпосылки!$C$262:$R$266,4,0)</f>
        <v>11.7</v>
      </c>
      <c r="O12">
        <f>HLOOKUP(YEAR(O$9),Предпосылки!$C$262:$R$266,4,0)</f>
        <v>11.7</v>
      </c>
      <c r="P12">
        <f>HLOOKUP(YEAR(P$9),Предпосылки!$C$262:$R$266,4,0)</f>
        <v>11.7</v>
      </c>
      <c r="Q12">
        <f>HLOOKUP(YEAR(Q$9),Предпосылки!$C$262:$R$266,4,0)</f>
        <v>11.7</v>
      </c>
      <c r="R12">
        <f>HLOOKUP(YEAR(R$9),Предпосылки!$C$262:$R$266,4,0)</f>
        <v>11.7</v>
      </c>
      <c r="S12">
        <f>HLOOKUP(YEAR(S$9),Предпосылки!$C$262:$R$266,4,0)</f>
        <v>11.7</v>
      </c>
      <c r="T12">
        <f>HLOOKUP(YEAR(T$9),Предпосылки!$C$262:$R$266,4,0)</f>
        <v>11.7</v>
      </c>
      <c r="U12">
        <f>HLOOKUP(YEAR(U$9),Предпосылки!$C$262:$R$266,4,0)</f>
        <v>11.7</v>
      </c>
      <c r="V12">
        <f>HLOOKUP(YEAR(V$9),Предпосылки!$C$262:$R$266,4,0)</f>
        <v>11.7</v>
      </c>
      <c r="W12">
        <f>HLOOKUP(YEAR(W$9),Предпосылки!$C$262:$R$266,4,0)</f>
        <v>11.7</v>
      </c>
      <c r="X12">
        <f>HLOOKUP(YEAR(X$9),Предпосылки!$C$262:$R$266,4,0)</f>
        <v>11.7</v>
      </c>
      <c r="Y12">
        <f>HLOOKUP(YEAR(Y$9),Предпосылки!$C$262:$R$266,4,0)</f>
        <v>11.7</v>
      </c>
      <c r="Z12">
        <f>HLOOKUP(YEAR(Z$9),Предпосылки!$C$262:$R$266,4,0)</f>
        <v>11.7</v>
      </c>
      <c r="AA12">
        <f>HLOOKUP(YEAR(AA$9),Предпосылки!$C$262:$R$266,4,0)</f>
        <v>11.7</v>
      </c>
      <c r="AB12">
        <f>HLOOKUP(YEAR(AB$9),Предпосылки!$C$262:$R$266,4,0)</f>
        <v>11.7</v>
      </c>
      <c r="AC12">
        <f>HLOOKUP(YEAR(AC$9),Предпосылки!$C$262:$R$266,4,0)</f>
        <v>11.7</v>
      </c>
      <c r="AD12">
        <f>HLOOKUP(YEAR(AD$9),Предпосылки!$C$262:$R$266,4,0)</f>
        <v>11.7</v>
      </c>
      <c r="AE12">
        <f>HLOOKUP(YEAR(AE$9),Предпосылки!$C$262:$R$266,4,0)</f>
        <v>11.7</v>
      </c>
      <c r="AF12">
        <f>HLOOKUP(YEAR(AF$9),Предпосылки!$C$262:$R$266,4,0)</f>
        <v>11.7</v>
      </c>
      <c r="AG12">
        <f>HLOOKUP(YEAR(AG$9),Предпосылки!$C$262:$R$266,4,0)</f>
        <v>11.7</v>
      </c>
      <c r="AH12">
        <f>HLOOKUP(YEAR(AH$9),Предпосылки!$C$262:$R$266,4,0)</f>
        <v>11.7</v>
      </c>
      <c r="AI12">
        <f>HLOOKUP(YEAR(AI$9),Предпосылки!$C$262:$R$266,4,0)</f>
        <v>11.7</v>
      </c>
      <c r="AJ12">
        <f>HLOOKUP(YEAR(AJ$9),Предпосылки!$C$262:$R$266,4,0)</f>
        <v>11.7</v>
      </c>
      <c r="AK12">
        <f>HLOOKUP(YEAR(AK$9),Предпосылки!$C$262:$R$266,4,0)</f>
        <v>11.7</v>
      </c>
      <c r="AL12">
        <f>HLOOKUP(YEAR(AL$9),Предпосылки!$C$262:$R$266,4,0)</f>
        <v>11.7</v>
      </c>
      <c r="AM12">
        <f>HLOOKUP(YEAR(AM$9),Предпосылки!$C$262:$R$266,4,0)</f>
        <v>11.7</v>
      </c>
      <c r="AN12">
        <f>HLOOKUP(YEAR(AN$9),Предпосылки!$C$262:$R$266,4,0)</f>
        <v>11.7</v>
      </c>
      <c r="AO12">
        <f>HLOOKUP(YEAR(AO$9),Предпосылки!$C$262:$R$266,4,0)</f>
        <v>11.7</v>
      </c>
      <c r="AP12">
        <f>HLOOKUP(YEAR(AP$9),Предпосылки!$C$262:$R$266,4,0)</f>
        <v>11.7</v>
      </c>
      <c r="AQ12">
        <f>HLOOKUP(YEAR(AQ$9),Предпосылки!$C$262:$R$266,4,0)</f>
        <v>11.7</v>
      </c>
      <c r="AR12">
        <f>HLOOKUP(YEAR(AR$9),Предпосылки!$C$262:$R$266,4,0)</f>
        <v>11.7</v>
      </c>
      <c r="AS12">
        <f>HLOOKUP(YEAR(AS$9),Предпосылки!$C$262:$R$266,4,0)</f>
        <v>11.7</v>
      </c>
      <c r="AT12">
        <f>HLOOKUP(YEAR(AT$9),Предпосылки!$C$262:$R$266,4,0)</f>
        <v>11.7</v>
      </c>
      <c r="AU12">
        <f>HLOOKUP(YEAR(AU$9),Предпосылки!$C$262:$R$266,4,0)</f>
        <v>11.7</v>
      </c>
      <c r="AV12">
        <f>HLOOKUP(YEAR(AV$9),Предпосылки!$C$262:$R$266,4,0)</f>
        <v>11.7</v>
      </c>
      <c r="AW12">
        <f>HLOOKUP(YEAR(AW$9),Предпосылки!$C$262:$R$266,4,0)</f>
        <v>11.7</v>
      </c>
      <c r="AX12">
        <f>HLOOKUP(YEAR(AX$9),Предпосылки!$C$262:$R$266,4,0)</f>
        <v>11.7</v>
      </c>
      <c r="AY12">
        <f>HLOOKUP(YEAR(AY$9),Предпосылки!$C$262:$R$266,4,0)</f>
        <v>11.7</v>
      </c>
      <c r="AZ12">
        <f>HLOOKUP(YEAR(AZ$9),Предпосылки!$C$262:$R$266,4,0)</f>
        <v>11.7</v>
      </c>
      <c r="BA12">
        <f>HLOOKUP(YEAR(BA$9),Предпосылки!$C$262:$R$266,4,0)</f>
        <v>11.7</v>
      </c>
      <c r="BB12">
        <f>HLOOKUP(YEAR(BB$9),Предпосылки!$C$262:$R$266,4,0)</f>
        <v>11.7</v>
      </c>
      <c r="BC12">
        <f>HLOOKUP(YEAR(BC$9),Предпосылки!$C$262:$R$266,4,0)</f>
        <v>11.7</v>
      </c>
      <c r="BD12">
        <f>HLOOKUP(YEAR(BD$9),Предпосылки!$C$262:$R$266,4,0)</f>
        <v>11.7</v>
      </c>
      <c r="BE12">
        <f>HLOOKUP(YEAR(BE$9),Предпосылки!$C$262:$R$266,4,0)</f>
        <v>11.7</v>
      </c>
      <c r="BF12">
        <f>HLOOKUP(YEAR(BF$9),Предпосылки!$C$262:$R$266,4,0)</f>
        <v>11.7</v>
      </c>
      <c r="BG12">
        <f>HLOOKUP(YEAR(BG$9),Предпосылки!$C$262:$R$266,4,0)</f>
        <v>11.7</v>
      </c>
      <c r="BH12">
        <f>HLOOKUP(YEAR(BH$9),Предпосылки!$C$262:$R$266,4,0)</f>
        <v>11.7</v>
      </c>
      <c r="BI12">
        <f>HLOOKUP(YEAR(BI$9),Предпосылки!$C$262:$R$266,4,0)</f>
        <v>11.7</v>
      </c>
      <c r="BJ12">
        <f>HLOOKUP(YEAR(BJ$9),Предпосылки!$C$262:$R$266,4,0)</f>
        <v>11.7</v>
      </c>
      <c r="BK12">
        <f>HLOOKUP(YEAR(BK$9),Предпосылки!$C$262:$R$266,4,0)</f>
        <v>11.7</v>
      </c>
    </row>
    <row r="13" spans="2:367">
      <c r="B13" s="92" t="str">
        <f>Предпосылки!H16</f>
        <v>EUR</v>
      </c>
      <c r="C13">
        <f>HLOOKUP(YEAR(C$9),Предпосылки!$C$262:$R$266,5,0)</f>
        <v>91.5</v>
      </c>
      <c r="D13">
        <f>HLOOKUP(YEAR(D$9),Предпосылки!$C$262:$R$266,5,0)</f>
        <v>91.5</v>
      </c>
      <c r="E13">
        <f>HLOOKUP(YEAR(E$9),Предпосылки!$C$262:$R$266,5,0)</f>
        <v>91.5</v>
      </c>
      <c r="F13">
        <f>HLOOKUP(YEAR(F$9),Предпосылки!$C$262:$R$266,5,0)</f>
        <v>91.5</v>
      </c>
      <c r="G13">
        <f>HLOOKUP(YEAR(G$9),Предпосылки!$C$262:$R$266,5,0)</f>
        <v>91.5</v>
      </c>
      <c r="H13">
        <f>HLOOKUP(YEAR(H$9),Предпосылки!$C$262:$R$266,5,0)</f>
        <v>91.5</v>
      </c>
      <c r="I13">
        <f>HLOOKUP(YEAR(I$9),Предпосылки!$C$262:$R$266,5,0)</f>
        <v>91.5</v>
      </c>
      <c r="J13">
        <f>HLOOKUP(YEAR(J$9),Предпосылки!$C$262:$R$266,5,0)</f>
        <v>91.5</v>
      </c>
      <c r="K13">
        <f>HLOOKUP(YEAR(K$9),Предпосылки!$C$262:$R$266,5,0)</f>
        <v>91.5</v>
      </c>
      <c r="L13">
        <f>HLOOKUP(YEAR(L$9),Предпосылки!$C$262:$R$266,5,0)</f>
        <v>91.5</v>
      </c>
      <c r="M13">
        <f>HLOOKUP(YEAR(M$9),Предпосылки!$C$262:$R$266,5,0)</f>
        <v>91.5</v>
      </c>
      <c r="N13">
        <f>HLOOKUP(YEAR(N$9),Предпосылки!$C$262:$R$266,5,0)</f>
        <v>91.5</v>
      </c>
      <c r="O13">
        <f>HLOOKUP(YEAR(O$9),Предпосылки!$C$262:$R$266,5,0)</f>
        <v>91.5</v>
      </c>
      <c r="P13">
        <f>HLOOKUP(YEAR(P$9),Предпосылки!$C$262:$R$266,5,0)</f>
        <v>91.5</v>
      </c>
      <c r="Q13">
        <f>HLOOKUP(YEAR(Q$9),Предпосылки!$C$262:$R$266,5,0)</f>
        <v>91.5</v>
      </c>
      <c r="R13">
        <f>HLOOKUP(YEAR(R$9),Предпосылки!$C$262:$R$266,5,0)</f>
        <v>91.5</v>
      </c>
      <c r="S13">
        <f>HLOOKUP(YEAR(S$9),Предпосылки!$C$262:$R$266,5,0)</f>
        <v>91.5</v>
      </c>
      <c r="T13">
        <f>HLOOKUP(YEAR(T$9),Предпосылки!$C$262:$R$266,5,0)</f>
        <v>91.5</v>
      </c>
      <c r="U13">
        <f>HLOOKUP(YEAR(U$9),Предпосылки!$C$262:$R$266,5,0)</f>
        <v>91.5</v>
      </c>
      <c r="V13">
        <f>HLOOKUP(YEAR(V$9),Предпосылки!$C$262:$R$266,5,0)</f>
        <v>91.5</v>
      </c>
      <c r="W13">
        <f>HLOOKUP(YEAR(W$9),Предпосылки!$C$262:$R$266,5,0)</f>
        <v>91.5</v>
      </c>
      <c r="X13">
        <f>HLOOKUP(YEAR(X$9),Предпосылки!$C$262:$R$266,5,0)</f>
        <v>91.5</v>
      </c>
      <c r="Y13">
        <f>HLOOKUP(YEAR(Y$9),Предпосылки!$C$262:$R$266,5,0)</f>
        <v>91.5</v>
      </c>
      <c r="Z13">
        <f>HLOOKUP(YEAR(Z$9),Предпосылки!$C$262:$R$266,5,0)</f>
        <v>91.5</v>
      </c>
      <c r="AA13">
        <f>HLOOKUP(YEAR(AA$9),Предпосылки!$C$262:$R$266,5,0)</f>
        <v>91.5</v>
      </c>
      <c r="AB13">
        <f>HLOOKUP(YEAR(AB$9),Предпосылки!$C$262:$R$266,5,0)</f>
        <v>91.5</v>
      </c>
      <c r="AC13">
        <f>HLOOKUP(YEAR(AC$9),Предпосылки!$C$262:$R$266,5,0)</f>
        <v>91.5</v>
      </c>
      <c r="AD13">
        <f>HLOOKUP(YEAR(AD$9),Предпосылки!$C$262:$R$266,5,0)</f>
        <v>91.5</v>
      </c>
      <c r="AE13">
        <f>HLOOKUP(YEAR(AE$9),Предпосылки!$C$262:$R$266,5,0)</f>
        <v>91.5</v>
      </c>
      <c r="AF13">
        <f>HLOOKUP(YEAR(AF$9),Предпосылки!$C$262:$R$266,5,0)</f>
        <v>91.5</v>
      </c>
      <c r="AG13">
        <f>HLOOKUP(YEAR(AG$9),Предпосылки!$C$262:$R$266,5,0)</f>
        <v>91.5</v>
      </c>
      <c r="AH13">
        <f>HLOOKUP(YEAR(AH$9),Предпосылки!$C$262:$R$266,5,0)</f>
        <v>91.5</v>
      </c>
      <c r="AI13">
        <f>HLOOKUP(YEAR(AI$9),Предпосылки!$C$262:$R$266,5,0)</f>
        <v>91.5</v>
      </c>
      <c r="AJ13">
        <f>HLOOKUP(YEAR(AJ$9),Предпосылки!$C$262:$R$266,5,0)</f>
        <v>91.5</v>
      </c>
      <c r="AK13">
        <f>HLOOKUP(YEAR(AK$9),Предпосылки!$C$262:$R$266,5,0)</f>
        <v>91.5</v>
      </c>
      <c r="AL13">
        <f>HLOOKUP(YEAR(AL$9),Предпосылки!$C$262:$R$266,5,0)</f>
        <v>91.5</v>
      </c>
      <c r="AM13">
        <f>HLOOKUP(YEAR(AM$9),Предпосылки!$C$262:$R$266,5,0)</f>
        <v>91.5</v>
      </c>
      <c r="AN13">
        <f>HLOOKUP(YEAR(AN$9),Предпосылки!$C$262:$R$266,5,0)</f>
        <v>91.5</v>
      </c>
      <c r="AO13">
        <f>HLOOKUP(YEAR(AO$9),Предпосылки!$C$262:$R$266,5,0)</f>
        <v>91.5</v>
      </c>
      <c r="AP13">
        <f>HLOOKUP(YEAR(AP$9),Предпосылки!$C$262:$R$266,5,0)</f>
        <v>91.5</v>
      </c>
      <c r="AQ13">
        <f>HLOOKUP(YEAR(AQ$9),Предпосылки!$C$262:$R$266,5,0)</f>
        <v>91.5</v>
      </c>
      <c r="AR13">
        <f>HLOOKUP(YEAR(AR$9),Предпосылки!$C$262:$R$266,5,0)</f>
        <v>91.5</v>
      </c>
      <c r="AS13">
        <f>HLOOKUP(YEAR(AS$9),Предпосылки!$C$262:$R$266,5,0)</f>
        <v>91.5</v>
      </c>
      <c r="AT13">
        <f>HLOOKUP(YEAR(AT$9),Предпосылки!$C$262:$R$266,5,0)</f>
        <v>91.5</v>
      </c>
      <c r="AU13">
        <f>HLOOKUP(YEAR(AU$9),Предпосылки!$C$262:$R$266,5,0)</f>
        <v>91.5</v>
      </c>
      <c r="AV13">
        <f>HLOOKUP(YEAR(AV$9),Предпосылки!$C$262:$R$266,5,0)</f>
        <v>91.5</v>
      </c>
      <c r="AW13">
        <f>HLOOKUP(YEAR(AW$9),Предпосылки!$C$262:$R$266,5,0)</f>
        <v>91.5</v>
      </c>
      <c r="AX13">
        <f>HLOOKUP(YEAR(AX$9),Предпосылки!$C$262:$R$266,5,0)</f>
        <v>91.5</v>
      </c>
      <c r="AY13">
        <f>HLOOKUP(YEAR(AY$9),Предпосылки!$C$262:$R$266,5,0)</f>
        <v>91.5</v>
      </c>
      <c r="AZ13">
        <f>HLOOKUP(YEAR(AZ$9),Предпосылки!$C$262:$R$266,5,0)</f>
        <v>91.5</v>
      </c>
      <c r="BA13">
        <f>HLOOKUP(YEAR(BA$9),Предпосылки!$C$262:$R$266,5,0)</f>
        <v>91.5</v>
      </c>
      <c r="BB13">
        <f>HLOOKUP(YEAR(BB$9),Предпосылки!$C$262:$R$266,5,0)</f>
        <v>91.5</v>
      </c>
      <c r="BC13">
        <f>HLOOKUP(YEAR(BC$9),Предпосылки!$C$262:$R$266,5,0)</f>
        <v>91.5</v>
      </c>
      <c r="BD13">
        <f>HLOOKUP(YEAR(BD$9),Предпосылки!$C$262:$R$266,5,0)</f>
        <v>91.5</v>
      </c>
      <c r="BE13">
        <f>HLOOKUP(YEAR(BE$9),Предпосылки!$C$262:$R$266,5,0)</f>
        <v>91.5</v>
      </c>
      <c r="BF13">
        <f>HLOOKUP(YEAR(BF$9),Предпосылки!$C$262:$R$266,5,0)</f>
        <v>91.5</v>
      </c>
      <c r="BG13">
        <f>HLOOKUP(YEAR(BG$9),Предпосылки!$C$262:$R$266,5,0)</f>
        <v>91.5</v>
      </c>
      <c r="BH13">
        <f>HLOOKUP(YEAR(BH$9),Предпосылки!$C$262:$R$266,5,0)</f>
        <v>91.5</v>
      </c>
      <c r="BI13">
        <f>HLOOKUP(YEAR(BI$9),Предпосылки!$C$262:$R$266,5,0)</f>
        <v>91.5</v>
      </c>
      <c r="BJ13">
        <f>HLOOKUP(YEAR(BJ$9),Предпосылки!$C$262:$R$266,5,0)</f>
        <v>91.5</v>
      </c>
      <c r="BK13">
        <f>HLOOKUP(YEAR(BK$9),Предпосылки!$C$262:$R$266,5,0)</f>
        <v>91.5</v>
      </c>
    </row>
    <row r="15" spans="2:367" ht="21">
      <c r="B15" s="21" t="s">
        <v>603</v>
      </c>
    </row>
    <row r="16" spans="2:367">
      <c r="B16" s="334" t="s">
        <v>604</v>
      </c>
    </row>
    <row r="17" spans="2:2">
      <c r="B17" s="70" t="s">
        <v>605</v>
      </c>
    </row>
    <row r="18" spans="2:2">
      <c r="B18" s="15" t="s">
        <v>606</v>
      </c>
    </row>
    <row r="19" spans="2:2">
      <c r="B19" s="15" t="s">
        <v>607</v>
      </c>
    </row>
    <row r="20" spans="2:2">
      <c r="B20" s="15" t="s">
        <v>608</v>
      </c>
    </row>
    <row r="21" spans="2:2">
      <c r="B21" s="15" t="s">
        <v>609</v>
      </c>
    </row>
    <row r="22" spans="2:2">
      <c r="B22" s="15" t="s">
        <v>610</v>
      </c>
    </row>
    <row r="23" spans="2:2">
      <c r="B23" s="15" t="s">
        <v>611</v>
      </c>
    </row>
    <row r="24" spans="2:2">
      <c r="B24" s="15" t="s">
        <v>612</v>
      </c>
    </row>
    <row r="25" spans="2:2">
      <c r="B25" s="15" t="s">
        <v>613</v>
      </c>
    </row>
    <row r="26" spans="2:2">
      <c r="B26" s="15" t="s">
        <v>614</v>
      </c>
    </row>
    <row r="27" spans="2:2" ht="30">
      <c r="B27" s="15" t="s">
        <v>615</v>
      </c>
    </row>
    <row r="28" spans="2:2" ht="30">
      <c r="B28" s="15" t="s">
        <v>616</v>
      </c>
    </row>
    <row r="29" spans="2:2">
      <c r="B29" s="15" t="s">
        <v>617</v>
      </c>
    </row>
    <row r="30" spans="2:2">
      <c r="B30" s="15" t="s">
        <v>618</v>
      </c>
    </row>
    <row r="31" spans="2:2">
      <c r="B31" s="15" t="s">
        <v>619</v>
      </c>
    </row>
    <row r="32" spans="2:2">
      <c r="B32" s="15" t="s">
        <v>620</v>
      </c>
    </row>
    <row r="33" spans="2:2" ht="30">
      <c r="B33" s="15" t="s">
        <v>621</v>
      </c>
    </row>
    <row r="34" spans="2:2" ht="30">
      <c r="B34" s="15" t="s">
        <v>622</v>
      </c>
    </row>
    <row r="35" spans="2:2">
      <c r="B35" s="15" t="s">
        <v>623</v>
      </c>
    </row>
    <row r="36" spans="2:2">
      <c r="B36" s="15" t="s">
        <v>624</v>
      </c>
    </row>
    <row r="37" spans="2:2" ht="30">
      <c r="B37" s="15" t="s">
        <v>625</v>
      </c>
    </row>
    <row r="38" spans="2:2">
      <c r="B38" s="15" t="s">
        <v>626</v>
      </c>
    </row>
    <row r="39" spans="2:2">
      <c r="B39" s="15" t="s">
        <v>627</v>
      </c>
    </row>
    <row r="40" spans="2:2">
      <c r="B40" s="15" t="s">
        <v>628</v>
      </c>
    </row>
    <row r="41" spans="2:2">
      <c r="B41" s="15" t="s">
        <v>629</v>
      </c>
    </row>
    <row r="42" spans="2:2">
      <c r="B42" s="15" t="s">
        <v>630</v>
      </c>
    </row>
    <row r="43" spans="2:2">
      <c r="B43" s="15" t="s">
        <v>631</v>
      </c>
    </row>
    <row r="44" spans="2:2">
      <c r="B44" s="15" t="s">
        <v>632</v>
      </c>
    </row>
    <row r="45" spans="2:2">
      <c r="B45" s="15" t="s">
        <v>633</v>
      </c>
    </row>
    <row r="46" spans="2:2">
      <c r="B46" s="15" t="s">
        <v>634</v>
      </c>
    </row>
    <row r="47" spans="2:2" ht="30">
      <c r="B47" s="15" t="s">
        <v>635</v>
      </c>
    </row>
    <row r="48" spans="2:2">
      <c r="B48" s="15" t="s">
        <v>636</v>
      </c>
    </row>
    <row r="49" spans="2:2">
      <c r="B49" s="15" t="s">
        <v>637</v>
      </c>
    </row>
    <row r="50" spans="2:2">
      <c r="B50" s="15" t="s">
        <v>638</v>
      </c>
    </row>
    <row r="51" spans="2:2">
      <c r="B51" s="15" t="s">
        <v>639</v>
      </c>
    </row>
    <row r="52" spans="2:2" ht="30">
      <c r="B52" s="15" t="s">
        <v>640</v>
      </c>
    </row>
    <row r="53" spans="2:2">
      <c r="B53" s="15" t="s">
        <v>641</v>
      </c>
    </row>
    <row r="54" spans="2:2">
      <c r="B54" s="15" t="s">
        <v>642</v>
      </c>
    </row>
    <row r="55" spans="2:2">
      <c r="B55" s="15" t="s">
        <v>643</v>
      </c>
    </row>
    <row r="56" spans="2:2">
      <c r="B56" s="15" t="s">
        <v>644</v>
      </c>
    </row>
    <row r="57" spans="2:2">
      <c r="B57" s="15" t="s">
        <v>645</v>
      </c>
    </row>
    <row r="58" spans="2:2">
      <c r="B58" s="15" t="s">
        <v>646</v>
      </c>
    </row>
    <row r="59" spans="2:2">
      <c r="B59" s="15" t="s">
        <v>647</v>
      </c>
    </row>
    <row r="60" spans="2:2">
      <c r="B60" s="15" t="s">
        <v>648</v>
      </c>
    </row>
    <row r="61" spans="2:2">
      <c r="B61" s="15" t="s">
        <v>649</v>
      </c>
    </row>
    <row r="62" spans="2:2">
      <c r="B62" s="15" t="s">
        <v>650</v>
      </c>
    </row>
    <row r="63" spans="2:2">
      <c r="B63" s="340" t="s">
        <v>651</v>
      </c>
    </row>
    <row r="64" spans="2:2">
      <c r="B64" s="15" t="s">
        <v>652</v>
      </c>
    </row>
    <row r="65" spans="2:2" ht="30">
      <c r="B65" s="15" t="s">
        <v>653</v>
      </c>
    </row>
    <row r="66" spans="2:2">
      <c r="B66" s="15" t="s">
        <v>654</v>
      </c>
    </row>
    <row r="67" spans="2:2">
      <c r="B67" s="15" t="s">
        <v>655</v>
      </c>
    </row>
    <row r="68" spans="2:2">
      <c r="B68" s="15" t="s">
        <v>656</v>
      </c>
    </row>
    <row r="69" spans="2:2">
      <c r="B69" s="15" t="s">
        <v>657</v>
      </c>
    </row>
    <row r="70" spans="2:2">
      <c r="B70" s="15" t="s">
        <v>658</v>
      </c>
    </row>
    <row r="71" spans="2:2">
      <c r="B71" s="15" t="s">
        <v>659</v>
      </c>
    </row>
    <row r="72" spans="2:2">
      <c r="B72" s="15" t="s">
        <v>660</v>
      </c>
    </row>
    <row r="73" spans="2:2">
      <c r="B73" s="15" t="s">
        <v>661</v>
      </c>
    </row>
    <row r="74" spans="2:2">
      <c r="B74" s="15" t="s">
        <v>662</v>
      </c>
    </row>
    <row r="75" spans="2:2" ht="30">
      <c r="B75" s="15" t="s">
        <v>663</v>
      </c>
    </row>
    <row r="76" spans="2:2" ht="30">
      <c r="B76" s="15" t="s">
        <v>664</v>
      </c>
    </row>
    <row r="77" spans="2:2">
      <c r="B77" s="15" t="s">
        <v>665</v>
      </c>
    </row>
    <row r="78" spans="2:2">
      <c r="B78" s="15" t="s">
        <v>666</v>
      </c>
    </row>
    <row r="79" spans="2:2">
      <c r="B79" s="15" t="s">
        <v>667</v>
      </c>
    </row>
    <row r="80" spans="2:2">
      <c r="B80" s="15" t="s">
        <v>668</v>
      </c>
    </row>
    <row r="81" spans="2:2">
      <c r="B81" s="15" t="s">
        <v>669</v>
      </c>
    </row>
    <row r="82" spans="2:2">
      <c r="B82" s="15" t="s">
        <v>670</v>
      </c>
    </row>
    <row r="83" spans="2:2">
      <c r="B83" s="15" t="s">
        <v>671</v>
      </c>
    </row>
    <row r="84" spans="2:2">
      <c r="B84" s="15" t="s">
        <v>672</v>
      </c>
    </row>
    <row r="85" spans="2:2">
      <c r="B85" s="15" t="s">
        <v>673</v>
      </c>
    </row>
    <row r="86" spans="2:2">
      <c r="B86" s="15" t="s">
        <v>674</v>
      </c>
    </row>
    <row r="87" spans="2:2">
      <c r="B87" s="15" t="s">
        <v>675</v>
      </c>
    </row>
    <row r="88" spans="2:2">
      <c r="B88" s="15" t="s">
        <v>676</v>
      </c>
    </row>
    <row r="89" spans="2:2">
      <c r="B89" s="15" t="s">
        <v>677</v>
      </c>
    </row>
    <row r="90" spans="2:2">
      <c r="B90" s="15" t="s">
        <v>678</v>
      </c>
    </row>
    <row r="91" spans="2:2">
      <c r="B91" s="15" t="s">
        <v>679</v>
      </c>
    </row>
    <row r="92" spans="2:2">
      <c r="B92" s="15" t="s">
        <v>680</v>
      </c>
    </row>
    <row r="93" spans="2:2">
      <c r="B93" s="15" t="s">
        <v>681</v>
      </c>
    </row>
    <row r="94" spans="2:2">
      <c r="B94" s="15" t="s">
        <v>682</v>
      </c>
    </row>
    <row r="95" spans="2:2">
      <c r="B95" s="15" t="s">
        <v>683</v>
      </c>
    </row>
    <row r="96" spans="2:2">
      <c r="B96" s="15" t="s">
        <v>684</v>
      </c>
    </row>
    <row r="97" spans="2:3">
      <c r="B97" s="15" t="s">
        <v>685</v>
      </c>
    </row>
    <row r="98" spans="2:3" ht="45">
      <c r="B98" s="15" t="s">
        <v>686</v>
      </c>
    </row>
    <row r="99" spans="2:3">
      <c r="B99" s="15" t="s">
        <v>687</v>
      </c>
    </row>
    <row r="100" spans="2:3">
      <c r="B100" s="15" t="s">
        <v>688</v>
      </c>
    </row>
    <row r="101" spans="2:3">
      <c r="B101" s="15" t="s">
        <v>689</v>
      </c>
    </row>
    <row r="102" spans="2:3">
      <c r="B102" s="15" t="s">
        <v>690</v>
      </c>
    </row>
    <row r="103" spans="2:3" ht="30">
      <c r="B103" s="15" t="s">
        <v>691</v>
      </c>
    </row>
    <row r="104" spans="2:3" ht="30">
      <c r="B104" s="15" t="s">
        <v>692</v>
      </c>
    </row>
    <row r="105" spans="2:3">
      <c r="B105" s="15" t="s">
        <v>693</v>
      </c>
    </row>
    <row r="107" spans="2:3" ht="21">
      <c r="B107" s="21" t="s">
        <v>694</v>
      </c>
    </row>
    <row r="108" spans="2:3" ht="30">
      <c r="B108" s="334" t="s">
        <v>695</v>
      </c>
      <c r="C108" s="334" t="s">
        <v>696</v>
      </c>
    </row>
    <row r="109" spans="2:3">
      <c r="B109" s="341" t="s">
        <v>697</v>
      </c>
      <c r="C109" s="342" t="s">
        <v>156</v>
      </c>
    </row>
    <row r="110" spans="2:3">
      <c r="B110" s="343" t="s">
        <v>698</v>
      </c>
      <c r="C110" s="344" t="s">
        <v>157</v>
      </c>
    </row>
    <row r="111" spans="2:3">
      <c r="B111" s="343" t="s">
        <v>699</v>
      </c>
      <c r="C111" s="344" t="s">
        <v>398</v>
      </c>
    </row>
    <row r="112" spans="2:3">
      <c r="B112" s="343" t="s">
        <v>700</v>
      </c>
      <c r="C112" s="344" t="s">
        <v>701</v>
      </c>
    </row>
    <row r="113" spans="2:3" ht="45">
      <c r="B113" s="343" t="s">
        <v>702</v>
      </c>
      <c r="C113" s="344" t="s">
        <v>703</v>
      </c>
    </row>
    <row r="114" spans="2:3">
      <c r="B114" s="343" t="s">
        <v>704</v>
      </c>
      <c r="C114" s="344" t="s">
        <v>705</v>
      </c>
    </row>
    <row r="115" spans="2:3">
      <c r="B115" s="343" t="s">
        <v>706</v>
      </c>
      <c r="C115" s="344" t="s">
        <v>707</v>
      </c>
    </row>
    <row r="116" spans="2:3">
      <c r="B116" s="343" t="s">
        <v>708</v>
      </c>
      <c r="C116" s="344" t="s">
        <v>709</v>
      </c>
    </row>
    <row r="117" spans="2:3">
      <c r="B117" s="343" t="s">
        <v>710</v>
      </c>
      <c r="C117" s="344" t="s">
        <v>711</v>
      </c>
    </row>
    <row r="118" spans="2:3">
      <c r="B118" s="343" t="s">
        <v>712</v>
      </c>
      <c r="C118" s="344" t="s">
        <v>713</v>
      </c>
    </row>
    <row r="119" spans="2:3">
      <c r="B119" s="343" t="s">
        <v>714</v>
      </c>
      <c r="C119" s="344" t="s">
        <v>715</v>
      </c>
    </row>
    <row r="120" spans="2:3">
      <c r="B120" s="343" t="s">
        <v>716</v>
      </c>
      <c r="C120" s="344" t="s">
        <v>717</v>
      </c>
    </row>
    <row r="121" spans="2:3">
      <c r="B121" s="343" t="s">
        <v>718</v>
      </c>
      <c r="C121" s="344" t="s">
        <v>719</v>
      </c>
    </row>
    <row r="122" spans="2:3">
      <c r="B122" s="343" t="s">
        <v>720</v>
      </c>
      <c r="C122" s="344" t="s">
        <v>721</v>
      </c>
    </row>
    <row r="123" spans="2:3">
      <c r="B123" s="343" t="s">
        <v>722</v>
      </c>
      <c r="C123" s="344" t="s">
        <v>723</v>
      </c>
    </row>
    <row r="124" spans="2:3">
      <c r="B124" s="343" t="s">
        <v>724</v>
      </c>
      <c r="C124" s="344" t="s">
        <v>725</v>
      </c>
    </row>
    <row r="125" spans="2:3">
      <c r="B125" s="343" t="s">
        <v>726</v>
      </c>
      <c r="C125" s="344" t="s">
        <v>727</v>
      </c>
    </row>
    <row r="126" spans="2:3">
      <c r="B126" s="343" t="s">
        <v>728</v>
      </c>
      <c r="C126" s="344" t="s">
        <v>729</v>
      </c>
    </row>
    <row r="127" spans="2:3">
      <c r="B127" s="343" t="s">
        <v>730</v>
      </c>
      <c r="C127" s="344" t="s">
        <v>731</v>
      </c>
    </row>
    <row r="128" spans="2:3">
      <c r="B128" s="343" t="s">
        <v>732</v>
      </c>
      <c r="C128" s="344" t="s">
        <v>733</v>
      </c>
    </row>
    <row r="129" spans="2:3" ht="30">
      <c r="B129" s="343" t="s">
        <v>734</v>
      </c>
      <c r="C129" s="344" t="s">
        <v>735</v>
      </c>
    </row>
    <row r="130" spans="2:3">
      <c r="B130" s="343" t="s">
        <v>736</v>
      </c>
      <c r="C130" s="344" t="s">
        <v>737</v>
      </c>
    </row>
    <row r="131" spans="2:3">
      <c r="B131" s="343" t="s">
        <v>738</v>
      </c>
      <c r="C131" s="344" t="s">
        <v>739</v>
      </c>
    </row>
    <row r="132" spans="2:3">
      <c r="B132" s="343" t="s">
        <v>740</v>
      </c>
      <c r="C132" s="344" t="s">
        <v>741</v>
      </c>
    </row>
    <row r="133" spans="2:3">
      <c r="B133" s="343" t="s">
        <v>742</v>
      </c>
      <c r="C133" s="344" t="s">
        <v>743</v>
      </c>
    </row>
    <row r="134" spans="2:3">
      <c r="B134" s="343" t="s">
        <v>744</v>
      </c>
      <c r="C134" s="344" t="s">
        <v>745</v>
      </c>
    </row>
    <row r="135" spans="2:3">
      <c r="B135" s="343" t="s">
        <v>746</v>
      </c>
      <c r="C135" s="344" t="s">
        <v>747</v>
      </c>
    </row>
    <row r="136" spans="2:3">
      <c r="B136" s="343" t="s">
        <v>748</v>
      </c>
      <c r="C136" s="344" t="s">
        <v>749</v>
      </c>
    </row>
    <row r="137" spans="2:3">
      <c r="B137" s="343" t="s">
        <v>750</v>
      </c>
      <c r="C137" s="344" t="s">
        <v>751</v>
      </c>
    </row>
    <row r="138" spans="2:3">
      <c r="B138" s="343" t="s">
        <v>752</v>
      </c>
      <c r="C138" s="344" t="s">
        <v>753</v>
      </c>
    </row>
    <row r="139" spans="2:3">
      <c r="B139" s="343" t="s">
        <v>754</v>
      </c>
      <c r="C139" s="344" t="s">
        <v>755</v>
      </c>
    </row>
    <row r="140" spans="2:3">
      <c r="B140" s="343" t="s">
        <v>756</v>
      </c>
      <c r="C140" s="344" t="s">
        <v>757</v>
      </c>
    </row>
    <row r="141" spans="2:3">
      <c r="B141" s="343" t="s">
        <v>758</v>
      </c>
      <c r="C141" s="344" t="s">
        <v>759</v>
      </c>
    </row>
  </sheetData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4"/>
  <dimension ref="A2:BK251"/>
  <sheetViews>
    <sheetView workbookViewId="0">
      <selection activeCell="H13" sqref="H13"/>
    </sheetView>
  </sheetViews>
  <sheetFormatPr defaultColWidth="8.85546875" defaultRowHeight="12.75"/>
  <cols>
    <col min="1" max="1" width="13.140625" style="190" customWidth="1"/>
    <col min="2" max="2" width="33" style="190" customWidth="1"/>
    <col min="3" max="6" width="12.85546875" style="190" bestFit="1" customWidth="1"/>
    <col min="7" max="16384" width="8.85546875" style="190"/>
  </cols>
  <sheetData>
    <row r="2" spans="2:18">
      <c r="G2" s="186" t="s">
        <v>459</v>
      </c>
    </row>
    <row r="3" spans="2:18">
      <c r="B3" s="552" t="s">
        <v>452</v>
      </c>
      <c r="C3" s="553"/>
      <c r="D3" s="553"/>
      <c r="E3" s="553"/>
      <c r="F3" s="553"/>
      <c r="G3" s="553"/>
      <c r="H3" s="553"/>
      <c r="I3" s="553"/>
      <c r="J3" s="553"/>
      <c r="K3" s="554"/>
      <c r="L3" s="554"/>
      <c r="M3" s="554"/>
      <c r="N3" s="554"/>
      <c r="O3" s="554"/>
      <c r="P3" s="554"/>
      <c r="Q3" s="554"/>
      <c r="R3" s="555"/>
    </row>
    <row r="4" spans="2:18">
      <c r="B4" s="175" t="s">
        <v>255</v>
      </c>
      <c r="C4" s="175" t="e">
        <f>Выводы!#REF!</f>
        <v>#REF!</v>
      </c>
      <c r="D4" s="175" t="e">
        <f t="shared" ref="D4:R4" si="0">C4+1</f>
        <v>#REF!</v>
      </c>
      <c r="E4" s="175" t="e">
        <f t="shared" si="0"/>
        <v>#REF!</v>
      </c>
      <c r="F4" s="175" t="e">
        <f t="shared" si="0"/>
        <v>#REF!</v>
      </c>
      <c r="G4" s="175" t="e">
        <f t="shared" si="0"/>
        <v>#REF!</v>
      </c>
      <c r="H4" s="175" t="e">
        <f t="shared" si="0"/>
        <v>#REF!</v>
      </c>
      <c r="I4" s="175" t="e">
        <f t="shared" si="0"/>
        <v>#REF!</v>
      </c>
      <c r="J4" s="175" t="e">
        <f t="shared" si="0"/>
        <v>#REF!</v>
      </c>
      <c r="K4" s="175" t="e">
        <f t="shared" si="0"/>
        <v>#REF!</v>
      </c>
      <c r="L4" s="175" t="e">
        <f t="shared" si="0"/>
        <v>#REF!</v>
      </c>
      <c r="M4" s="175" t="e">
        <f t="shared" si="0"/>
        <v>#REF!</v>
      </c>
      <c r="N4" s="175" t="e">
        <f t="shared" si="0"/>
        <v>#REF!</v>
      </c>
      <c r="O4" s="175" t="e">
        <f t="shared" si="0"/>
        <v>#REF!</v>
      </c>
      <c r="P4" s="175" t="e">
        <f t="shared" si="0"/>
        <v>#REF!</v>
      </c>
      <c r="Q4" s="175" t="e">
        <f t="shared" si="0"/>
        <v>#REF!</v>
      </c>
      <c r="R4" s="175" t="e">
        <f t="shared" si="0"/>
        <v>#REF!</v>
      </c>
    </row>
    <row r="5" spans="2:18">
      <c r="B5" s="175" t="s">
        <v>11</v>
      </c>
      <c r="C5" s="175" t="s">
        <v>453</v>
      </c>
      <c r="D5" s="175" t="s">
        <v>453</v>
      </c>
      <c r="E5" s="175" t="s">
        <v>453</v>
      </c>
      <c r="F5" s="175" t="s">
        <v>453</v>
      </c>
      <c r="G5" s="175" t="s">
        <v>453</v>
      </c>
      <c r="H5" s="175" t="s">
        <v>453</v>
      </c>
      <c r="I5" s="175" t="s">
        <v>453</v>
      </c>
      <c r="J5" s="175" t="s">
        <v>453</v>
      </c>
      <c r="K5" s="175" t="s">
        <v>453</v>
      </c>
      <c r="L5" s="175" t="s">
        <v>453</v>
      </c>
      <c r="M5" s="175" t="s">
        <v>453</v>
      </c>
      <c r="N5" s="175" t="s">
        <v>453</v>
      </c>
      <c r="O5" s="175" t="s">
        <v>453</v>
      </c>
      <c r="P5" s="175" t="s">
        <v>453</v>
      </c>
      <c r="Q5" s="175" t="s">
        <v>453</v>
      </c>
      <c r="R5" s="175" t="s">
        <v>453</v>
      </c>
    </row>
    <row r="6" spans="2:18">
      <c r="B6" s="176" t="s">
        <v>87</v>
      </c>
      <c r="C6" s="205">
        <f>SUMIF(Выводы!$F$28:$U$28,tables!C$4,Выводы!$F30:$U30)</f>
        <v>0</v>
      </c>
      <c r="D6" s="205">
        <f>SUMIF(Выводы!$F$28:$U$28,tables!D$4,Выводы!$F30:$U30)</f>
        <v>0</v>
      </c>
      <c r="E6" s="205">
        <f>SUMIF(Выводы!$F$28:$U$28,tables!E$4,Выводы!$F30:$U30)</f>
        <v>0</v>
      </c>
      <c r="F6" s="205">
        <f>SUMIF(Выводы!$F$28:$U$28,tables!F$4,Выводы!$F30:$U30)</f>
        <v>0</v>
      </c>
      <c r="G6" s="205">
        <f>SUMIF(Выводы!$F$28:$U$28,tables!G$4,Выводы!$F30:$U30)</f>
        <v>0</v>
      </c>
      <c r="H6" s="205">
        <f>SUMIF(Выводы!$F$28:$U$28,tables!H$4,Выводы!$F30:$U30)</f>
        <v>0</v>
      </c>
      <c r="I6" s="205">
        <f>SUMIF(Выводы!$F$28:$U$28,tables!I$4,Выводы!$F30:$U30)</f>
        <v>0</v>
      </c>
      <c r="J6" s="205">
        <f>SUMIF(Выводы!$F$28:$U$28,tables!J$4,Выводы!$F30:$U30)</f>
        <v>0</v>
      </c>
      <c r="K6" s="205">
        <f>SUMIF(Выводы!$F$28:$U$28,tables!K$4,Выводы!$F30:$U30)</f>
        <v>0</v>
      </c>
      <c r="L6" s="205">
        <f>SUMIF(Выводы!$F$28:$U$28,tables!L$4,Выводы!$F30:$U30)</f>
        <v>0</v>
      </c>
      <c r="M6" s="205">
        <f>SUMIF(Выводы!$F$28:$U$28,tables!M$4,Выводы!$F30:$U30)</f>
        <v>0</v>
      </c>
      <c r="N6" s="205">
        <f>SUMIF(Выводы!$F$28:$U$28,tables!N$4,Выводы!$F30:$U30)</f>
        <v>0</v>
      </c>
      <c r="O6" s="205">
        <f>SUMIF(Выводы!$F$28:$U$28,tables!O$4,Выводы!$F30:$U30)</f>
        <v>0</v>
      </c>
      <c r="P6" s="205">
        <f>SUMIF(Выводы!$F$28:$U$28,tables!P$4,Выводы!$F30:$U30)</f>
        <v>0</v>
      </c>
      <c r="Q6" s="205">
        <f>SUMIF(Выводы!$F$28:$U$28,tables!Q$4,Выводы!$F30:$U30)</f>
        <v>0</v>
      </c>
      <c r="R6" s="205">
        <f>SUMIF(Выводы!$F$28:$U$28,tables!R$4,Выводы!$F30:$U30)</f>
        <v>0</v>
      </c>
    </row>
    <row r="7" spans="2:18">
      <c r="B7" s="176" t="s">
        <v>267</v>
      </c>
      <c r="C7" s="205">
        <f>SUMIF(Выводы!$F$28:$U$28,tables!C$4,Выводы!$F32:$U32)</f>
        <v>0</v>
      </c>
      <c r="D7" s="205">
        <f>SUMIF(Выводы!$F$28:$U$28,tables!D$4,Выводы!$F32:$U32)</f>
        <v>0</v>
      </c>
      <c r="E7" s="205">
        <f>SUMIF(Выводы!$F$28:$U$28,tables!E$4,Выводы!$F32:$U32)</f>
        <v>0</v>
      </c>
      <c r="F7" s="205">
        <f>SUMIF(Выводы!$F$28:$U$28,tables!F$4,Выводы!$F32:$U32)</f>
        <v>0</v>
      </c>
      <c r="G7" s="205">
        <f>SUMIF(Выводы!$F$28:$U$28,tables!G$4,Выводы!$F32:$U32)</f>
        <v>0</v>
      </c>
      <c r="H7" s="205">
        <f>SUMIF(Выводы!$F$28:$U$28,tables!H$4,Выводы!$F32:$U32)</f>
        <v>0</v>
      </c>
      <c r="I7" s="205">
        <f>SUMIF(Выводы!$F$28:$U$28,tables!I$4,Выводы!$F32:$U32)</f>
        <v>0</v>
      </c>
      <c r="J7" s="205">
        <f>SUMIF(Выводы!$F$28:$U$28,tables!J$4,Выводы!$F32:$U32)</f>
        <v>0</v>
      </c>
      <c r="K7" s="205">
        <f>SUMIF(Выводы!$F$28:$U$28,tables!K$4,Выводы!$F32:$U32)</f>
        <v>0</v>
      </c>
      <c r="L7" s="205">
        <f>SUMIF(Выводы!$F$28:$U$28,tables!L$4,Выводы!$F32:$U32)</f>
        <v>0</v>
      </c>
      <c r="M7" s="205">
        <f>SUMIF(Выводы!$F$28:$U$28,tables!M$4,Выводы!$F32:$U32)</f>
        <v>0</v>
      </c>
      <c r="N7" s="205">
        <f>SUMIF(Выводы!$F$28:$U$28,tables!N$4,Выводы!$F32:$U32)</f>
        <v>0</v>
      </c>
      <c r="O7" s="205">
        <f>SUMIF(Выводы!$F$28:$U$28,tables!O$4,Выводы!$F32:$U32)</f>
        <v>0</v>
      </c>
      <c r="P7" s="205">
        <f>SUMIF(Выводы!$F$28:$U$28,tables!P$4,Выводы!$F32:$U32)</f>
        <v>0</v>
      </c>
      <c r="Q7" s="205">
        <f>SUMIF(Выводы!$F$28:$U$28,tables!Q$4,Выводы!$F32:$U32)</f>
        <v>0</v>
      </c>
      <c r="R7" s="205">
        <f>SUMIF(Выводы!$F$28:$U$28,tables!R$4,Выводы!$F32:$U32)</f>
        <v>0</v>
      </c>
    </row>
    <row r="8" spans="2:18">
      <c r="B8" s="177" t="s">
        <v>511</v>
      </c>
      <c r="C8" s="205" t="str">
        <f>IFERROR(C7/C6,"-")</f>
        <v>-</v>
      </c>
      <c r="D8" s="205" t="str">
        <f t="shared" ref="D8:R8" si="1">IFERROR(D7/D6,"-")</f>
        <v>-</v>
      </c>
      <c r="E8" s="205" t="str">
        <f t="shared" si="1"/>
        <v>-</v>
      </c>
      <c r="F8" s="205" t="str">
        <f t="shared" si="1"/>
        <v>-</v>
      </c>
      <c r="G8" s="205" t="str">
        <f t="shared" si="1"/>
        <v>-</v>
      </c>
      <c r="H8" s="205" t="str">
        <f t="shared" si="1"/>
        <v>-</v>
      </c>
      <c r="I8" s="205" t="str">
        <f t="shared" si="1"/>
        <v>-</v>
      </c>
      <c r="J8" s="205" t="str">
        <f t="shared" si="1"/>
        <v>-</v>
      </c>
      <c r="K8" s="205" t="str">
        <f t="shared" si="1"/>
        <v>-</v>
      </c>
      <c r="L8" s="205" t="str">
        <f t="shared" si="1"/>
        <v>-</v>
      </c>
      <c r="M8" s="205" t="str">
        <f t="shared" si="1"/>
        <v>-</v>
      </c>
      <c r="N8" s="205" t="str">
        <f t="shared" si="1"/>
        <v>-</v>
      </c>
      <c r="O8" s="205" t="str">
        <f t="shared" si="1"/>
        <v>-</v>
      </c>
      <c r="P8" s="205" t="str">
        <f t="shared" si="1"/>
        <v>-</v>
      </c>
      <c r="Q8" s="205" t="str">
        <f t="shared" si="1"/>
        <v>-</v>
      </c>
      <c r="R8" s="205" t="str">
        <f t="shared" si="1"/>
        <v>-</v>
      </c>
    </row>
    <row r="9" spans="2:18">
      <c r="B9" s="176" t="s">
        <v>268</v>
      </c>
      <c r="C9" s="205">
        <f>SUMIF(Выводы!$F$28:$U$28,tables!C$4,Выводы!$F38:$U38)</f>
        <v>0</v>
      </c>
      <c r="D9" s="205">
        <f>SUMIF(Выводы!$F$28:$U$28,tables!D$4,Выводы!$F38:$U38)</f>
        <v>0</v>
      </c>
      <c r="E9" s="205">
        <f>SUMIF(Выводы!$F$28:$U$28,tables!E$4,Выводы!$F38:$U38)</f>
        <v>0</v>
      </c>
      <c r="F9" s="205">
        <f>SUMIF(Выводы!$F$28:$U$28,tables!F$4,Выводы!$F38:$U38)</f>
        <v>0</v>
      </c>
      <c r="G9" s="205">
        <f>SUMIF(Выводы!$F$28:$U$28,tables!G$4,Выводы!$F38:$U38)</f>
        <v>0</v>
      </c>
      <c r="H9" s="205">
        <f>SUMIF(Выводы!$F$28:$U$28,tables!H$4,Выводы!$F38:$U38)</f>
        <v>0</v>
      </c>
      <c r="I9" s="205">
        <f>SUMIF(Выводы!$F$28:$U$28,tables!I$4,Выводы!$F38:$U38)</f>
        <v>0</v>
      </c>
      <c r="J9" s="205">
        <f>SUMIF(Выводы!$F$28:$U$28,tables!J$4,Выводы!$F38:$U38)</f>
        <v>0</v>
      </c>
      <c r="K9" s="205">
        <f>SUMIF(Выводы!$F$28:$U$28,tables!K$4,Выводы!$F38:$U38)</f>
        <v>0</v>
      </c>
      <c r="L9" s="205">
        <f>SUMIF(Выводы!$F$28:$U$28,tables!L$4,Выводы!$F38:$U38)</f>
        <v>0</v>
      </c>
      <c r="M9" s="205">
        <f>SUMIF(Выводы!$F$28:$U$28,tables!M$4,Выводы!$F38:$U38)</f>
        <v>0</v>
      </c>
      <c r="N9" s="205">
        <f>SUMIF(Выводы!$F$28:$U$28,tables!N$4,Выводы!$F38:$U38)</f>
        <v>0</v>
      </c>
      <c r="O9" s="205">
        <f>SUMIF(Выводы!$F$28:$U$28,tables!O$4,Выводы!$F38:$U38)</f>
        <v>0</v>
      </c>
      <c r="P9" s="205">
        <f>SUMIF(Выводы!$F$28:$U$28,tables!P$4,Выводы!$F38:$U38)</f>
        <v>0</v>
      </c>
      <c r="Q9" s="205">
        <f>SUMIF(Выводы!$F$28:$U$28,tables!Q$4,Выводы!$F38:$U38)</f>
        <v>0</v>
      </c>
      <c r="R9" s="205">
        <f>SUMIF(Выводы!$F$28:$U$28,tables!R$4,Выводы!$F38:$U38)</f>
        <v>0</v>
      </c>
    </row>
    <row r="10" spans="2:18">
      <c r="B10" s="177" t="s">
        <v>511</v>
      </c>
      <c r="C10" s="205" t="str">
        <f>IFERROR(C9/C6,"-")</f>
        <v>-</v>
      </c>
      <c r="D10" s="205" t="str">
        <f t="shared" ref="D10:R10" si="2">IFERROR(D9/D6,"-")</f>
        <v>-</v>
      </c>
      <c r="E10" s="205" t="str">
        <f t="shared" si="2"/>
        <v>-</v>
      </c>
      <c r="F10" s="205" t="str">
        <f t="shared" si="2"/>
        <v>-</v>
      </c>
      <c r="G10" s="205" t="str">
        <f t="shared" si="2"/>
        <v>-</v>
      </c>
      <c r="H10" s="205" t="str">
        <f t="shared" si="2"/>
        <v>-</v>
      </c>
      <c r="I10" s="205" t="str">
        <f t="shared" si="2"/>
        <v>-</v>
      </c>
      <c r="J10" s="205" t="str">
        <f t="shared" si="2"/>
        <v>-</v>
      </c>
      <c r="K10" s="205" t="str">
        <f t="shared" si="2"/>
        <v>-</v>
      </c>
      <c r="L10" s="205" t="str">
        <f t="shared" si="2"/>
        <v>-</v>
      </c>
      <c r="M10" s="205" t="str">
        <f t="shared" si="2"/>
        <v>-</v>
      </c>
      <c r="N10" s="205" t="str">
        <f t="shared" si="2"/>
        <v>-</v>
      </c>
      <c r="O10" s="205" t="str">
        <f t="shared" si="2"/>
        <v>-</v>
      </c>
      <c r="P10" s="205" t="str">
        <f t="shared" si="2"/>
        <v>-</v>
      </c>
      <c r="Q10" s="205" t="str">
        <f t="shared" si="2"/>
        <v>-</v>
      </c>
      <c r="R10" s="205" t="str">
        <f t="shared" si="2"/>
        <v>-</v>
      </c>
    </row>
    <row r="11" spans="2:18">
      <c r="B11" s="176" t="s">
        <v>130</v>
      </c>
      <c r="C11" s="205">
        <f>SUMIF(Выводы!$F$28:$U$28,tables!C$4,Выводы!$F34:$U34)</f>
        <v>0</v>
      </c>
      <c r="D11" s="205">
        <f>SUMIF(Выводы!$F$28:$U$28,tables!D$4,Выводы!$F34:$U34)</f>
        <v>0</v>
      </c>
      <c r="E11" s="205">
        <f>SUMIF(Выводы!$F$28:$U$28,tables!E$4,Выводы!$F34:$U34)</f>
        <v>0</v>
      </c>
      <c r="F11" s="205">
        <f>SUMIF(Выводы!$F$28:$U$28,tables!F$4,Выводы!$F34:$U34)</f>
        <v>0</v>
      </c>
      <c r="G11" s="205">
        <f>SUMIF(Выводы!$F$28:$U$28,tables!G$4,Выводы!$F34:$U34)</f>
        <v>0</v>
      </c>
      <c r="H11" s="205">
        <f>SUMIF(Выводы!$F$28:$U$28,tables!H$4,Выводы!$F34:$U34)</f>
        <v>0</v>
      </c>
      <c r="I11" s="205">
        <f>SUMIF(Выводы!$F$28:$U$28,tables!I$4,Выводы!$F34:$U34)</f>
        <v>0</v>
      </c>
      <c r="J11" s="205">
        <f>SUMIF(Выводы!$F$28:$U$28,tables!J$4,Выводы!$F34:$U34)</f>
        <v>0</v>
      </c>
      <c r="K11" s="205">
        <f>SUMIF(Выводы!$F$28:$U$28,tables!K$4,Выводы!$F34:$U34)</f>
        <v>0</v>
      </c>
      <c r="L11" s="205">
        <f>SUMIF(Выводы!$F$28:$U$28,tables!L$4,Выводы!$F34:$U34)</f>
        <v>0</v>
      </c>
      <c r="M11" s="205">
        <f>SUMIF(Выводы!$F$28:$U$28,tables!M$4,Выводы!$F34:$U34)</f>
        <v>0</v>
      </c>
      <c r="N11" s="205">
        <f>SUMIF(Выводы!$F$28:$U$28,tables!N$4,Выводы!$F34:$U34)</f>
        <v>0</v>
      </c>
      <c r="O11" s="205">
        <f>SUMIF(Выводы!$F$28:$U$28,tables!O$4,Выводы!$F34:$U34)</f>
        <v>0</v>
      </c>
      <c r="P11" s="205">
        <f>SUMIF(Выводы!$F$28:$U$28,tables!P$4,Выводы!$F34:$U34)</f>
        <v>0</v>
      </c>
      <c r="Q11" s="205">
        <f>SUMIF(Выводы!$F$28:$U$28,tables!Q$4,Выводы!$F34:$U34)</f>
        <v>0</v>
      </c>
      <c r="R11" s="205">
        <f>SUMIF(Выводы!$F$28:$U$28,tables!R$4,Выводы!$F34:$U34)</f>
        <v>0</v>
      </c>
    </row>
    <row r="12" spans="2:18">
      <c r="B12" s="177" t="s">
        <v>454</v>
      </c>
      <c r="C12" s="178" t="str">
        <f>IFERROR(C11/C6,"-")</f>
        <v>-</v>
      </c>
      <c r="D12" s="178" t="str">
        <f t="shared" ref="D12:R12" si="3">IFERROR(D11/D6,"-")</f>
        <v>-</v>
      </c>
      <c r="E12" s="178" t="str">
        <f t="shared" si="3"/>
        <v>-</v>
      </c>
      <c r="F12" s="178" t="str">
        <f t="shared" si="3"/>
        <v>-</v>
      </c>
      <c r="G12" s="178" t="str">
        <f t="shared" si="3"/>
        <v>-</v>
      </c>
      <c r="H12" s="178" t="str">
        <f t="shared" si="3"/>
        <v>-</v>
      </c>
      <c r="I12" s="178" t="str">
        <f t="shared" si="3"/>
        <v>-</v>
      </c>
      <c r="J12" s="178" t="str">
        <f t="shared" si="3"/>
        <v>-</v>
      </c>
      <c r="K12" s="178" t="str">
        <f t="shared" si="3"/>
        <v>-</v>
      </c>
      <c r="L12" s="178" t="str">
        <f t="shared" si="3"/>
        <v>-</v>
      </c>
      <c r="M12" s="178" t="str">
        <f t="shared" si="3"/>
        <v>-</v>
      </c>
      <c r="N12" s="178" t="str">
        <f t="shared" si="3"/>
        <v>-</v>
      </c>
      <c r="O12" s="178" t="str">
        <f t="shared" si="3"/>
        <v>-</v>
      </c>
      <c r="P12" s="178" t="str">
        <f t="shared" si="3"/>
        <v>-</v>
      </c>
      <c r="Q12" s="178" t="str">
        <f t="shared" si="3"/>
        <v>-</v>
      </c>
      <c r="R12" s="178" t="str">
        <f t="shared" si="3"/>
        <v>-</v>
      </c>
    </row>
    <row r="13" spans="2:18">
      <c r="B13" s="176" t="s">
        <v>436</v>
      </c>
      <c r="C13" s="205">
        <f>SUMIF(Выводы!$F$28:$U$28,tables!C$4,Выводы!$F83:$U83)</f>
        <v>0</v>
      </c>
      <c r="D13" s="205">
        <f>SUMIF(Выводы!$F$28:$U$28,tables!D$4,Выводы!$F83:$U83)</f>
        <v>0</v>
      </c>
      <c r="E13" s="205">
        <f>SUMIF(Выводы!$F$28:$U$28,tables!E$4,Выводы!$F83:$U83)</f>
        <v>0</v>
      </c>
      <c r="F13" s="205">
        <f>SUMIF(Выводы!$F$28:$U$28,tables!F$4,Выводы!$F83:$U83)</f>
        <v>0</v>
      </c>
      <c r="G13" s="205">
        <f>SUMIF(Выводы!$F$28:$U$28,tables!G$4,Выводы!$F83:$U83)</f>
        <v>0</v>
      </c>
      <c r="H13" s="205">
        <f>SUMIF(Выводы!$F$28:$U$28,tables!H$4,Выводы!$F83:$U83)</f>
        <v>0</v>
      </c>
      <c r="I13" s="205">
        <f>SUMIF(Выводы!$F$28:$U$28,tables!I$4,Выводы!$F83:$U83)</f>
        <v>0</v>
      </c>
      <c r="J13" s="205">
        <f>SUMIF(Выводы!$F$28:$U$28,tables!J$4,Выводы!$F83:$U83)</f>
        <v>0</v>
      </c>
      <c r="K13" s="205">
        <f>SUMIF(Выводы!$F$28:$U$28,tables!K$4,Выводы!$F83:$U83)</f>
        <v>0</v>
      </c>
      <c r="L13" s="205">
        <f>SUMIF(Выводы!$F$28:$U$28,tables!L$4,Выводы!$F83:$U83)</f>
        <v>0</v>
      </c>
      <c r="M13" s="205">
        <f>SUMIF(Выводы!$F$28:$U$28,tables!M$4,Выводы!$F83:$U83)</f>
        <v>0</v>
      </c>
      <c r="N13" s="205">
        <f>SUMIF(Выводы!$F$28:$U$28,tables!N$4,Выводы!$F83:$U83)</f>
        <v>0</v>
      </c>
      <c r="O13" s="205">
        <f>SUMIF(Выводы!$F$28:$U$28,tables!O$4,Выводы!$F83:$U83)</f>
        <v>0</v>
      </c>
      <c r="P13" s="205">
        <f>SUMIF(Выводы!$F$28:$U$28,tables!P$4,Выводы!$F83:$U83)</f>
        <v>0</v>
      </c>
      <c r="Q13" s="205">
        <f>SUMIF(Выводы!$F$28:$U$28,tables!Q$4,Выводы!$F83:$U83)</f>
        <v>0</v>
      </c>
      <c r="R13" s="205">
        <f>SUMIF(Выводы!$F$28:$U$28,tables!R$4,Выводы!$F83:$U83)</f>
        <v>0</v>
      </c>
    </row>
    <row r="14" spans="2:18">
      <c r="B14" s="176" t="s">
        <v>140</v>
      </c>
      <c r="C14" s="205">
        <f>SUMIF(Выводы!$F$28:$U$28,tables!C$4,Выводы!$F84:$U84)</f>
        <v>0</v>
      </c>
      <c r="D14" s="205">
        <f>SUMIF(Выводы!$F$28:$U$28,tables!D$4,Выводы!$F84:$U84)</f>
        <v>0</v>
      </c>
      <c r="E14" s="205">
        <f>SUMIF(Выводы!$F$28:$U$28,tables!E$4,Выводы!$F84:$U84)</f>
        <v>0</v>
      </c>
      <c r="F14" s="205">
        <f>SUMIF(Выводы!$F$28:$U$28,tables!F$4,Выводы!$F84:$U84)</f>
        <v>0</v>
      </c>
      <c r="G14" s="205">
        <f>SUMIF(Выводы!$F$28:$U$28,tables!G$4,Выводы!$F84:$U84)</f>
        <v>0</v>
      </c>
      <c r="H14" s="205">
        <f>SUMIF(Выводы!$F$28:$U$28,tables!H$4,Выводы!$F84:$U84)</f>
        <v>0</v>
      </c>
      <c r="I14" s="205">
        <f>SUMIF(Выводы!$F$28:$U$28,tables!I$4,Выводы!$F84:$U84)</f>
        <v>0</v>
      </c>
      <c r="J14" s="205">
        <f>SUMIF(Выводы!$F$28:$U$28,tables!J$4,Выводы!$F84:$U84)</f>
        <v>0</v>
      </c>
      <c r="K14" s="205">
        <f>SUMIF(Выводы!$F$28:$U$28,tables!K$4,Выводы!$F84:$U84)</f>
        <v>0</v>
      </c>
      <c r="L14" s="205">
        <f>SUMIF(Выводы!$F$28:$U$28,tables!L$4,Выводы!$F84:$U84)</f>
        <v>0</v>
      </c>
      <c r="M14" s="205">
        <f>SUMIF(Выводы!$F$28:$U$28,tables!M$4,Выводы!$F84:$U84)</f>
        <v>0</v>
      </c>
      <c r="N14" s="205">
        <f>SUMIF(Выводы!$F$28:$U$28,tables!N$4,Выводы!$F84:$U84)</f>
        <v>0</v>
      </c>
      <c r="O14" s="205">
        <f>SUMIF(Выводы!$F$28:$U$28,tables!O$4,Выводы!$F84:$U84)</f>
        <v>0</v>
      </c>
      <c r="P14" s="205">
        <f>SUMIF(Выводы!$F$28:$U$28,tables!P$4,Выводы!$F84:$U84)</f>
        <v>0</v>
      </c>
      <c r="Q14" s="205">
        <f>SUMIF(Выводы!$F$28:$U$28,tables!Q$4,Выводы!$F84:$U84)</f>
        <v>0</v>
      </c>
      <c r="R14" s="205">
        <f>SUMIF(Выводы!$F$28:$U$28,tables!R$4,Выводы!$F84:$U84)</f>
        <v>0</v>
      </c>
    </row>
    <row r="15" spans="2:18">
      <c r="B15" s="176" t="s">
        <v>290</v>
      </c>
      <c r="C15" s="205">
        <f>SUMIF(Выводы!$F$28:$U$28,tables!C$4,Выводы!$F85:$U85)</f>
        <v>0</v>
      </c>
      <c r="D15" s="205">
        <f>SUMIF(Выводы!$F$28:$U$28,tables!D$4,Выводы!$F85:$U85)</f>
        <v>0</v>
      </c>
      <c r="E15" s="205">
        <f>SUMIF(Выводы!$F$28:$U$28,tables!E$4,Выводы!$F85:$U85)</f>
        <v>0</v>
      </c>
      <c r="F15" s="205">
        <f>SUMIF(Выводы!$F$28:$U$28,tables!F$4,Выводы!$F85:$U85)</f>
        <v>0</v>
      </c>
      <c r="G15" s="205">
        <f>SUMIF(Выводы!$F$28:$U$28,tables!G$4,Выводы!$F85:$U85)</f>
        <v>0</v>
      </c>
      <c r="H15" s="205">
        <f>SUMIF(Выводы!$F$28:$U$28,tables!H$4,Выводы!$F85:$U85)</f>
        <v>0</v>
      </c>
      <c r="I15" s="205">
        <f>SUMIF(Выводы!$F$28:$U$28,tables!I$4,Выводы!$F85:$U85)</f>
        <v>0</v>
      </c>
      <c r="J15" s="205">
        <f>SUMIF(Выводы!$F$28:$U$28,tables!J$4,Выводы!$F85:$U85)</f>
        <v>0</v>
      </c>
      <c r="K15" s="205">
        <f>SUMIF(Выводы!$F$28:$U$28,tables!K$4,Выводы!$F85:$U85)</f>
        <v>0</v>
      </c>
      <c r="L15" s="205">
        <f>SUMIF(Выводы!$F$28:$U$28,tables!L$4,Выводы!$F85:$U85)</f>
        <v>0</v>
      </c>
      <c r="M15" s="205">
        <f>SUMIF(Выводы!$F$28:$U$28,tables!M$4,Выводы!$F85:$U85)</f>
        <v>0</v>
      </c>
      <c r="N15" s="205">
        <f>SUMIF(Выводы!$F$28:$U$28,tables!N$4,Выводы!$F85:$U85)</f>
        <v>0</v>
      </c>
      <c r="O15" s="205">
        <f>SUMIF(Выводы!$F$28:$U$28,tables!O$4,Выводы!$F85:$U85)</f>
        <v>0</v>
      </c>
      <c r="P15" s="205">
        <f>SUMIF(Выводы!$F$28:$U$28,tables!P$4,Выводы!$F85:$U85)</f>
        <v>0</v>
      </c>
      <c r="Q15" s="205">
        <f>SUMIF(Выводы!$F$28:$U$28,tables!Q$4,Выводы!$F85:$U85)</f>
        <v>0</v>
      </c>
      <c r="R15" s="205">
        <f>SUMIF(Выводы!$F$28:$U$28,tables!R$4,Выводы!$F85:$U85)</f>
        <v>0</v>
      </c>
    </row>
    <row r="16" spans="2:18">
      <c r="B16" s="176" t="s">
        <v>455</v>
      </c>
      <c r="C16" s="205" t="str">
        <f>IF(C11&lt;=0,"&lt;0",IFERROR(C14/C11,"-"))</f>
        <v>&lt;0</v>
      </c>
      <c r="D16" s="205" t="str">
        <f t="shared" ref="D16:R16" si="4">IF(D11&lt;=0,"&lt;0",IFERROR(D14/D11,"-"))</f>
        <v>&lt;0</v>
      </c>
      <c r="E16" s="205" t="str">
        <f t="shared" si="4"/>
        <v>&lt;0</v>
      </c>
      <c r="F16" s="205" t="str">
        <f t="shared" si="4"/>
        <v>&lt;0</v>
      </c>
      <c r="G16" s="205" t="str">
        <f t="shared" si="4"/>
        <v>&lt;0</v>
      </c>
      <c r="H16" s="205" t="str">
        <f t="shared" si="4"/>
        <v>&lt;0</v>
      </c>
      <c r="I16" s="205" t="str">
        <f t="shared" si="4"/>
        <v>&lt;0</v>
      </c>
      <c r="J16" s="205" t="str">
        <f t="shared" si="4"/>
        <v>&lt;0</v>
      </c>
      <c r="K16" s="205" t="str">
        <f t="shared" si="4"/>
        <v>&lt;0</v>
      </c>
      <c r="L16" s="205" t="str">
        <f t="shared" si="4"/>
        <v>&lt;0</v>
      </c>
      <c r="M16" s="205" t="str">
        <f t="shared" si="4"/>
        <v>&lt;0</v>
      </c>
      <c r="N16" s="205" t="str">
        <f t="shared" si="4"/>
        <v>&lt;0</v>
      </c>
      <c r="O16" s="205" t="str">
        <f t="shared" si="4"/>
        <v>&lt;0</v>
      </c>
      <c r="P16" s="205" t="str">
        <f t="shared" si="4"/>
        <v>&lt;0</v>
      </c>
      <c r="Q16" s="205" t="str">
        <f t="shared" si="4"/>
        <v>&lt;0</v>
      </c>
      <c r="R16" s="205" t="str">
        <f t="shared" si="4"/>
        <v>&lt;0</v>
      </c>
    </row>
    <row r="17" spans="2:18">
      <c r="B17" s="176" t="s">
        <v>456</v>
      </c>
      <c r="C17" s="205" t="str">
        <f>IF(C11&lt;=0,"&lt;0",IFERROR(C15/C11,"-"))</f>
        <v>&lt;0</v>
      </c>
      <c r="D17" s="205" t="str">
        <f t="shared" ref="D17:R17" si="5">IF(D11&lt;=0,"&lt;0",IFERROR(D15/D11,"-"))</f>
        <v>&lt;0</v>
      </c>
      <c r="E17" s="205" t="str">
        <f t="shared" si="5"/>
        <v>&lt;0</v>
      </c>
      <c r="F17" s="205" t="str">
        <f t="shared" si="5"/>
        <v>&lt;0</v>
      </c>
      <c r="G17" s="205" t="str">
        <f t="shared" si="5"/>
        <v>&lt;0</v>
      </c>
      <c r="H17" s="205" t="str">
        <f t="shared" si="5"/>
        <v>&lt;0</v>
      </c>
      <c r="I17" s="205" t="str">
        <f t="shared" si="5"/>
        <v>&lt;0</v>
      </c>
      <c r="J17" s="205" t="str">
        <f t="shared" si="5"/>
        <v>&lt;0</v>
      </c>
      <c r="K17" s="205" t="str">
        <f t="shared" si="5"/>
        <v>&lt;0</v>
      </c>
      <c r="L17" s="205" t="str">
        <f t="shared" si="5"/>
        <v>&lt;0</v>
      </c>
      <c r="M17" s="205" t="str">
        <f t="shared" si="5"/>
        <v>&lt;0</v>
      </c>
      <c r="N17" s="205" t="str">
        <f t="shared" si="5"/>
        <v>&lt;0</v>
      </c>
      <c r="O17" s="205" t="str">
        <f t="shared" si="5"/>
        <v>&lt;0</v>
      </c>
      <c r="P17" s="205" t="str">
        <f t="shared" si="5"/>
        <v>&lt;0</v>
      </c>
      <c r="Q17" s="205" t="str">
        <f t="shared" si="5"/>
        <v>&lt;0</v>
      </c>
      <c r="R17" s="205" t="str">
        <f t="shared" si="5"/>
        <v>&lt;0</v>
      </c>
    </row>
    <row r="18" spans="2:18">
      <c r="B18" s="176" t="s">
        <v>135</v>
      </c>
      <c r="C18" s="205">
        <f>SUMIF(Выводы!$F$28:$U$28,tables!C$4,Выводы!$F88:$U88)</f>
        <v>0</v>
      </c>
      <c r="D18" s="205">
        <f>SUMIF(Выводы!$F$28:$U$28,tables!D$4,Выводы!$F88:$U88)</f>
        <v>0</v>
      </c>
      <c r="E18" s="205">
        <f>SUMIF(Выводы!$F$28:$U$28,tables!E$4,Выводы!$F88:$U88)</f>
        <v>0</v>
      </c>
      <c r="F18" s="205">
        <f>SUMIF(Выводы!$F$28:$U$28,tables!F$4,Выводы!$F88:$U88)</f>
        <v>0</v>
      </c>
      <c r="G18" s="205">
        <f>SUMIF(Выводы!$F$28:$U$28,tables!G$4,Выводы!$F88:$U88)</f>
        <v>0</v>
      </c>
      <c r="H18" s="205">
        <f>SUMIF(Выводы!$F$28:$U$28,tables!H$4,Выводы!$F88:$U88)</f>
        <v>0</v>
      </c>
      <c r="I18" s="205">
        <f>SUMIF(Выводы!$F$28:$U$28,tables!I$4,Выводы!$F88:$U88)</f>
        <v>0</v>
      </c>
      <c r="J18" s="205">
        <f>SUMIF(Выводы!$F$28:$U$28,tables!J$4,Выводы!$F88:$U88)</f>
        <v>0</v>
      </c>
      <c r="K18" s="205">
        <f>SUMIF(Выводы!$F$28:$U$28,tables!K$4,Выводы!$F88:$U88)</f>
        <v>0</v>
      </c>
      <c r="L18" s="205">
        <f>SUMIF(Выводы!$F$28:$U$28,tables!L$4,Выводы!$F88:$U88)</f>
        <v>0</v>
      </c>
      <c r="M18" s="205">
        <f>SUMIF(Выводы!$F$28:$U$28,tables!M$4,Выводы!$F88:$U88)</f>
        <v>0</v>
      </c>
      <c r="N18" s="205">
        <f>SUMIF(Выводы!$F$28:$U$28,tables!N$4,Выводы!$F88:$U88)</f>
        <v>0</v>
      </c>
      <c r="O18" s="205">
        <f>SUMIF(Выводы!$F$28:$U$28,tables!O$4,Выводы!$F88:$U88)</f>
        <v>0</v>
      </c>
      <c r="P18" s="205">
        <f>SUMIF(Выводы!$F$28:$U$28,tables!P$4,Выводы!$F88:$U88)</f>
        <v>0</v>
      </c>
      <c r="Q18" s="205">
        <f>SUMIF(Выводы!$F$28:$U$28,tables!Q$4,Выводы!$F88:$U88)</f>
        <v>0</v>
      </c>
      <c r="R18" s="205">
        <f>SUMIF(Выводы!$F$28:$U$28,tables!R$4,Выводы!$F88:$U88)</f>
        <v>0</v>
      </c>
    </row>
    <row r="19" spans="2:18">
      <c r="B19" s="176" t="s">
        <v>512</v>
      </c>
      <c r="C19" s="306">
        <f>SUMIF(Выводы!$F$28:$U$28,tables!C$4,Выводы!$F91:$U91)</f>
        <v>0</v>
      </c>
      <c r="D19" s="306">
        <f>SUMIF(Выводы!$F$28:$U$28,tables!D$4,Выводы!$F91:$U91)</f>
        <v>0</v>
      </c>
      <c r="E19" s="306">
        <f>SUMIF(Выводы!$F$28:$U$28,tables!E$4,Выводы!$F91:$U91)</f>
        <v>0</v>
      </c>
      <c r="F19" s="306">
        <f>SUMIF(Выводы!$F$28:$U$28,tables!F$4,Выводы!$F91:$U91)</f>
        <v>0</v>
      </c>
      <c r="G19" s="306">
        <f>SUMIF(Выводы!$F$28:$U$28,tables!G$4,Выводы!$F91:$U91)</f>
        <v>0</v>
      </c>
      <c r="H19" s="306">
        <f>SUMIF(Выводы!$F$28:$U$28,tables!H$4,Выводы!$F91:$U91)</f>
        <v>0</v>
      </c>
      <c r="I19" s="306">
        <f>SUMIF(Выводы!$F$28:$U$28,tables!I$4,Выводы!$F91:$U91)</f>
        <v>0</v>
      </c>
      <c r="J19" s="306">
        <f>SUMIF(Выводы!$F$28:$U$28,tables!J$4,Выводы!$F91:$U91)</f>
        <v>0</v>
      </c>
      <c r="K19" s="306">
        <f>SUMIF(Выводы!$F$28:$U$28,tables!K$4,Выводы!$F91:$U91)</f>
        <v>0</v>
      </c>
      <c r="L19" s="306">
        <f>SUMIF(Выводы!$F$28:$U$28,tables!L$4,Выводы!$F91:$U91)</f>
        <v>0</v>
      </c>
      <c r="M19" s="306">
        <f>SUMIF(Выводы!$F$28:$U$28,tables!M$4,Выводы!$F91:$U91)</f>
        <v>0</v>
      </c>
      <c r="N19" s="306">
        <f>SUMIF(Выводы!$F$28:$U$28,tables!N$4,Выводы!$F91:$U91)</f>
        <v>0</v>
      </c>
      <c r="O19" s="306">
        <f>SUMIF(Выводы!$F$28:$U$28,tables!O$4,Выводы!$F91:$U91)</f>
        <v>0</v>
      </c>
      <c r="P19" s="306">
        <f>SUMIF(Выводы!$F$28:$U$28,tables!P$4,Выводы!$F91:$U91)</f>
        <v>0</v>
      </c>
      <c r="Q19" s="306">
        <f>SUMIF(Выводы!$F$28:$U$28,tables!Q$4,Выводы!$F91:$U91)</f>
        <v>0</v>
      </c>
      <c r="R19" s="306">
        <f>SUMIF(Выводы!$F$28:$U$28,tables!R$4,Выводы!$F91:$U91)</f>
        <v>0</v>
      </c>
    </row>
    <row r="20" spans="2:18">
      <c r="B20" s="176" t="s">
        <v>513</v>
      </c>
      <c r="C20" s="306">
        <f>SUMIF(Выводы!$F$28:$U$28,tables!C$4,Выводы!$F92:$U92)</f>
        <v>0</v>
      </c>
      <c r="D20" s="306">
        <f>SUMIF(Выводы!$F$28:$U$28,tables!D$4,Выводы!$F92:$U92)</f>
        <v>0</v>
      </c>
      <c r="E20" s="306">
        <f>SUMIF(Выводы!$F$28:$U$28,tables!E$4,Выводы!$F92:$U92)</f>
        <v>0</v>
      </c>
      <c r="F20" s="306">
        <f>SUMIF(Выводы!$F$28:$U$28,tables!F$4,Выводы!$F92:$U92)</f>
        <v>0</v>
      </c>
      <c r="G20" s="306">
        <f>SUMIF(Выводы!$F$28:$U$28,tables!G$4,Выводы!$F92:$U92)</f>
        <v>0</v>
      </c>
      <c r="H20" s="306">
        <f>SUMIF(Выводы!$F$28:$U$28,tables!H$4,Выводы!$F92:$U92)</f>
        <v>0</v>
      </c>
      <c r="I20" s="306">
        <f>SUMIF(Выводы!$F$28:$U$28,tables!I$4,Выводы!$F92:$U92)</f>
        <v>0</v>
      </c>
      <c r="J20" s="306">
        <f>SUMIF(Выводы!$F$28:$U$28,tables!J$4,Выводы!$F92:$U92)</f>
        <v>0</v>
      </c>
      <c r="K20" s="306">
        <f>SUMIF(Выводы!$F$28:$U$28,tables!K$4,Выводы!$F92:$U92)</f>
        <v>0</v>
      </c>
      <c r="L20" s="306">
        <f>SUMIF(Выводы!$F$28:$U$28,tables!L$4,Выводы!$F92:$U92)</f>
        <v>0</v>
      </c>
      <c r="M20" s="306">
        <f>SUMIF(Выводы!$F$28:$U$28,tables!M$4,Выводы!$F92:$U92)</f>
        <v>0</v>
      </c>
      <c r="N20" s="306">
        <f>SUMIF(Выводы!$F$28:$U$28,tables!N$4,Выводы!$F92:$U92)</f>
        <v>0</v>
      </c>
      <c r="O20" s="306">
        <f>SUMIF(Выводы!$F$28:$U$28,tables!O$4,Выводы!$F92:$U92)</f>
        <v>0</v>
      </c>
      <c r="P20" s="306">
        <f>SUMIF(Выводы!$F$28:$U$28,tables!P$4,Выводы!$F92:$U92)</f>
        <v>0</v>
      </c>
      <c r="Q20" s="306">
        <f>SUMIF(Выводы!$F$28:$U$28,tables!Q$4,Выводы!$F92:$U92)</f>
        <v>0</v>
      </c>
      <c r="R20" s="306">
        <f>SUMIF(Выводы!$F$28:$U$28,tables!R$4,Выводы!$F92:$U92)</f>
        <v>0</v>
      </c>
    </row>
    <row r="21" spans="2:18">
      <c r="B21" s="176" t="s">
        <v>137</v>
      </c>
      <c r="C21" s="305">
        <f>SUMIF(Выводы!$F$80:$U$80,tables!C$4,Выводы!$F89:$U89)</f>
        <v>0</v>
      </c>
      <c r="D21" s="305">
        <f>SUMIF(Выводы!$F$80:$U$80,tables!D$4,Выводы!$F89:$U89)</f>
        <v>0</v>
      </c>
      <c r="E21" s="305">
        <f>SUMIF(Выводы!$F$80:$U$80,tables!E$4,Выводы!$F89:$U89)</f>
        <v>0</v>
      </c>
      <c r="F21" s="305">
        <f>SUMIF(Выводы!$F$80:$U$80,tables!F$4,Выводы!$F89:$U89)</f>
        <v>0</v>
      </c>
      <c r="G21" s="305">
        <f>SUMIF(Выводы!$F$80:$U$80,tables!G$4,Выводы!$F89:$U89)</f>
        <v>0</v>
      </c>
      <c r="H21" s="305">
        <f>SUMIF(Выводы!$F$80:$U$80,tables!H$4,Выводы!$F89:$U89)</f>
        <v>0</v>
      </c>
      <c r="I21" s="305">
        <f>SUMIF(Выводы!$F$80:$U$80,tables!I$4,Выводы!$F89:$U89)</f>
        <v>0</v>
      </c>
      <c r="J21" s="305">
        <f>SUMIF(Выводы!$F$80:$U$80,tables!J$4,Выводы!$F89:$U89)</f>
        <v>0</v>
      </c>
      <c r="K21" s="305">
        <f>SUMIF(Выводы!$F$80:$U$80,tables!K$4,Выводы!$F89:$U89)</f>
        <v>0</v>
      </c>
      <c r="L21" s="305">
        <f>SUMIF(Выводы!$F$80:$U$80,tables!L$4,Выводы!$F89:$U89)</f>
        <v>0</v>
      </c>
      <c r="M21" s="305">
        <f>SUMIF(Выводы!$F$80:$U$80,tables!M$4,Выводы!$F89:$U89)</f>
        <v>0</v>
      </c>
      <c r="N21" s="305">
        <f>SUMIF(Выводы!$F$80:$U$80,tables!N$4,Выводы!$F89:$U89)</f>
        <v>0</v>
      </c>
      <c r="O21" s="305">
        <f>SUMIF(Выводы!$F$80:$U$80,tables!O$4,Выводы!$F89:$U89)</f>
        <v>0</v>
      </c>
      <c r="P21" s="305">
        <f>SUMIF(Выводы!$F$80:$U$80,tables!P$4,Выводы!$F89:$U89)</f>
        <v>0</v>
      </c>
      <c r="Q21" s="305">
        <f>SUMIF(Выводы!$F$80:$U$80,tables!Q$4,Выводы!$F89:$U89)</f>
        <v>0</v>
      </c>
      <c r="R21" s="305">
        <f>SUMIF(Выводы!$F$80:$U$80,tables!R$4,Выводы!$F89:$U89)</f>
        <v>0</v>
      </c>
    </row>
    <row r="22" spans="2:18">
      <c r="B22" s="176" t="s">
        <v>539</v>
      </c>
      <c r="C22" s="305">
        <f>SUMIF(Выводы!$F$80:$U$80,tables!C$4,Выводы!$F90:$U90)</f>
        <v>0</v>
      </c>
      <c r="D22" s="305">
        <f>SUMIF(Выводы!$F$80:$U$80,tables!D$4,Выводы!$F90:$U90)</f>
        <v>0</v>
      </c>
      <c r="E22" s="305">
        <f>SUMIF(Выводы!$F$80:$U$80,tables!E$4,Выводы!$F90:$U90)</f>
        <v>0</v>
      </c>
      <c r="F22" s="305">
        <f>SUMIF(Выводы!$F$80:$U$80,tables!F$4,Выводы!$F90:$U90)</f>
        <v>0</v>
      </c>
      <c r="G22" s="305">
        <f>SUMIF(Выводы!$F$80:$U$80,tables!G$4,Выводы!$F90:$U90)</f>
        <v>0</v>
      </c>
      <c r="H22" s="305">
        <f>SUMIF(Выводы!$F$80:$U$80,tables!H$4,Выводы!$F90:$U90)</f>
        <v>0</v>
      </c>
      <c r="I22" s="305">
        <f>SUMIF(Выводы!$F$80:$U$80,tables!I$4,Выводы!$F90:$U90)</f>
        <v>0</v>
      </c>
      <c r="J22" s="305">
        <f>SUMIF(Выводы!$F$80:$U$80,tables!J$4,Выводы!$F90:$U90)</f>
        <v>0</v>
      </c>
      <c r="K22" s="305">
        <f>SUMIF(Выводы!$F$80:$U$80,tables!K$4,Выводы!$F90:$U90)</f>
        <v>0</v>
      </c>
      <c r="L22" s="305">
        <f>SUMIF(Выводы!$F$80:$U$80,tables!L$4,Выводы!$F90:$U90)</f>
        <v>0</v>
      </c>
      <c r="M22" s="305">
        <f>SUMIF(Выводы!$F$80:$U$80,tables!M$4,Выводы!$F90:$U90)</f>
        <v>0</v>
      </c>
      <c r="N22" s="305">
        <f>SUMIF(Выводы!$F$80:$U$80,tables!N$4,Выводы!$F90:$U90)</f>
        <v>0</v>
      </c>
      <c r="O22" s="305">
        <f>SUMIF(Выводы!$F$80:$U$80,tables!O$4,Выводы!$F90:$U90)</f>
        <v>0</v>
      </c>
      <c r="P22" s="305">
        <f>SUMIF(Выводы!$F$80:$U$80,tables!P$4,Выводы!$F90:$U90)</f>
        <v>0</v>
      </c>
      <c r="Q22" s="305">
        <f>SUMIF(Выводы!$F$80:$U$80,tables!Q$4,Выводы!$F90:$U90)</f>
        <v>0</v>
      </c>
      <c r="R22" s="305">
        <f>SUMIF(Выводы!$F$80:$U$80,tables!R$4,Выводы!$F90:$U90)</f>
        <v>0</v>
      </c>
    </row>
    <row r="24" spans="2:18" hidden="1">
      <c r="B24" s="176" t="s">
        <v>290</v>
      </c>
      <c r="C24" s="179">
        <f>SUMIF(Выводы!$F$28:$U$28,tables!C$4,Выводы!$F85:$U85)</f>
        <v>0</v>
      </c>
      <c r="D24" s="179">
        <f>SUMIF(Выводы!$F$28:$U$28,tables!D$4,Выводы!$F85:$U85)</f>
        <v>0</v>
      </c>
      <c r="E24" s="179">
        <f>SUMIF(Выводы!$F$28:$U$28,tables!E$4,Выводы!$F85:$U85)</f>
        <v>0</v>
      </c>
      <c r="F24" s="179">
        <f>SUMIF(Выводы!$F$28:$U$28,tables!F$4,Выводы!$F85:$U85)</f>
        <v>0</v>
      </c>
      <c r="G24" s="179">
        <f>SUMIF(Выводы!$F$28:$U$28,tables!G$4,Выводы!$F85:$U85)</f>
        <v>0</v>
      </c>
      <c r="H24" s="179">
        <f>SUMIF(Выводы!$F$28:$U$28,tables!H$4,Выводы!$F85:$U85)</f>
        <v>0</v>
      </c>
      <c r="I24" s="179">
        <f>SUMIF(Выводы!$F$28:$U$28,tables!I$4,Выводы!$F85:$U85)</f>
        <v>0</v>
      </c>
      <c r="J24" s="179">
        <f>SUMIF(Выводы!$F$28:$U$28,tables!J$4,Выводы!$F85:$U85)</f>
        <v>0</v>
      </c>
      <c r="K24" s="179">
        <f>SUMIF(Выводы!$F$28:$U$28,tables!K$4,Выводы!$F85:$U85)</f>
        <v>0</v>
      </c>
      <c r="L24" s="179">
        <f>SUMIF(Выводы!$F$28:$U$28,tables!L$4,Выводы!$F85:$U85)</f>
        <v>0</v>
      </c>
      <c r="M24" s="179">
        <f>SUMIF(Выводы!$F$28:$U$28,tables!M$4,Выводы!$F85:$U85)</f>
        <v>0</v>
      </c>
      <c r="N24" s="179">
        <f>SUMIF(Выводы!$F$28:$U$28,tables!N$4,Выводы!$F85:$U85)</f>
        <v>0</v>
      </c>
      <c r="O24" s="179">
        <f>SUMIF(Выводы!$F$28:$U$28,tables!O$4,Выводы!$F85:$U85)</f>
        <v>0</v>
      </c>
      <c r="P24" s="179">
        <f>SUMIF(Выводы!$F$28:$U$28,tables!P$4,Выводы!$F85:$U85)</f>
        <v>0</v>
      </c>
      <c r="Q24" s="179">
        <f>SUMIF(Выводы!$F$28:$U$28,tables!Q$4,Выводы!$F85:$U85)</f>
        <v>0</v>
      </c>
      <c r="R24" s="179">
        <f>SUMIF(Выводы!$F$28:$U$28,tables!R$4,Выводы!$F85:$U85)</f>
        <v>0</v>
      </c>
    </row>
    <row r="25" spans="2:18">
      <c r="G25" s="186" t="s">
        <v>457</v>
      </c>
    </row>
    <row r="26" spans="2:18">
      <c r="B26" s="175" t="s">
        <v>255</v>
      </c>
      <c r="C26" s="175" t="e">
        <f>Выводы!#REF!</f>
        <v>#REF!</v>
      </c>
      <c r="D26" s="175" t="e">
        <f>C26+1</f>
        <v>#REF!</v>
      </c>
      <c r="E26" s="175" t="e">
        <f t="shared" ref="E26:R26" si="6">D26+1</f>
        <v>#REF!</v>
      </c>
      <c r="F26" s="175" t="e">
        <f t="shared" si="6"/>
        <v>#REF!</v>
      </c>
      <c r="G26" s="175" t="e">
        <f t="shared" si="6"/>
        <v>#REF!</v>
      </c>
      <c r="H26" s="175" t="e">
        <f t="shared" si="6"/>
        <v>#REF!</v>
      </c>
      <c r="I26" s="175" t="e">
        <f t="shared" si="6"/>
        <v>#REF!</v>
      </c>
      <c r="J26" s="175" t="e">
        <f t="shared" si="6"/>
        <v>#REF!</v>
      </c>
      <c r="K26" s="175" t="e">
        <f t="shared" si="6"/>
        <v>#REF!</v>
      </c>
      <c r="L26" s="175" t="e">
        <f t="shared" si="6"/>
        <v>#REF!</v>
      </c>
      <c r="M26" s="175" t="e">
        <f t="shared" si="6"/>
        <v>#REF!</v>
      </c>
      <c r="N26" s="175" t="e">
        <f t="shared" si="6"/>
        <v>#REF!</v>
      </c>
      <c r="O26" s="175" t="e">
        <f t="shared" si="6"/>
        <v>#REF!</v>
      </c>
      <c r="P26" s="175" t="e">
        <f t="shared" si="6"/>
        <v>#REF!</v>
      </c>
      <c r="Q26" s="175" t="e">
        <f t="shared" si="6"/>
        <v>#REF!</v>
      </c>
      <c r="R26" s="175" t="e">
        <f t="shared" si="6"/>
        <v>#REF!</v>
      </c>
    </row>
    <row r="27" spans="2:18">
      <c r="B27" s="176" t="s">
        <v>87</v>
      </c>
      <c r="C27" s="181" t="e">
        <f>SUMIF(Выводы!#REF!,tables!C$26,Выводы!#REF!)</f>
        <v>#REF!</v>
      </c>
      <c r="D27" s="181" t="e">
        <f>SUMIF(Выводы!#REF!,tables!D$26,Выводы!#REF!)</f>
        <v>#REF!</v>
      </c>
      <c r="E27" s="181" t="e">
        <f>SUMIF(Выводы!#REF!,tables!E$26,Выводы!#REF!)</f>
        <v>#REF!</v>
      </c>
      <c r="F27" s="181" t="e">
        <f>SUMIF(Выводы!#REF!,tables!F$26,Выводы!#REF!)</f>
        <v>#REF!</v>
      </c>
      <c r="G27" s="181" t="e">
        <f>SUMIF(Выводы!#REF!,tables!G$26,Выводы!#REF!)</f>
        <v>#REF!</v>
      </c>
      <c r="H27" s="181" t="e">
        <f>SUMIF(Выводы!#REF!,tables!H$26,Выводы!#REF!)</f>
        <v>#REF!</v>
      </c>
      <c r="I27" s="181" t="e">
        <f>SUMIF(Выводы!#REF!,tables!I$26,Выводы!#REF!)</f>
        <v>#REF!</v>
      </c>
      <c r="J27" s="181" t="e">
        <f>SUMIF(Выводы!#REF!,tables!J$26,Выводы!#REF!)</f>
        <v>#REF!</v>
      </c>
      <c r="K27" s="181" t="e">
        <f>SUMIF(Выводы!#REF!,tables!K$26,Выводы!#REF!)</f>
        <v>#REF!</v>
      </c>
      <c r="L27" s="181" t="e">
        <f>SUMIF(Выводы!#REF!,tables!L$26,Выводы!#REF!)</f>
        <v>#REF!</v>
      </c>
      <c r="M27" s="181" t="e">
        <f>SUMIF(Выводы!#REF!,tables!M$26,Выводы!#REF!)</f>
        <v>#REF!</v>
      </c>
      <c r="N27" s="181" t="e">
        <f>SUMIF(Выводы!#REF!,tables!N$26,Выводы!#REF!)</f>
        <v>#REF!</v>
      </c>
      <c r="O27" s="181" t="e">
        <f>SUMIF(Выводы!#REF!,tables!O$26,Выводы!#REF!)</f>
        <v>#REF!</v>
      </c>
      <c r="P27" s="181" t="e">
        <f>SUMIF(Выводы!#REF!,tables!P$26,Выводы!#REF!)</f>
        <v>#REF!</v>
      </c>
      <c r="Q27" s="181" t="e">
        <f>SUMIF(Выводы!#REF!,tables!Q$26,Выводы!#REF!)</f>
        <v>#REF!</v>
      </c>
      <c r="R27" s="181" t="e">
        <f>SUMIF(Выводы!#REF!,tables!R$26,Выводы!#REF!)</f>
        <v>#REF!</v>
      </c>
    </row>
    <row r="28" spans="2:18">
      <c r="B28" s="176" t="s">
        <v>267</v>
      </c>
      <c r="C28" s="181" t="e">
        <f>SUMIF(Выводы!#REF!,tables!C$26,Выводы!#REF!)</f>
        <v>#REF!</v>
      </c>
      <c r="D28" s="181" t="e">
        <f>SUMIF(Выводы!#REF!,tables!D$26,Выводы!#REF!)</f>
        <v>#REF!</v>
      </c>
      <c r="E28" s="181" t="e">
        <f>SUMIF(Выводы!#REF!,tables!E$26,Выводы!#REF!)</f>
        <v>#REF!</v>
      </c>
      <c r="F28" s="181" t="e">
        <f>SUMIF(Выводы!#REF!,tables!F$26,Выводы!#REF!)</f>
        <v>#REF!</v>
      </c>
      <c r="G28" s="181" t="e">
        <f>SUMIF(Выводы!#REF!,tables!G$26,Выводы!#REF!)</f>
        <v>#REF!</v>
      </c>
      <c r="H28" s="181" t="e">
        <f>SUMIF(Выводы!#REF!,tables!H$26,Выводы!#REF!)</f>
        <v>#REF!</v>
      </c>
      <c r="I28" s="181" t="e">
        <f>SUMIF(Выводы!#REF!,tables!I$26,Выводы!#REF!)</f>
        <v>#REF!</v>
      </c>
      <c r="J28" s="181" t="e">
        <f>SUMIF(Выводы!#REF!,tables!J$26,Выводы!#REF!)</f>
        <v>#REF!</v>
      </c>
      <c r="K28" s="181" t="e">
        <f>SUMIF(Выводы!#REF!,tables!K$26,Выводы!#REF!)</f>
        <v>#REF!</v>
      </c>
      <c r="L28" s="181" t="e">
        <f>SUMIF(Выводы!#REF!,tables!L$26,Выводы!#REF!)</f>
        <v>#REF!</v>
      </c>
      <c r="M28" s="181" t="e">
        <f>SUMIF(Выводы!#REF!,tables!M$26,Выводы!#REF!)</f>
        <v>#REF!</v>
      </c>
      <c r="N28" s="181" t="e">
        <f>SUMIF(Выводы!#REF!,tables!N$26,Выводы!#REF!)</f>
        <v>#REF!</v>
      </c>
      <c r="O28" s="181" t="e">
        <f>SUMIF(Выводы!#REF!,tables!O$26,Выводы!#REF!)</f>
        <v>#REF!</v>
      </c>
      <c r="P28" s="181" t="e">
        <f>SUMIF(Выводы!#REF!,tables!P$26,Выводы!#REF!)</f>
        <v>#REF!</v>
      </c>
      <c r="Q28" s="181" t="e">
        <f>SUMIF(Выводы!#REF!,tables!Q$26,Выводы!#REF!)</f>
        <v>#REF!</v>
      </c>
      <c r="R28" s="181" t="e">
        <f>SUMIF(Выводы!#REF!,tables!R$26,Выводы!#REF!)</f>
        <v>#REF!</v>
      </c>
    </row>
    <row r="29" spans="2:18">
      <c r="B29" s="176" t="s">
        <v>145</v>
      </c>
      <c r="C29" s="182" t="str">
        <f>IFERROR(C28/C27,"-")</f>
        <v>-</v>
      </c>
      <c r="D29" s="182" t="str">
        <f t="shared" ref="D29:R29" si="7">IFERROR(D28/D27,"-")</f>
        <v>-</v>
      </c>
      <c r="E29" s="182" t="str">
        <f t="shared" si="7"/>
        <v>-</v>
      </c>
      <c r="F29" s="182" t="str">
        <f t="shared" si="7"/>
        <v>-</v>
      </c>
      <c r="G29" s="182" t="str">
        <f t="shared" si="7"/>
        <v>-</v>
      </c>
      <c r="H29" s="182" t="str">
        <f t="shared" si="7"/>
        <v>-</v>
      </c>
      <c r="I29" s="182" t="str">
        <f t="shared" si="7"/>
        <v>-</v>
      </c>
      <c r="J29" s="182" t="str">
        <f t="shared" si="7"/>
        <v>-</v>
      </c>
      <c r="K29" s="182" t="str">
        <f t="shared" si="7"/>
        <v>-</v>
      </c>
      <c r="L29" s="182" t="str">
        <f t="shared" si="7"/>
        <v>-</v>
      </c>
      <c r="M29" s="182" t="str">
        <f t="shared" si="7"/>
        <v>-</v>
      </c>
      <c r="N29" s="182" t="str">
        <f t="shared" si="7"/>
        <v>-</v>
      </c>
      <c r="O29" s="182" t="str">
        <f t="shared" si="7"/>
        <v>-</v>
      </c>
      <c r="P29" s="182" t="str">
        <f t="shared" si="7"/>
        <v>-</v>
      </c>
      <c r="Q29" s="182" t="str">
        <f t="shared" si="7"/>
        <v>-</v>
      </c>
      <c r="R29" s="182" t="str">
        <f t="shared" si="7"/>
        <v>-</v>
      </c>
    </row>
    <row r="30" spans="2:18">
      <c r="B30" s="176" t="s">
        <v>130</v>
      </c>
      <c r="C30" s="181" t="e">
        <f>SUMIF(Выводы!#REF!,tables!C$26,Выводы!#REF!)</f>
        <v>#REF!</v>
      </c>
      <c r="D30" s="181" t="e">
        <f>SUMIF(Выводы!#REF!,tables!D$26,Выводы!#REF!)</f>
        <v>#REF!</v>
      </c>
      <c r="E30" s="181" t="e">
        <f>SUMIF(Выводы!#REF!,tables!E$26,Выводы!#REF!)</f>
        <v>#REF!</v>
      </c>
      <c r="F30" s="181" t="e">
        <f>SUMIF(Выводы!#REF!,tables!F$26,Выводы!#REF!)</f>
        <v>#REF!</v>
      </c>
      <c r="G30" s="181" t="e">
        <f>SUMIF(Выводы!#REF!,tables!G$26,Выводы!#REF!)</f>
        <v>#REF!</v>
      </c>
      <c r="H30" s="181" t="e">
        <f>SUMIF(Выводы!#REF!,tables!H$26,Выводы!#REF!)</f>
        <v>#REF!</v>
      </c>
      <c r="I30" s="181" t="e">
        <f>SUMIF(Выводы!#REF!,tables!I$26,Выводы!#REF!)</f>
        <v>#REF!</v>
      </c>
      <c r="J30" s="181" t="e">
        <f>SUMIF(Выводы!#REF!,tables!J$26,Выводы!#REF!)</f>
        <v>#REF!</v>
      </c>
      <c r="K30" s="181" t="e">
        <f>SUMIF(Выводы!#REF!,tables!K$26,Выводы!#REF!)</f>
        <v>#REF!</v>
      </c>
      <c r="L30" s="181" t="e">
        <f>SUMIF(Выводы!#REF!,tables!L$26,Выводы!#REF!)</f>
        <v>#REF!</v>
      </c>
      <c r="M30" s="181" t="e">
        <f>SUMIF(Выводы!#REF!,tables!M$26,Выводы!#REF!)</f>
        <v>#REF!</v>
      </c>
      <c r="N30" s="181" t="e">
        <f>SUMIF(Выводы!#REF!,tables!N$26,Выводы!#REF!)</f>
        <v>#REF!</v>
      </c>
      <c r="O30" s="181" t="e">
        <f>SUMIF(Выводы!#REF!,tables!O$26,Выводы!#REF!)</f>
        <v>#REF!</v>
      </c>
      <c r="P30" s="181" t="e">
        <f>SUMIF(Выводы!#REF!,tables!P$26,Выводы!#REF!)</f>
        <v>#REF!</v>
      </c>
      <c r="Q30" s="181" t="e">
        <f>SUMIF(Выводы!#REF!,tables!Q$26,Выводы!#REF!)</f>
        <v>#REF!</v>
      </c>
      <c r="R30" s="181" t="e">
        <f>SUMIF(Выводы!#REF!,tables!R$26,Выводы!#REF!)</f>
        <v>#REF!</v>
      </c>
    </row>
    <row r="31" spans="2:18">
      <c r="B31" s="176" t="s">
        <v>151</v>
      </c>
      <c r="C31" s="182" t="str">
        <f>IFERROR(C30/C27,"-")</f>
        <v>-</v>
      </c>
      <c r="D31" s="182" t="str">
        <f t="shared" ref="D31:R31" si="8">IFERROR(D30/D27,"-")</f>
        <v>-</v>
      </c>
      <c r="E31" s="182" t="str">
        <f t="shared" si="8"/>
        <v>-</v>
      </c>
      <c r="F31" s="182" t="str">
        <f t="shared" si="8"/>
        <v>-</v>
      </c>
      <c r="G31" s="182" t="str">
        <f t="shared" si="8"/>
        <v>-</v>
      </c>
      <c r="H31" s="182" t="str">
        <f t="shared" si="8"/>
        <v>-</v>
      </c>
      <c r="I31" s="182" t="str">
        <f t="shared" si="8"/>
        <v>-</v>
      </c>
      <c r="J31" s="182" t="str">
        <f t="shared" si="8"/>
        <v>-</v>
      </c>
      <c r="K31" s="182" t="str">
        <f t="shared" si="8"/>
        <v>-</v>
      </c>
      <c r="L31" s="182" t="str">
        <f t="shared" si="8"/>
        <v>-</v>
      </c>
      <c r="M31" s="182" t="str">
        <f t="shared" si="8"/>
        <v>-</v>
      </c>
      <c r="N31" s="182" t="str">
        <f t="shared" si="8"/>
        <v>-</v>
      </c>
      <c r="O31" s="182" t="str">
        <f t="shared" si="8"/>
        <v>-</v>
      </c>
      <c r="P31" s="182" t="str">
        <f t="shared" si="8"/>
        <v>-</v>
      </c>
      <c r="Q31" s="182" t="str">
        <f t="shared" si="8"/>
        <v>-</v>
      </c>
      <c r="R31" s="182" t="str">
        <f t="shared" si="8"/>
        <v>-</v>
      </c>
    </row>
    <row r="32" spans="2:18">
      <c r="B32" s="176" t="s">
        <v>268</v>
      </c>
      <c r="C32" s="181" t="e">
        <f>SUMIF(Выводы!#REF!,tables!C$26,Выводы!#REF!)</f>
        <v>#REF!</v>
      </c>
      <c r="D32" s="181" t="e">
        <f>SUMIF(Выводы!#REF!,tables!D$26,Выводы!#REF!)</f>
        <v>#REF!</v>
      </c>
      <c r="E32" s="181" t="e">
        <f>SUMIF(Выводы!#REF!,tables!E$26,Выводы!#REF!)</f>
        <v>#REF!</v>
      </c>
      <c r="F32" s="181" t="e">
        <f>SUMIF(Выводы!#REF!,tables!F$26,Выводы!#REF!)</f>
        <v>#REF!</v>
      </c>
      <c r="G32" s="181" t="e">
        <f>SUMIF(Выводы!#REF!,tables!G$26,Выводы!#REF!)</f>
        <v>#REF!</v>
      </c>
      <c r="H32" s="181" t="e">
        <f>SUMIF(Выводы!#REF!,tables!H$26,Выводы!#REF!)</f>
        <v>#REF!</v>
      </c>
      <c r="I32" s="181" t="e">
        <f>SUMIF(Выводы!#REF!,tables!I$26,Выводы!#REF!)</f>
        <v>#REF!</v>
      </c>
      <c r="J32" s="181" t="e">
        <f>SUMIF(Выводы!#REF!,tables!J$26,Выводы!#REF!)</f>
        <v>#REF!</v>
      </c>
      <c r="K32" s="181" t="e">
        <f>SUMIF(Выводы!#REF!,tables!K$26,Выводы!#REF!)</f>
        <v>#REF!</v>
      </c>
      <c r="L32" s="181" t="e">
        <f>SUMIF(Выводы!#REF!,tables!L$26,Выводы!#REF!)</f>
        <v>#REF!</v>
      </c>
      <c r="M32" s="181" t="e">
        <f>SUMIF(Выводы!#REF!,tables!M$26,Выводы!#REF!)</f>
        <v>#REF!</v>
      </c>
      <c r="N32" s="181" t="e">
        <f>SUMIF(Выводы!#REF!,tables!N$26,Выводы!#REF!)</f>
        <v>#REF!</v>
      </c>
      <c r="O32" s="181" t="e">
        <f>SUMIF(Выводы!#REF!,tables!O$26,Выводы!#REF!)</f>
        <v>#REF!</v>
      </c>
      <c r="P32" s="181" t="e">
        <f>SUMIF(Выводы!#REF!,tables!P$26,Выводы!#REF!)</f>
        <v>#REF!</v>
      </c>
      <c r="Q32" s="181" t="e">
        <f>SUMIF(Выводы!#REF!,tables!Q$26,Выводы!#REF!)</f>
        <v>#REF!</v>
      </c>
      <c r="R32" s="181" t="e">
        <f>SUMIF(Выводы!#REF!,tables!R$26,Выводы!#REF!)</f>
        <v>#REF!</v>
      </c>
    </row>
    <row r="33" spans="2:18">
      <c r="B33" s="176" t="s">
        <v>148</v>
      </c>
      <c r="C33" s="182" t="str">
        <f>IFERROR(C32/C27,"-")</f>
        <v>-</v>
      </c>
      <c r="D33" s="182" t="str">
        <f t="shared" ref="D33:R33" si="9">IFERROR(D32/D27,"-")</f>
        <v>-</v>
      </c>
      <c r="E33" s="182" t="str">
        <f t="shared" si="9"/>
        <v>-</v>
      </c>
      <c r="F33" s="182" t="str">
        <f t="shared" si="9"/>
        <v>-</v>
      </c>
      <c r="G33" s="182" t="str">
        <f t="shared" si="9"/>
        <v>-</v>
      </c>
      <c r="H33" s="182" t="str">
        <f t="shared" si="9"/>
        <v>-</v>
      </c>
      <c r="I33" s="182" t="str">
        <f t="shared" si="9"/>
        <v>-</v>
      </c>
      <c r="J33" s="182" t="str">
        <f t="shared" si="9"/>
        <v>-</v>
      </c>
      <c r="K33" s="182" t="str">
        <f t="shared" si="9"/>
        <v>-</v>
      </c>
      <c r="L33" s="182" t="str">
        <f t="shared" si="9"/>
        <v>-</v>
      </c>
      <c r="M33" s="182" t="str">
        <f t="shared" si="9"/>
        <v>-</v>
      </c>
      <c r="N33" s="182" t="str">
        <f t="shared" si="9"/>
        <v>-</v>
      </c>
      <c r="O33" s="182" t="str">
        <f t="shared" si="9"/>
        <v>-</v>
      </c>
      <c r="P33" s="182" t="str">
        <f t="shared" si="9"/>
        <v>-</v>
      </c>
      <c r="Q33" s="182" t="str">
        <f t="shared" si="9"/>
        <v>-</v>
      </c>
      <c r="R33" s="182" t="str">
        <f t="shared" si="9"/>
        <v>-</v>
      </c>
    </row>
    <row r="35" spans="2:18">
      <c r="G35" s="186" t="s">
        <v>101</v>
      </c>
    </row>
    <row r="36" spans="2:18">
      <c r="B36" s="175" t="s">
        <v>255</v>
      </c>
      <c r="C36" s="175" t="e">
        <f>Выводы!#REF!</f>
        <v>#REF!</v>
      </c>
      <c r="D36" s="175" t="e">
        <f>C36+1</f>
        <v>#REF!</v>
      </c>
      <c r="E36" s="175" t="e">
        <f t="shared" ref="E36:R36" si="10">D36+1</f>
        <v>#REF!</v>
      </c>
      <c r="F36" s="175" t="e">
        <f t="shared" si="10"/>
        <v>#REF!</v>
      </c>
      <c r="G36" s="175" t="e">
        <f t="shared" si="10"/>
        <v>#REF!</v>
      </c>
      <c r="H36" s="175" t="e">
        <f t="shared" si="10"/>
        <v>#REF!</v>
      </c>
      <c r="I36" s="175" t="e">
        <f t="shared" si="10"/>
        <v>#REF!</v>
      </c>
      <c r="J36" s="175" t="e">
        <f t="shared" si="10"/>
        <v>#REF!</v>
      </c>
      <c r="K36" s="175" t="e">
        <f t="shared" si="10"/>
        <v>#REF!</v>
      </c>
      <c r="L36" s="175" t="e">
        <f t="shared" si="10"/>
        <v>#REF!</v>
      </c>
      <c r="M36" s="175" t="e">
        <f t="shared" si="10"/>
        <v>#REF!</v>
      </c>
      <c r="N36" s="175" t="e">
        <f t="shared" si="10"/>
        <v>#REF!</v>
      </c>
      <c r="O36" s="175" t="e">
        <f t="shared" si="10"/>
        <v>#REF!</v>
      </c>
      <c r="P36" s="175" t="e">
        <f t="shared" si="10"/>
        <v>#REF!</v>
      </c>
      <c r="Q36" s="175" t="e">
        <f t="shared" si="10"/>
        <v>#REF!</v>
      </c>
      <c r="R36" s="175" t="e">
        <f t="shared" si="10"/>
        <v>#REF!</v>
      </c>
    </row>
    <row r="37" spans="2:18">
      <c r="B37" s="176" t="s">
        <v>410</v>
      </c>
      <c r="C37" s="181" t="e">
        <f>SUMIF(Выводы!#REF!,tables!C$36,Выводы!#REF!)</f>
        <v>#REF!</v>
      </c>
      <c r="D37" s="181" t="e">
        <f>SUMIF(Выводы!#REF!,tables!D$36,Выводы!#REF!)</f>
        <v>#REF!</v>
      </c>
      <c r="E37" s="181" t="e">
        <f>SUMIF(Выводы!#REF!,tables!E$36,Выводы!#REF!)</f>
        <v>#REF!</v>
      </c>
      <c r="F37" s="181" t="e">
        <f>SUMIF(Выводы!#REF!,tables!F$36,Выводы!#REF!)</f>
        <v>#REF!</v>
      </c>
      <c r="G37" s="181" t="e">
        <f>SUMIF(Выводы!#REF!,tables!G$36,Выводы!#REF!)</f>
        <v>#REF!</v>
      </c>
      <c r="H37" s="181" t="e">
        <f>SUMIF(Выводы!#REF!,tables!H$36,Выводы!#REF!)</f>
        <v>#REF!</v>
      </c>
      <c r="I37" s="181" t="e">
        <f>SUMIF(Выводы!#REF!,tables!I$36,Выводы!#REF!)</f>
        <v>#REF!</v>
      </c>
      <c r="J37" s="181" t="e">
        <f>SUMIF(Выводы!#REF!,tables!J$36,Выводы!#REF!)</f>
        <v>#REF!</v>
      </c>
      <c r="K37" s="181" t="e">
        <f>SUMIF(Выводы!#REF!,tables!K$36,Выводы!#REF!)</f>
        <v>#REF!</v>
      </c>
      <c r="L37" s="181" t="e">
        <f>SUMIF(Выводы!#REF!,tables!L$36,Выводы!#REF!)</f>
        <v>#REF!</v>
      </c>
      <c r="M37" s="181" t="e">
        <f>SUMIF(Выводы!#REF!,tables!M$36,Выводы!#REF!)</f>
        <v>#REF!</v>
      </c>
      <c r="N37" s="181" t="e">
        <f>SUMIF(Выводы!#REF!,tables!N$36,Выводы!#REF!)</f>
        <v>#REF!</v>
      </c>
      <c r="O37" s="181" t="e">
        <f>SUMIF(Выводы!#REF!,tables!O$36,Выводы!#REF!)</f>
        <v>#REF!</v>
      </c>
      <c r="P37" s="181" t="e">
        <f>SUMIF(Выводы!#REF!,tables!P$36,Выводы!#REF!)</f>
        <v>#REF!</v>
      </c>
      <c r="Q37" s="181" t="e">
        <f>SUMIF(Выводы!#REF!,tables!Q$36,Выводы!#REF!)</f>
        <v>#REF!</v>
      </c>
      <c r="R37" s="181" t="e">
        <f>SUMIF(Выводы!#REF!,tables!R$36,Выводы!#REF!)</f>
        <v>#REF!</v>
      </c>
    </row>
    <row r="38" spans="2:18">
      <c r="B38" s="176" t="s">
        <v>269</v>
      </c>
      <c r="C38" s="181" t="e">
        <f>SUMIF(Выводы!#REF!,tables!C$36,Выводы!#REF!)</f>
        <v>#REF!</v>
      </c>
      <c r="D38" s="181" t="e">
        <f>SUMIF(Выводы!#REF!,tables!D$36,Выводы!#REF!)</f>
        <v>#REF!</v>
      </c>
      <c r="E38" s="181" t="e">
        <f>SUMIF(Выводы!#REF!,tables!E$36,Выводы!#REF!)</f>
        <v>#REF!</v>
      </c>
      <c r="F38" s="181" t="e">
        <f>SUMIF(Выводы!#REF!,tables!F$36,Выводы!#REF!)</f>
        <v>#REF!</v>
      </c>
      <c r="G38" s="181" t="e">
        <f>SUMIF(Выводы!#REF!,tables!G$36,Выводы!#REF!)</f>
        <v>#REF!</v>
      </c>
      <c r="H38" s="181" t="e">
        <f>SUMIF(Выводы!#REF!,tables!H$36,Выводы!#REF!)</f>
        <v>#REF!</v>
      </c>
      <c r="I38" s="181" t="e">
        <f>SUMIF(Выводы!#REF!,tables!I$36,Выводы!#REF!)</f>
        <v>#REF!</v>
      </c>
      <c r="J38" s="181" t="e">
        <f>SUMIF(Выводы!#REF!,tables!J$36,Выводы!#REF!)</f>
        <v>#REF!</v>
      </c>
      <c r="K38" s="181" t="e">
        <f>SUMIF(Выводы!#REF!,tables!K$36,Выводы!#REF!)</f>
        <v>#REF!</v>
      </c>
      <c r="L38" s="181" t="e">
        <f>SUMIF(Выводы!#REF!,tables!L$36,Выводы!#REF!)</f>
        <v>#REF!</v>
      </c>
      <c r="M38" s="181" t="e">
        <f>SUMIF(Выводы!#REF!,tables!M$36,Выводы!#REF!)</f>
        <v>#REF!</v>
      </c>
      <c r="N38" s="181" t="e">
        <f>SUMIF(Выводы!#REF!,tables!N$36,Выводы!#REF!)</f>
        <v>#REF!</v>
      </c>
      <c r="O38" s="181" t="e">
        <f>SUMIF(Выводы!#REF!,tables!O$36,Выводы!#REF!)</f>
        <v>#REF!</v>
      </c>
      <c r="P38" s="181" t="e">
        <f>SUMIF(Выводы!#REF!,tables!P$36,Выводы!#REF!)</f>
        <v>#REF!</v>
      </c>
      <c r="Q38" s="181" t="e">
        <f>SUMIF(Выводы!#REF!,tables!Q$36,Выводы!#REF!)</f>
        <v>#REF!</v>
      </c>
      <c r="R38" s="181" t="e">
        <f>SUMIF(Выводы!#REF!,tables!R$36,Выводы!#REF!)</f>
        <v>#REF!</v>
      </c>
    </row>
    <row r="39" spans="2:18">
      <c r="B39" s="176" t="s">
        <v>270</v>
      </c>
      <c r="C39" s="181" t="e">
        <f>SUMIF(Выводы!#REF!,tables!C$36,Выводы!#REF!)</f>
        <v>#REF!</v>
      </c>
      <c r="D39" s="181" t="e">
        <f>SUMIF(Выводы!#REF!,tables!D$36,Выводы!#REF!)</f>
        <v>#REF!</v>
      </c>
      <c r="E39" s="181" t="e">
        <f>SUMIF(Выводы!#REF!,tables!E$36,Выводы!#REF!)</f>
        <v>#REF!</v>
      </c>
      <c r="F39" s="181" t="e">
        <f>SUMIF(Выводы!#REF!,tables!F$36,Выводы!#REF!)</f>
        <v>#REF!</v>
      </c>
      <c r="G39" s="181" t="e">
        <f>SUMIF(Выводы!#REF!,tables!G$36,Выводы!#REF!)</f>
        <v>#REF!</v>
      </c>
      <c r="H39" s="181" t="e">
        <f>SUMIF(Выводы!#REF!,tables!H$36,Выводы!#REF!)</f>
        <v>#REF!</v>
      </c>
      <c r="I39" s="181" t="e">
        <f>SUMIF(Выводы!#REF!,tables!I$36,Выводы!#REF!)</f>
        <v>#REF!</v>
      </c>
      <c r="J39" s="181" t="e">
        <f>SUMIF(Выводы!#REF!,tables!J$36,Выводы!#REF!)</f>
        <v>#REF!</v>
      </c>
      <c r="K39" s="181" t="e">
        <f>SUMIF(Выводы!#REF!,tables!K$36,Выводы!#REF!)</f>
        <v>#REF!</v>
      </c>
      <c r="L39" s="181" t="e">
        <f>SUMIF(Выводы!#REF!,tables!L$36,Выводы!#REF!)</f>
        <v>#REF!</v>
      </c>
      <c r="M39" s="181" t="e">
        <f>SUMIF(Выводы!#REF!,tables!M$36,Выводы!#REF!)</f>
        <v>#REF!</v>
      </c>
      <c r="N39" s="181" t="e">
        <f>SUMIF(Выводы!#REF!,tables!N$36,Выводы!#REF!)</f>
        <v>#REF!</v>
      </c>
      <c r="O39" s="181" t="e">
        <f>SUMIF(Выводы!#REF!,tables!O$36,Выводы!#REF!)</f>
        <v>#REF!</v>
      </c>
      <c r="P39" s="181" t="e">
        <f>SUMIF(Выводы!#REF!,tables!P$36,Выводы!#REF!)</f>
        <v>#REF!</v>
      </c>
      <c r="Q39" s="181" t="e">
        <f>SUMIF(Выводы!#REF!,tables!Q$36,Выводы!#REF!)</f>
        <v>#REF!</v>
      </c>
      <c r="R39" s="181" t="e">
        <f>SUMIF(Выводы!#REF!,tables!R$36,Выводы!#REF!)</f>
        <v>#REF!</v>
      </c>
    </row>
    <row r="40" spans="2:18">
      <c r="B40" s="176" t="s">
        <v>271</v>
      </c>
      <c r="C40" s="181" t="e">
        <f>SUM(C37:C39)</f>
        <v>#REF!</v>
      </c>
      <c r="D40" s="181" t="e">
        <f t="shared" ref="D40:R40" si="11">SUM(D37:D39)</f>
        <v>#REF!</v>
      </c>
      <c r="E40" s="181" t="e">
        <f t="shared" si="11"/>
        <v>#REF!</v>
      </c>
      <c r="F40" s="181" t="e">
        <f t="shared" si="11"/>
        <v>#REF!</v>
      </c>
      <c r="G40" s="181" t="e">
        <f t="shared" si="11"/>
        <v>#REF!</v>
      </c>
      <c r="H40" s="181" t="e">
        <f t="shared" si="11"/>
        <v>#REF!</v>
      </c>
      <c r="I40" s="181" t="e">
        <f t="shared" si="11"/>
        <v>#REF!</v>
      </c>
      <c r="J40" s="181" t="e">
        <f t="shared" si="11"/>
        <v>#REF!</v>
      </c>
      <c r="K40" s="181" t="e">
        <f t="shared" si="11"/>
        <v>#REF!</v>
      </c>
      <c r="L40" s="181" t="e">
        <f t="shared" si="11"/>
        <v>#REF!</v>
      </c>
      <c r="M40" s="181" t="e">
        <f t="shared" si="11"/>
        <v>#REF!</v>
      </c>
      <c r="N40" s="181" t="e">
        <f t="shared" si="11"/>
        <v>#REF!</v>
      </c>
      <c r="O40" s="181" t="e">
        <f t="shared" si="11"/>
        <v>#REF!</v>
      </c>
      <c r="P40" s="181" t="e">
        <f t="shared" si="11"/>
        <v>#REF!</v>
      </c>
      <c r="Q40" s="181" t="e">
        <f t="shared" si="11"/>
        <v>#REF!</v>
      </c>
      <c r="R40" s="181" t="e">
        <f t="shared" si="11"/>
        <v>#REF!</v>
      </c>
    </row>
    <row r="42" spans="2:18">
      <c r="G42" s="186" t="e">
        <f>CONCATENATE("Инвестиционная оценка (ставка дисконтирования ",VALUE(TEXT(Ставка_Дисконтирования*100,"# ##0"))," % )")</f>
        <v>#NAME?</v>
      </c>
    </row>
    <row r="43" spans="2:18" ht="33.75" customHeight="1">
      <c r="B43" s="558" t="s">
        <v>255</v>
      </c>
      <c r="C43" s="556" t="s">
        <v>278</v>
      </c>
      <c r="D43" s="557"/>
      <c r="E43" s="556" t="s">
        <v>279</v>
      </c>
      <c r="F43" s="557"/>
    </row>
    <row r="44" spans="2:18" ht="33.75" customHeight="1">
      <c r="B44" s="559"/>
      <c r="C44" s="189" t="s">
        <v>12</v>
      </c>
      <c r="D44" s="189" t="s">
        <v>281</v>
      </c>
      <c r="E44" s="189" t="s">
        <v>12</v>
      </c>
      <c r="F44" s="189" t="s">
        <v>281</v>
      </c>
    </row>
    <row r="45" spans="2:18">
      <c r="B45" s="172" t="s">
        <v>263</v>
      </c>
      <c r="C45" s="181" t="e">
        <f>Выводы!#REF!</f>
        <v>#REF!</v>
      </c>
      <c r="D45" s="181" t="e">
        <f>Выводы!#REF!</f>
        <v>#REF!</v>
      </c>
      <c r="E45" s="181" t="e">
        <f>Выводы!#REF!</f>
        <v>#REF!</v>
      </c>
      <c r="F45" s="181" t="e">
        <f>Выводы!#REF!</f>
        <v>#REF!</v>
      </c>
    </row>
    <row r="46" spans="2:18">
      <c r="B46" s="172" t="s">
        <v>264</v>
      </c>
      <c r="C46" s="173" t="e">
        <f>Выводы!#REF!</f>
        <v>#REF!</v>
      </c>
      <c r="D46" s="173" t="e">
        <f>Выводы!#REF!</f>
        <v>#REF!</v>
      </c>
      <c r="E46" s="173" t="e">
        <f>Выводы!#REF!</f>
        <v>#REF!</v>
      </c>
      <c r="F46" s="173" t="e">
        <f>Выводы!#REF!</f>
        <v>#REF!</v>
      </c>
    </row>
    <row r="47" spans="2:18">
      <c r="B47" s="172" t="s">
        <v>265</v>
      </c>
      <c r="C47" s="174" t="e">
        <f>Выводы!#REF!</f>
        <v>#REF!</v>
      </c>
      <c r="D47" s="174" t="e">
        <f>Выводы!#REF!</f>
        <v>#REF!</v>
      </c>
      <c r="E47" s="174" t="e">
        <f>Выводы!#REF!</f>
        <v>#REF!</v>
      </c>
      <c r="F47" s="174" t="e">
        <f>Выводы!#REF!</f>
        <v>#REF!</v>
      </c>
    </row>
    <row r="48" spans="2:18">
      <c r="B48" s="172" t="s">
        <v>266</v>
      </c>
      <c r="C48" s="174" t="e">
        <f>Выводы!#REF!</f>
        <v>#REF!</v>
      </c>
      <c r="D48" s="174" t="e">
        <f>Выводы!#REF!</f>
        <v>#REF!</v>
      </c>
      <c r="E48" s="174" t="e">
        <f>Выводы!#REF!</f>
        <v>#REF!</v>
      </c>
      <c r="F48" s="174" t="e">
        <f>Выводы!#REF!</f>
        <v>#REF!</v>
      </c>
    </row>
    <row r="50" spans="2:18">
      <c r="G50" s="186" t="s">
        <v>272</v>
      </c>
    </row>
    <row r="52" spans="2:18">
      <c r="B52" s="558" t="s">
        <v>255</v>
      </c>
      <c r="C52" s="558" t="s">
        <v>13</v>
      </c>
      <c r="D52" s="558" t="s">
        <v>12</v>
      </c>
      <c r="E52" s="558" t="s">
        <v>281</v>
      </c>
      <c r="F52" s="564">
        <f>Выводы!E9</f>
        <v>2026</v>
      </c>
      <c r="G52" s="564">
        <f>Выводы!F9</f>
        <v>2027</v>
      </c>
      <c r="H52" s="564">
        <f>Выводы!G9</f>
        <v>2028</v>
      </c>
      <c r="I52" s="564">
        <f>Выводы!H9</f>
        <v>2029</v>
      </c>
      <c r="J52" s="564">
        <f>Выводы!I9</f>
        <v>2030</v>
      </c>
      <c r="K52" s="564">
        <f>Выводы!J9</f>
        <v>2031</v>
      </c>
      <c r="L52" s="564">
        <f>Выводы!K9</f>
        <v>2032</v>
      </c>
      <c r="M52" s="564">
        <f>Выводы!L9</f>
        <v>2033</v>
      </c>
      <c r="N52" s="564">
        <f>Выводы!M9</f>
        <v>2034</v>
      </c>
      <c r="O52" s="564">
        <f>Выводы!N9</f>
        <v>2035</v>
      </c>
      <c r="P52" s="564">
        <f>Выводы!O9</f>
        <v>2036</v>
      </c>
    </row>
    <row r="53" spans="2:18">
      <c r="B53" s="559"/>
      <c r="C53" s="559"/>
      <c r="D53" s="559"/>
      <c r="E53" s="559"/>
      <c r="F53" s="565"/>
      <c r="G53" s="565"/>
      <c r="H53" s="565"/>
      <c r="I53" s="565"/>
      <c r="J53" s="565"/>
      <c r="K53" s="565"/>
      <c r="L53" s="565"/>
      <c r="M53" s="565"/>
      <c r="N53" s="565"/>
      <c r="O53" s="565"/>
      <c r="P53" s="565"/>
    </row>
    <row r="54" spans="2:18">
      <c r="B54" s="176" t="str">
        <f>Выводы!B11</f>
        <v>Целевой объем продаж новой продукции</v>
      </c>
      <c r="C54" s="191" t="str">
        <f>Выводы!C11</f>
        <v>тыс. руб.</v>
      </c>
      <c r="D54" s="191">
        <f ca="1">Выводы!D11</f>
        <v>0</v>
      </c>
      <c r="E54" s="191" t="e">
        <f>Выводы!#REF!</f>
        <v>#REF!</v>
      </c>
      <c r="F54" s="191">
        <f ca="1">Выводы!E11</f>
        <v>0</v>
      </c>
      <c r="G54" s="191">
        <f ca="1">Выводы!F11</f>
        <v>0</v>
      </c>
      <c r="H54" s="191">
        <f ca="1">Выводы!G11</f>
        <v>0</v>
      </c>
      <c r="I54" s="191">
        <f ca="1">Выводы!H11</f>
        <v>0</v>
      </c>
      <c r="J54" s="191">
        <f ca="1">Выводы!I11</f>
        <v>0</v>
      </c>
      <c r="K54" s="191">
        <f ca="1">Выводы!J11</f>
        <v>0</v>
      </c>
      <c r="L54" s="191" t="str">
        <f>Выводы!K11</f>
        <v>-</v>
      </c>
      <c r="M54" s="191" t="str">
        <f>Выводы!L11</f>
        <v>-</v>
      </c>
      <c r="N54" s="191" t="str">
        <f>Выводы!M11</f>
        <v>-</v>
      </c>
      <c r="O54" s="191" t="str">
        <f>Выводы!N11</f>
        <v>-</v>
      </c>
      <c r="P54" s="191" t="str">
        <f>Выводы!O11</f>
        <v>-</v>
      </c>
    </row>
    <row r="55" spans="2:18">
      <c r="B55" s="176" t="str">
        <f>Выводы!B12</f>
        <v>Объем налоговых поступлений</v>
      </c>
      <c r="C55" s="191" t="str">
        <f>Выводы!C12</f>
        <v>тыс. руб.</v>
      </c>
      <c r="D55" s="191">
        <f ca="1">Выводы!D12</f>
        <v>0</v>
      </c>
      <c r="E55" s="191" t="e">
        <f>Выводы!#REF!</f>
        <v>#REF!</v>
      </c>
      <c r="F55" s="191">
        <f ca="1">Выводы!E12</f>
        <v>0</v>
      </c>
      <c r="G55" s="191">
        <f ca="1">Выводы!F12</f>
        <v>0</v>
      </c>
      <c r="H55" s="191">
        <f ca="1">Выводы!G12</f>
        <v>0</v>
      </c>
      <c r="I55" s="191">
        <f ca="1">Выводы!H12</f>
        <v>0</v>
      </c>
      <c r="J55" s="191">
        <f ca="1">Выводы!I12</f>
        <v>0</v>
      </c>
      <c r="K55" s="191">
        <f ca="1">Выводы!J12</f>
        <v>0</v>
      </c>
      <c r="L55" s="191" t="str">
        <f>Выводы!K12</f>
        <v>-</v>
      </c>
      <c r="M55" s="191" t="str">
        <f>Выводы!L12</f>
        <v>-</v>
      </c>
      <c r="N55" s="191" t="str">
        <f>Выводы!M12</f>
        <v>-</v>
      </c>
      <c r="O55" s="191" t="str">
        <f>Выводы!N12</f>
        <v>-</v>
      </c>
      <c r="P55" s="191" t="str">
        <f>Выводы!O12</f>
        <v>-</v>
      </c>
    </row>
    <row r="56" spans="2:18">
      <c r="B56" s="176" t="str">
        <f>Выводы!B13</f>
        <v>Объем средств частных инвесторов</v>
      </c>
      <c r="C56" s="191" t="str">
        <f>Выводы!C13</f>
        <v>тыс. руб.</v>
      </c>
      <c r="D56" s="191">
        <f ca="1">Выводы!D13</f>
        <v>0</v>
      </c>
      <c r="E56" s="191" t="e">
        <f>Выводы!#REF!</f>
        <v>#REF!</v>
      </c>
      <c r="F56" s="191">
        <f ca="1">Выводы!E13</f>
        <v>0</v>
      </c>
      <c r="G56" s="191">
        <f ca="1">Выводы!F13</f>
        <v>0</v>
      </c>
      <c r="H56" s="191">
        <f ca="1">Выводы!G13</f>
        <v>0</v>
      </c>
      <c r="I56" s="191">
        <f ca="1">Выводы!H13</f>
        <v>0</v>
      </c>
      <c r="J56" s="191">
        <f ca="1">Выводы!I13</f>
        <v>0</v>
      </c>
      <c r="K56" s="191">
        <f ca="1">Выводы!J13</f>
        <v>0</v>
      </c>
      <c r="L56" s="191" t="str">
        <f>Выводы!K13</f>
        <v>-</v>
      </c>
      <c r="M56" s="191" t="str">
        <f>Выводы!L13</f>
        <v>-</v>
      </c>
      <c r="N56" s="191" t="str">
        <f>Выводы!M13</f>
        <v>-</v>
      </c>
      <c r="O56" s="191" t="str">
        <f>Выводы!N13</f>
        <v>-</v>
      </c>
      <c r="P56" s="191" t="str">
        <f>Выводы!O13</f>
        <v>-</v>
      </c>
    </row>
    <row r="57" spans="2:18">
      <c r="B57" s="176" t="str">
        <f>Выводы!B14</f>
        <v>Количество создаваемых рабочих мест</v>
      </c>
      <c r="C57" s="191" t="str">
        <f>Выводы!C14</f>
        <v>ед.</v>
      </c>
      <c r="D57" s="191">
        <f>Выводы!D14</f>
        <v>0</v>
      </c>
      <c r="E57" s="191" t="e">
        <f>Выводы!#REF!</f>
        <v>#REF!</v>
      </c>
      <c r="F57" s="191">
        <f>Выводы!E14</f>
        <v>0</v>
      </c>
      <c r="G57" s="191">
        <f>Выводы!F14</f>
        <v>0</v>
      </c>
      <c r="H57" s="191">
        <f>Выводы!G14</f>
        <v>0</v>
      </c>
      <c r="I57" s="191">
        <f>Выводы!H14</f>
        <v>0</v>
      </c>
      <c r="J57" s="191">
        <f>Выводы!I14</f>
        <v>0</v>
      </c>
      <c r="K57" s="191">
        <f>Выводы!J14</f>
        <v>0</v>
      </c>
      <c r="L57" s="191" t="str">
        <f>Выводы!K14</f>
        <v>-</v>
      </c>
      <c r="M57" s="191" t="str">
        <f>Выводы!L14</f>
        <v>-</v>
      </c>
      <c r="N57" s="191" t="str">
        <f>Выводы!M14</f>
        <v>-</v>
      </c>
      <c r="O57" s="191" t="str">
        <f>Выводы!N14</f>
        <v>-</v>
      </c>
      <c r="P57" s="191" t="str">
        <f>Выводы!O14</f>
        <v>-</v>
      </c>
    </row>
    <row r="58" spans="2:18">
      <c r="B58" s="176" t="e">
        <f>Выводы!#REF!</f>
        <v>#REF!</v>
      </c>
      <c r="C58" s="191" t="e">
        <f>Выводы!#REF!</f>
        <v>#REF!</v>
      </c>
      <c r="D58" s="191" t="e">
        <f>Выводы!#REF!</f>
        <v>#REF!</v>
      </c>
      <c r="E58" s="191" t="e">
        <f>Выводы!#REF!</f>
        <v>#REF!</v>
      </c>
      <c r="F58" s="191" t="e">
        <f>Выводы!#REF!</f>
        <v>#REF!</v>
      </c>
      <c r="G58" s="191" t="e">
        <f>Выводы!#REF!</f>
        <v>#REF!</v>
      </c>
      <c r="H58" s="191" t="e">
        <f>Выводы!#REF!</f>
        <v>#REF!</v>
      </c>
      <c r="I58" s="191" t="e">
        <f>Выводы!#REF!</f>
        <v>#REF!</v>
      </c>
      <c r="J58" s="191" t="e">
        <f>Выводы!#REF!</f>
        <v>#REF!</v>
      </c>
      <c r="K58" s="191" t="e">
        <f>Выводы!#REF!</f>
        <v>#REF!</v>
      </c>
      <c r="L58" s="191" t="e">
        <f>Выводы!#REF!</f>
        <v>#REF!</v>
      </c>
      <c r="M58" s="191" t="e">
        <f>Выводы!#REF!</f>
        <v>#REF!</v>
      </c>
      <c r="N58" s="191" t="e">
        <f>Выводы!#REF!</f>
        <v>#REF!</v>
      </c>
      <c r="O58" s="191" t="e">
        <f>Выводы!#REF!</f>
        <v>#REF!</v>
      </c>
      <c r="P58" s="191" t="e">
        <f>Выводы!#REF!</f>
        <v>#REF!</v>
      </c>
    </row>
    <row r="61" spans="2:18">
      <c r="G61" s="186" t="s">
        <v>458</v>
      </c>
    </row>
    <row r="62" spans="2:18">
      <c r="B62" s="188" t="s">
        <v>86</v>
      </c>
    </row>
    <row r="63" spans="2:18">
      <c r="B63" s="175" t="s">
        <v>255</v>
      </c>
      <c r="C63" s="175" t="e">
        <f>Выводы!#REF!</f>
        <v>#REF!</v>
      </c>
      <c r="D63" s="175" t="e">
        <f>C63+1</f>
        <v>#REF!</v>
      </c>
      <c r="E63" s="175" t="e">
        <f t="shared" ref="E63:R63" si="12">D63+1</f>
        <v>#REF!</v>
      </c>
      <c r="F63" s="175" t="e">
        <f t="shared" si="12"/>
        <v>#REF!</v>
      </c>
      <c r="G63" s="175" t="e">
        <f t="shared" si="12"/>
        <v>#REF!</v>
      </c>
      <c r="H63" s="175" t="e">
        <f t="shared" si="12"/>
        <v>#REF!</v>
      </c>
      <c r="I63" s="175" t="e">
        <f t="shared" si="12"/>
        <v>#REF!</v>
      </c>
      <c r="J63" s="175" t="e">
        <f t="shared" si="12"/>
        <v>#REF!</v>
      </c>
      <c r="K63" s="175" t="e">
        <f t="shared" si="12"/>
        <v>#REF!</v>
      </c>
      <c r="L63" s="175" t="e">
        <f t="shared" si="12"/>
        <v>#REF!</v>
      </c>
      <c r="M63" s="175" t="e">
        <f t="shared" si="12"/>
        <v>#REF!</v>
      </c>
      <c r="N63" s="175" t="e">
        <f t="shared" si="12"/>
        <v>#REF!</v>
      </c>
      <c r="O63" s="175" t="e">
        <f t="shared" si="12"/>
        <v>#REF!</v>
      </c>
      <c r="P63" s="175" t="e">
        <f t="shared" si="12"/>
        <v>#REF!</v>
      </c>
      <c r="Q63" s="175" t="e">
        <f t="shared" si="12"/>
        <v>#REF!</v>
      </c>
      <c r="R63" s="175" t="e">
        <f t="shared" si="12"/>
        <v>#REF!</v>
      </c>
    </row>
    <row r="64" spans="2:18">
      <c r="B64" s="176" t="s">
        <v>87</v>
      </c>
      <c r="C64" s="181">
        <f>SUMIF(Выводы!$F$28:$U$28,tables!C$63,Выводы!$F30:$U30)</f>
        <v>0</v>
      </c>
      <c r="D64" s="181">
        <f>SUMIF(Выводы!$F$28:$U$28,tables!D$63,Выводы!$F30:$U30)</f>
        <v>0</v>
      </c>
      <c r="E64" s="181">
        <f>SUMIF(Выводы!$F$28:$U$28,tables!E$63,Выводы!$F30:$U30)</f>
        <v>0</v>
      </c>
      <c r="F64" s="181">
        <f>SUMIF(Выводы!$F$28:$U$28,tables!F$63,Выводы!$F30:$U30)</f>
        <v>0</v>
      </c>
      <c r="G64" s="181">
        <f>SUMIF(Выводы!$F$28:$U$28,tables!G$63,Выводы!$F30:$U30)</f>
        <v>0</v>
      </c>
      <c r="H64" s="181">
        <f>SUMIF(Выводы!$F$28:$U$28,tables!H$63,Выводы!$F30:$U30)</f>
        <v>0</v>
      </c>
      <c r="I64" s="181">
        <f>SUMIF(Выводы!$F$28:$U$28,tables!I$63,Выводы!$F30:$U30)</f>
        <v>0</v>
      </c>
      <c r="J64" s="181">
        <f>SUMIF(Выводы!$F$28:$U$28,tables!J$63,Выводы!$F30:$U30)</f>
        <v>0</v>
      </c>
      <c r="K64" s="181">
        <f>SUMIF(Выводы!$F$28:$U$28,tables!K$63,Выводы!$F30:$U30)</f>
        <v>0</v>
      </c>
      <c r="L64" s="181">
        <f>SUMIF(Выводы!$F$28:$U$28,tables!L$63,Выводы!$F30:$U30)</f>
        <v>0</v>
      </c>
      <c r="M64" s="181">
        <f>SUMIF(Выводы!$F$28:$U$28,tables!M$63,Выводы!$F30:$U30)</f>
        <v>0</v>
      </c>
      <c r="N64" s="181">
        <f>SUMIF(Выводы!$F$28:$U$28,tables!N$63,Выводы!$F30:$U30)</f>
        <v>0</v>
      </c>
      <c r="O64" s="181">
        <f>SUMIF(Выводы!$F$28:$U$28,tables!O$63,Выводы!$F30:$U30)</f>
        <v>0</v>
      </c>
      <c r="P64" s="181">
        <f>SUMIF(Выводы!$F$28:$U$28,tables!P$63,Выводы!$F30:$U30)</f>
        <v>0</v>
      </c>
      <c r="Q64" s="181">
        <f>SUMIF(Выводы!$F$28:$U$28,tables!Q$63,Выводы!$F30:$U30)</f>
        <v>0</v>
      </c>
      <c r="R64" s="181">
        <f>SUMIF(Выводы!$F$28:$U$28,tables!R$63,Выводы!$F30:$U30)</f>
        <v>0</v>
      </c>
    </row>
    <row r="65" spans="2:18">
      <c r="B65" s="176" t="s">
        <v>433</v>
      </c>
      <c r="C65" s="182">
        <f>SUMIF(Выводы!$F$28:$U$28,tables!C$63,Выводы!$F31:$U31)</f>
        <v>0</v>
      </c>
      <c r="D65" s="182">
        <f>SUMIF(Выводы!$F$28:$U$28,tables!D$63,Выводы!$F31:$U31)</f>
        <v>0</v>
      </c>
      <c r="E65" s="182">
        <f>SUMIF(Выводы!$F$28:$U$28,tables!E$63,Выводы!$F31:$U31)</f>
        <v>0</v>
      </c>
      <c r="F65" s="182">
        <f>SUMIF(Выводы!$F$28:$U$28,tables!F$63,Выводы!$F31:$U31)</f>
        <v>0</v>
      </c>
      <c r="G65" s="182">
        <f>SUMIF(Выводы!$F$28:$U$28,tables!G$63,Выводы!$F31:$U31)</f>
        <v>0</v>
      </c>
      <c r="H65" s="182">
        <f>SUMIF(Выводы!$F$28:$U$28,tables!H$63,Выводы!$F31:$U31)</f>
        <v>0</v>
      </c>
      <c r="I65" s="182">
        <f>SUMIF(Выводы!$F$28:$U$28,tables!I$63,Выводы!$F31:$U31)</f>
        <v>0</v>
      </c>
      <c r="J65" s="182">
        <f>SUMIF(Выводы!$F$28:$U$28,tables!J$63,Выводы!$F31:$U31)</f>
        <v>0</v>
      </c>
      <c r="K65" s="182">
        <f>SUMIF(Выводы!$F$28:$U$28,tables!K$63,Выводы!$F31:$U31)</f>
        <v>0</v>
      </c>
      <c r="L65" s="182">
        <f>SUMIF(Выводы!$F$28:$U$28,tables!L$63,Выводы!$F31:$U31)</f>
        <v>0</v>
      </c>
      <c r="M65" s="182">
        <f>SUMIF(Выводы!$F$28:$U$28,tables!M$63,Выводы!$F31:$U31)</f>
        <v>0</v>
      </c>
      <c r="N65" s="182">
        <f>SUMIF(Выводы!$F$28:$U$28,tables!N$63,Выводы!$F31:$U31)</f>
        <v>0</v>
      </c>
      <c r="O65" s="182">
        <f>SUMIF(Выводы!$F$28:$U$28,tables!O$63,Выводы!$F31:$U31)</f>
        <v>0</v>
      </c>
      <c r="P65" s="182">
        <f>SUMIF(Выводы!$F$28:$U$28,tables!P$63,Выводы!$F31:$U31)</f>
        <v>0</v>
      </c>
      <c r="Q65" s="182">
        <f>SUMIF(Выводы!$F$28:$U$28,tables!Q$63,Выводы!$F31:$U31)</f>
        <v>0</v>
      </c>
      <c r="R65" s="182">
        <f>SUMIF(Выводы!$F$28:$U$28,tables!R$63,Выводы!$F31:$U31)</f>
        <v>0</v>
      </c>
    </row>
    <row r="66" spans="2:18">
      <c r="B66" s="176" t="s">
        <v>267</v>
      </c>
      <c r="C66" s="181">
        <f>SUMIF(Выводы!$F$28:$U$28,tables!C$63,Выводы!$F32:$U32)</f>
        <v>0</v>
      </c>
      <c r="D66" s="181">
        <f>SUMIF(Выводы!$F$28:$U$28,tables!D$63,Выводы!$F32:$U32)</f>
        <v>0</v>
      </c>
      <c r="E66" s="181">
        <f>SUMIF(Выводы!$F$28:$U$28,tables!E$63,Выводы!$F32:$U32)</f>
        <v>0</v>
      </c>
      <c r="F66" s="181">
        <f>SUMIF(Выводы!$F$28:$U$28,tables!F$63,Выводы!$F32:$U32)</f>
        <v>0</v>
      </c>
      <c r="G66" s="181">
        <f>SUMIF(Выводы!$F$28:$U$28,tables!G$63,Выводы!$F32:$U32)</f>
        <v>0</v>
      </c>
      <c r="H66" s="181">
        <f>SUMIF(Выводы!$F$28:$U$28,tables!H$63,Выводы!$F32:$U32)</f>
        <v>0</v>
      </c>
      <c r="I66" s="181">
        <f>SUMIF(Выводы!$F$28:$U$28,tables!I$63,Выводы!$F32:$U32)</f>
        <v>0</v>
      </c>
      <c r="J66" s="181">
        <f>SUMIF(Выводы!$F$28:$U$28,tables!J$63,Выводы!$F32:$U32)</f>
        <v>0</v>
      </c>
      <c r="K66" s="181">
        <f>SUMIF(Выводы!$F$28:$U$28,tables!K$63,Выводы!$F32:$U32)</f>
        <v>0</v>
      </c>
      <c r="L66" s="181">
        <f>SUMIF(Выводы!$F$28:$U$28,tables!L$63,Выводы!$F32:$U32)</f>
        <v>0</v>
      </c>
      <c r="M66" s="181">
        <f>SUMIF(Выводы!$F$28:$U$28,tables!M$63,Выводы!$F32:$U32)</f>
        <v>0</v>
      </c>
      <c r="N66" s="181">
        <f>SUMIF(Выводы!$F$28:$U$28,tables!N$63,Выводы!$F32:$U32)</f>
        <v>0</v>
      </c>
      <c r="O66" s="181">
        <f>SUMIF(Выводы!$F$28:$U$28,tables!O$63,Выводы!$F32:$U32)</f>
        <v>0</v>
      </c>
      <c r="P66" s="181">
        <f>SUMIF(Выводы!$F$28:$U$28,tables!P$63,Выводы!$F32:$U32)</f>
        <v>0</v>
      </c>
      <c r="Q66" s="181">
        <f>SUMIF(Выводы!$F$28:$U$28,tables!Q$63,Выводы!$F32:$U32)</f>
        <v>0</v>
      </c>
      <c r="R66" s="181">
        <f>SUMIF(Выводы!$F$28:$U$28,tables!R$63,Выводы!$F32:$U32)</f>
        <v>0</v>
      </c>
    </row>
    <row r="67" spans="2:18">
      <c r="B67" s="176" t="s">
        <v>145</v>
      </c>
      <c r="C67" s="182">
        <f>SUMIF(Выводы!$F$28:$U$28,tables!C$63,Выводы!$F33:$U33)</f>
        <v>0</v>
      </c>
      <c r="D67" s="182">
        <f>SUMIF(Выводы!$F$28:$U$28,tables!D$63,Выводы!$F33:$U33)</f>
        <v>0</v>
      </c>
      <c r="E67" s="182">
        <f>SUMIF(Выводы!$F$28:$U$28,tables!E$63,Выводы!$F33:$U33)</f>
        <v>0</v>
      </c>
      <c r="F67" s="182">
        <f>SUMIF(Выводы!$F$28:$U$28,tables!F$63,Выводы!$F33:$U33)</f>
        <v>0</v>
      </c>
      <c r="G67" s="182">
        <f>SUMIF(Выводы!$F$28:$U$28,tables!G$63,Выводы!$F33:$U33)</f>
        <v>0</v>
      </c>
      <c r="H67" s="182">
        <f>SUMIF(Выводы!$F$28:$U$28,tables!H$63,Выводы!$F33:$U33)</f>
        <v>0</v>
      </c>
      <c r="I67" s="182">
        <f>SUMIF(Выводы!$F$28:$U$28,tables!I$63,Выводы!$F33:$U33)</f>
        <v>0</v>
      </c>
      <c r="J67" s="182">
        <f>SUMIF(Выводы!$F$28:$U$28,tables!J$63,Выводы!$F33:$U33)</f>
        <v>0</v>
      </c>
      <c r="K67" s="182">
        <f>SUMIF(Выводы!$F$28:$U$28,tables!K$63,Выводы!$F33:$U33)</f>
        <v>0</v>
      </c>
      <c r="L67" s="182">
        <f>SUMIF(Выводы!$F$28:$U$28,tables!L$63,Выводы!$F33:$U33)</f>
        <v>0</v>
      </c>
      <c r="M67" s="182">
        <f>SUMIF(Выводы!$F$28:$U$28,tables!M$63,Выводы!$F33:$U33)</f>
        <v>0</v>
      </c>
      <c r="N67" s="182">
        <f>SUMIF(Выводы!$F$28:$U$28,tables!N$63,Выводы!$F33:$U33)</f>
        <v>0</v>
      </c>
      <c r="O67" s="182">
        <f>SUMIF(Выводы!$F$28:$U$28,tables!O$63,Выводы!$F33:$U33)</f>
        <v>0</v>
      </c>
      <c r="P67" s="182">
        <f>SUMIF(Выводы!$F$28:$U$28,tables!P$63,Выводы!$F33:$U33)</f>
        <v>0</v>
      </c>
      <c r="Q67" s="182">
        <f>SUMIF(Выводы!$F$28:$U$28,tables!Q$63,Выводы!$F33:$U33)</f>
        <v>0</v>
      </c>
      <c r="R67" s="182">
        <f>SUMIF(Выводы!$F$28:$U$28,tables!R$63,Выводы!$F33:$U33)</f>
        <v>0</v>
      </c>
    </row>
    <row r="68" spans="2:18">
      <c r="B68" s="176" t="s">
        <v>130</v>
      </c>
      <c r="C68" s="181">
        <f>SUMIF(Выводы!$F$28:$U$28,tables!C$63,Выводы!$F34:$U34)</f>
        <v>0</v>
      </c>
      <c r="D68" s="181">
        <f>SUMIF(Выводы!$F$28:$U$28,tables!D$63,Выводы!$F34:$U34)</f>
        <v>0</v>
      </c>
      <c r="E68" s="181">
        <f>SUMIF(Выводы!$F$28:$U$28,tables!E$63,Выводы!$F34:$U34)</f>
        <v>0</v>
      </c>
      <c r="F68" s="181">
        <f>SUMIF(Выводы!$F$28:$U$28,tables!F$63,Выводы!$F34:$U34)</f>
        <v>0</v>
      </c>
      <c r="G68" s="181">
        <f>SUMIF(Выводы!$F$28:$U$28,tables!G$63,Выводы!$F34:$U34)</f>
        <v>0</v>
      </c>
      <c r="H68" s="181">
        <f>SUMIF(Выводы!$F$28:$U$28,tables!H$63,Выводы!$F34:$U34)</f>
        <v>0</v>
      </c>
      <c r="I68" s="181">
        <f>SUMIF(Выводы!$F$28:$U$28,tables!I$63,Выводы!$F34:$U34)</f>
        <v>0</v>
      </c>
      <c r="J68" s="181">
        <f>SUMIF(Выводы!$F$28:$U$28,tables!J$63,Выводы!$F34:$U34)</f>
        <v>0</v>
      </c>
      <c r="K68" s="181">
        <f>SUMIF(Выводы!$F$28:$U$28,tables!K$63,Выводы!$F34:$U34)</f>
        <v>0</v>
      </c>
      <c r="L68" s="181">
        <f>SUMIF(Выводы!$F$28:$U$28,tables!L$63,Выводы!$F34:$U34)</f>
        <v>0</v>
      </c>
      <c r="M68" s="181">
        <f>SUMIF(Выводы!$F$28:$U$28,tables!M$63,Выводы!$F34:$U34)</f>
        <v>0</v>
      </c>
      <c r="N68" s="181">
        <f>SUMIF(Выводы!$F$28:$U$28,tables!N$63,Выводы!$F34:$U34)</f>
        <v>0</v>
      </c>
      <c r="O68" s="181">
        <f>SUMIF(Выводы!$F$28:$U$28,tables!O$63,Выводы!$F34:$U34)</f>
        <v>0</v>
      </c>
      <c r="P68" s="181">
        <f>SUMIF(Выводы!$F$28:$U$28,tables!P$63,Выводы!$F34:$U34)</f>
        <v>0</v>
      </c>
      <c r="Q68" s="181">
        <f>SUMIF(Выводы!$F$28:$U$28,tables!Q$63,Выводы!$F34:$U34)</f>
        <v>0</v>
      </c>
      <c r="R68" s="181">
        <f>SUMIF(Выводы!$F$28:$U$28,tables!R$63,Выводы!$F34:$U34)</f>
        <v>0</v>
      </c>
    </row>
    <row r="69" spans="2:18">
      <c r="B69" s="176" t="s">
        <v>151</v>
      </c>
      <c r="C69" s="182">
        <f>SUMIF(Выводы!$F$28:$U$28,tables!C$63,Выводы!$F35:$U35)</f>
        <v>0</v>
      </c>
      <c r="D69" s="182">
        <f>SUMIF(Выводы!$F$28:$U$28,tables!D$63,Выводы!$F35:$U35)</f>
        <v>0</v>
      </c>
      <c r="E69" s="182">
        <f>SUMIF(Выводы!$F$28:$U$28,tables!E$63,Выводы!$F35:$U35)</f>
        <v>0</v>
      </c>
      <c r="F69" s="182">
        <f>SUMIF(Выводы!$F$28:$U$28,tables!F$63,Выводы!$F35:$U35)</f>
        <v>0</v>
      </c>
      <c r="G69" s="182">
        <f>SUMIF(Выводы!$F$28:$U$28,tables!G$63,Выводы!$F35:$U35)</f>
        <v>0</v>
      </c>
      <c r="H69" s="182">
        <f>SUMIF(Выводы!$F$28:$U$28,tables!H$63,Выводы!$F35:$U35)</f>
        <v>0</v>
      </c>
      <c r="I69" s="182">
        <f>SUMIF(Выводы!$F$28:$U$28,tables!I$63,Выводы!$F35:$U35)</f>
        <v>0</v>
      </c>
      <c r="J69" s="182">
        <f>SUMIF(Выводы!$F$28:$U$28,tables!J$63,Выводы!$F35:$U35)</f>
        <v>0</v>
      </c>
      <c r="K69" s="182">
        <f>SUMIF(Выводы!$F$28:$U$28,tables!K$63,Выводы!$F35:$U35)</f>
        <v>0</v>
      </c>
      <c r="L69" s="182">
        <f>SUMIF(Выводы!$F$28:$U$28,tables!L$63,Выводы!$F35:$U35)</f>
        <v>0</v>
      </c>
      <c r="M69" s="182">
        <f>SUMIF(Выводы!$F$28:$U$28,tables!M$63,Выводы!$F35:$U35)</f>
        <v>0</v>
      </c>
      <c r="N69" s="182">
        <f>SUMIF(Выводы!$F$28:$U$28,tables!N$63,Выводы!$F35:$U35)</f>
        <v>0</v>
      </c>
      <c r="O69" s="182">
        <f>SUMIF(Выводы!$F$28:$U$28,tables!O$63,Выводы!$F35:$U35)</f>
        <v>0</v>
      </c>
      <c r="P69" s="182">
        <f>SUMIF(Выводы!$F$28:$U$28,tables!P$63,Выводы!$F35:$U35)</f>
        <v>0</v>
      </c>
      <c r="Q69" s="182">
        <f>SUMIF(Выводы!$F$28:$U$28,tables!Q$63,Выводы!$F35:$U35)</f>
        <v>0</v>
      </c>
      <c r="R69" s="182">
        <f>SUMIF(Выводы!$F$28:$U$28,tables!R$63,Выводы!$F35:$U35)</f>
        <v>0</v>
      </c>
    </row>
    <row r="70" spans="2:18">
      <c r="B70" s="176" t="s">
        <v>132</v>
      </c>
      <c r="C70" s="181">
        <f>SUMIF(Выводы!$F$28:$U$28,tables!C$63,Выводы!$F36:$U36)</f>
        <v>0</v>
      </c>
      <c r="D70" s="181">
        <f>SUMIF(Выводы!$F$28:$U$28,tables!D$63,Выводы!$F36:$U36)</f>
        <v>0</v>
      </c>
      <c r="E70" s="181">
        <f>SUMIF(Выводы!$F$28:$U$28,tables!E$63,Выводы!$F36:$U36)</f>
        <v>0</v>
      </c>
      <c r="F70" s="181">
        <f>SUMIF(Выводы!$F$28:$U$28,tables!F$63,Выводы!$F36:$U36)</f>
        <v>0</v>
      </c>
      <c r="G70" s="181">
        <f>SUMIF(Выводы!$F$28:$U$28,tables!G$63,Выводы!$F36:$U36)</f>
        <v>0</v>
      </c>
      <c r="H70" s="181">
        <f>SUMIF(Выводы!$F$28:$U$28,tables!H$63,Выводы!$F36:$U36)</f>
        <v>0</v>
      </c>
      <c r="I70" s="181">
        <f>SUMIF(Выводы!$F$28:$U$28,tables!I$63,Выводы!$F36:$U36)</f>
        <v>0</v>
      </c>
      <c r="J70" s="181">
        <f>SUMIF(Выводы!$F$28:$U$28,tables!J$63,Выводы!$F36:$U36)</f>
        <v>0</v>
      </c>
      <c r="K70" s="181">
        <f>SUMIF(Выводы!$F$28:$U$28,tables!K$63,Выводы!$F36:$U36)</f>
        <v>0</v>
      </c>
      <c r="L70" s="181">
        <f>SUMIF(Выводы!$F$28:$U$28,tables!L$63,Выводы!$F36:$U36)</f>
        <v>0</v>
      </c>
      <c r="M70" s="181">
        <f>SUMIF(Выводы!$F$28:$U$28,tables!M$63,Выводы!$F36:$U36)</f>
        <v>0</v>
      </c>
      <c r="N70" s="181">
        <f>SUMIF(Выводы!$F$28:$U$28,tables!N$63,Выводы!$F36:$U36)</f>
        <v>0</v>
      </c>
      <c r="O70" s="181">
        <f>SUMIF(Выводы!$F$28:$U$28,tables!O$63,Выводы!$F36:$U36)</f>
        <v>0</v>
      </c>
      <c r="P70" s="181">
        <f>SUMIF(Выводы!$F$28:$U$28,tables!P$63,Выводы!$F36:$U36)</f>
        <v>0</v>
      </c>
      <c r="Q70" s="181">
        <f>SUMIF(Выводы!$F$28:$U$28,tables!Q$63,Выводы!$F36:$U36)</f>
        <v>0</v>
      </c>
      <c r="R70" s="181">
        <f>SUMIF(Выводы!$F$28:$U$28,tables!R$63,Выводы!$F36:$U36)</f>
        <v>0</v>
      </c>
    </row>
    <row r="71" spans="2:18">
      <c r="B71" s="176" t="s">
        <v>150</v>
      </c>
      <c r="C71" s="182">
        <f>SUMIF(Выводы!$F$28:$U$28,tables!C$63,Выводы!$F37:$U37)</f>
        <v>0</v>
      </c>
      <c r="D71" s="182">
        <f>SUMIF(Выводы!$F$28:$U$28,tables!D$63,Выводы!$F37:$U37)</f>
        <v>0</v>
      </c>
      <c r="E71" s="182">
        <f>SUMIF(Выводы!$F$28:$U$28,tables!E$63,Выводы!$F37:$U37)</f>
        <v>0</v>
      </c>
      <c r="F71" s="182">
        <f>SUMIF(Выводы!$F$28:$U$28,tables!F$63,Выводы!$F37:$U37)</f>
        <v>0</v>
      </c>
      <c r="G71" s="182">
        <f>SUMIF(Выводы!$F$28:$U$28,tables!G$63,Выводы!$F37:$U37)</f>
        <v>0</v>
      </c>
      <c r="H71" s="182">
        <f>SUMIF(Выводы!$F$28:$U$28,tables!H$63,Выводы!$F37:$U37)</f>
        <v>0</v>
      </c>
      <c r="I71" s="182">
        <f>SUMIF(Выводы!$F$28:$U$28,tables!I$63,Выводы!$F37:$U37)</f>
        <v>0</v>
      </c>
      <c r="J71" s="182">
        <f>SUMIF(Выводы!$F$28:$U$28,tables!J$63,Выводы!$F37:$U37)</f>
        <v>0</v>
      </c>
      <c r="K71" s="182">
        <f>SUMIF(Выводы!$F$28:$U$28,tables!K$63,Выводы!$F37:$U37)</f>
        <v>0</v>
      </c>
      <c r="L71" s="182">
        <f>SUMIF(Выводы!$F$28:$U$28,tables!L$63,Выводы!$F37:$U37)</f>
        <v>0</v>
      </c>
      <c r="M71" s="182">
        <f>SUMIF(Выводы!$F$28:$U$28,tables!M$63,Выводы!$F37:$U37)</f>
        <v>0</v>
      </c>
      <c r="N71" s="182">
        <f>SUMIF(Выводы!$F$28:$U$28,tables!N$63,Выводы!$F37:$U37)</f>
        <v>0</v>
      </c>
      <c r="O71" s="182">
        <f>SUMIF(Выводы!$F$28:$U$28,tables!O$63,Выводы!$F37:$U37)</f>
        <v>0</v>
      </c>
      <c r="P71" s="182">
        <f>SUMIF(Выводы!$F$28:$U$28,tables!P$63,Выводы!$F37:$U37)</f>
        <v>0</v>
      </c>
      <c r="Q71" s="182">
        <f>SUMIF(Выводы!$F$28:$U$28,tables!Q$63,Выводы!$F37:$U37)</f>
        <v>0</v>
      </c>
      <c r="R71" s="182">
        <f>SUMIF(Выводы!$F$28:$U$28,tables!R$63,Выводы!$F37:$U37)</f>
        <v>0</v>
      </c>
    </row>
    <row r="72" spans="2:18">
      <c r="B72" s="176" t="s">
        <v>268</v>
      </c>
      <c r="C72" s="181">
        <f>SUMIF(Выводы!$F$28:$U$28,tables!C$63,Выводы!$F38:$U38)</f>
        <v>0</v>
      </c>
      <c r="D72" s="181">
        <f>SUMIF(Выводы!$F$28:$U$28,tables!D$63,Выводы!$F38:$U38)</f>
        <v>0</v>
      </c>
      <c r="E72" s="181">
        <f>SUMIF(Выводы!$F$28:$U$28,tables!E$63,Выводы!$F38:$U38)</f>
        <v>0</v>
      </c>
      <c r="F72" s="181">
        <f>SUMIF(Выводы!$F$28:$U$28,tables!F$63,Выводы!$F38:$U38)</f>
        <v>0</v>
      </c>
      <c r="G72" s="181">
        <f>SUMIF(Выводы!$F$28:$U$28,tables!G$63,Выводы!$F38:$U38)</f>
        <v>0</v>
      </c>
      <c r="H72" s="181">
        <f>SUMIF(Выводы!$F$28:$U$28,tables!H$63,Выводы!$F38:$U38)</f>
        <v>0</v>
      </c>
      <c r="I72" s="181">
        <f>SUMIF(Выводы!$F$28:$U$28,tables!I$63,Выводы!$F38:$U38)</f>
        <v>0</v>
      </c>
      <c r="J72" s="181">
        <f>SUMIF(Выводы!$F$28:$U$28,tables!J$63,Выводы!$F38:$U38)</f>
        <v>0</v>
      </c>
      <c r="K72" s="181">
        <f>SUMIF(Выводы!$F$28:$U$28,tables!K$63,Выводы!$F38:$U38)</f>
        <v>0</v>
      </c>
      <c r="L72" s="181">
        <f>SUMIF(Выводы!$F$28:$U$28,tables!L$63,Выводы!$F38:$U38)</f>
        <v>0</v>
      </c>
      <c r="M72" s="181">
        <f>SUMIF(Выводы!$F$28:$U$28,tables!M$63,Выводы!$F38:$U38)</f>
        <v>0</v>
      </c>
      <c r="N72" s="181">
        <f>SUMIF(Выводы!$F$28:$U$28,tables!N$63,Выводы!$F38:$U38)</f>
        <v>0</v>
      </c>
      <c r="O72" s="181">
        <f>SUMIF(Выводы!$F$28:$U$28,tables!O$63,Выводы!$F38:$U38)</f>
        <v>0</v>
      </c>
      <c r="P72" s="181">
        <f>SUMIF(Выводы!$F$28:$U$28,tables!P$63,Выводы!$F38:$U38)</f>
        <v>0</v>
      </c>
      <c r="Q72" s="181">
        <f>SUMIF(Выводы!$F$28:$U$28,tables!Q$63,Выводы!$F38:$U38)</f>
        <v>0</v>
      </c>
      <c r="R72" s="181">
        <f>SUMIF(Выводы!$F$28:$U$28,tables!R$63,Выводы!$F38:$U38)</f>
        <v>0</v>
      </c>
    </row>
    <row r="73" spans="2:18">
      <c r="B73" s="176" t="s">
        <v>148</v>
      </c>
      <c r="C73" s="182">
        <f>SUMIF(Выводы!$F$28:$U$28,tables!C$63,Выводы!$F39:$U39)</f>
        <v>0</v>
      </c>
      <c r="D73" s="182">
        <f>SUMIF(Выводы!$F$28:$U$28,tables!D$63,Выводы!$F39:$U39)</f>
        <v>0</v>
      </c>
      <c r="E73" s="182">
        <f>SUMIF(Выводы!$F$28:$U$28,tables!E$63,Выводы!$F39:$U39)</f>
        <v>0</v>
      </c>
      <c r="F73" s="182">
        <f>SUMIF(Выводы!$F$28:$U$28,tables!F$63,Выводы!$F39:$U39)</f>
        <v>0</v>
      </c>
      <c r="G73" s="182">
        <f>SUMIF(Выводы!$F$28:$U$28,tables!G$63,Выводы!$F39:$U39)</f>
        <v>0</v>
      </c>
      <c r="H73" s="182">
        <f>SUMIF(Выводы!$F$28:$U$28,tables!H$63,Выводы!$F39:$U39)</f>
        <v>0</v>
      </c>
      <c r="I73" s="182">
        <f>SUMIF(Выводы!$F$28:$U$28,tables!I$63,Выводы!$F39:$U39)</f>
        <v>0</v>
      </c>
      <c r="J73" s="182">
        <f>SUMIF(Выводы!$F$28:$U$28,tables!J$63,Выводы!$F39:$U39)</f>
        <v>0</v>
      </c>
      <c r="K73" s="182">
        <f>SUMIF(Выводы!$F$28:$U$28,tables!K$63,Выводы!$F39:$U39)</f>
        <v>0</v>
      </c>
      <c r="L73" s="182">
        <f>SUMIF(Выводы!$F$28:$U$28,tables!L$63,Выводы!$F39:$U39)</f>
        <v>0</v>
      </c>
      <c r="M73" s="182">
        <f>SUMIF(Выводы!$F$28:$U$28,tables!M$63,Выводы!$F39:$U39)</f>
        <v>0</v>
      </c>
      <c r="N73" s="182">
        <f>SUMIF(Выводы!$F$28:$U$28,tables!N$63,Выводы!$F39:$U39)</f>
        <v>0</v>
      </c>
      <c r="O73" s="182">
        <f>SUMIF(Выводы!$F$28:$U$28,tables!O$63,Выводы!$F39:$U39)</f>
        <v>0</v>
      </c>
      <c r="P73" s="182">
        <f>SUMIF(Выводы!$F$28:$U$28,tables!P$63,Выводы!$F39:$U39)</f>
        <v>0</v>
      </c>
      <c r="Q73" s="182">
        <f>SUMIF(Выводы!$F$28:$U$28,tables!Q$63,Выводы!$F39:$U39)</f>
        <v>0</v>
      </c>
      <c r="R73" s="182">
        <f>SUMIF(Выводы!$F$28:$U$28,tables!R$63,Выводы!$F39:$U39)</f>
        <v>0</v>
      </c>
    </row>
    <row r="75" spans="2:18">
      <c r="B75" s="188" t="s">
        <v>101</v>
      </c>
    </row>
    <row r="76" spans="2:18">
      <c r="B76" s="175" t="s">
        <v>255</v>
      </c>
      <c r="C76" s="175" t="e">
        <f>Выводы!#REF!</f>
        <v>#REF!</v>
      </c>
      <c r="D76" s="175" t="e">
        <f>C76+1</f>
        <v>#REF!</v>
      </c>
      <c r="E76" s="175" t="e">
        <f t="shared" ref="E76:R76" si="13">D76+1</f>
        <v>#REF!</v>
      </c>
      <c r="F76" s="175" t="e">
        <f t="shared" si="13"/>
        <v>#REF!</v>
      </c>
      <c r="G76" s="175" t="e">
        <f t="shared" si="13"/>
        <v>#REF!</v>
      </c>
      <c r="H76" s="175" t="e">
        <f t="shared" si="13"/>
        <v>#REF!</v>
      </c>
      <c r="I76" s="175" t="e">
        <f t="shared" si="13"/>
        <v>#REF!</v>
      </c>
      <c r="J76" s="175" t="e">
        <f t="shared" si="13"/>
        <v>#REF!</v>
      </c>
      <c r="K76" s="175" t="e">
        <f t="shared" si="13"/>
        <v>#REF!</v>
      </c>
      <c r="L76" s="175" t="e">
        <f t="shared" si="13"/>
        <v>#REF!</v>
      </c>
      <c r="M76" s="175" t="e">
        <f t="shared" si="13"/>
        <v>#REF!</v>
      </c>
      <c r="N76" s="175" t="e">
        <f t="shared" si="13"/>
        <v>#REF!</v>
      </c>
      <c r="O76" s="175" t="e">
        <f t="shared" si="13"/>
        <v>#REF!</v>
      </c>
      <c r="P76" s="175" t="e">
        <f t="shared" si="13"/>
        <v>#REF!</v>
      </c>
      <c r="Q76" s="175" t="e">
        <f t="shared" si="13"/>
        <v>#REF!</v>
      </c>
      <c r="R76" s="175" t="e">
        <f t="shared" si="13"/>
        <v>#REF!</v>
      </c>
    </row>
    <row r="77" spans="2:18">
      <c r="B77" s="176" t="s">
        <v>410</v>
      </c>
      <c r="C77" s="181">
        <f>SUMIF(Выводы!$F$28:$U$28,tables!C$63,Выводы!$F44:$U44)</f>
        <v>0</v>
      </c>
      <c r="D77" s="181">
        <f>SUMIF(Выводы!$F$28:$U$28,tables!D$63,Выводы!$F44:$U44)</f>
        <v>0</v>
      </c>
      <c r="E77" s="181">
        <f>SUMIF(Выводы!$F$28:$U$28,tables!E$63,Выводы!$F44:$U44)</f>
        <v>0</v>
      </c>
      <c r="F77" s="181">
        <f>SUMIF(Выводы!$F$28:$U$28,tables!F$63,Выводы!$F44:$U44)</f>
        <v>0</v>
      </c>
      <c r="G77" s="181">
        <f>SUMIF(Выводы!$F$28:$U$28,tables!G$63,Выводы!$F44:$U44)</f>
        <v>0</v>
      </c>
      <c r="H77" s="181">
        <f>SUMIF(Выводы!$F$28:$U$28,tables!H$63,Выводы!$F44:$U44)</f>
        <v>0</v>
      </c>
      <c r="I77" s="181">
        <f>SUMIF(Выводы!$F$28:$U$28,tables!I$63,Выводы!$F44:$U44)</f>
        <v>0</v>
      </c>
      <c r="J77" s="181">
        <f>SUMIF(Выводы!$F$28:$U$28,tables!J$63,Выводы!$F44:$U44)</f>
        <v>0</v>
      </c>
      <c r="K77" s="181">
        <f>SUMIF(Выводы!$F$28:$U$28,tables!K$63,Выводы!$F44:$U44)</f>
        <v>0</v>
      </c>
      <c r="L77" s="181">
        <f>SUMIF(Выводы!$F$28:$U$28,tables!L$63,Выводы!$F44:$U44)</f>
        <v>0</v>
      </c>
      <c r="M77" s="181">
        <f>SUMIF(Выводы!$F$28:$U$28,tables!M$63,Выводы!$F44:$U44)</f>
        <v>0</v>
      </c>
      <c r="N77" s="181">
        <f>SUMIF(Выводы!$F$28:$U$28,tables!N$63,Выводы!$F44:$U44)</f>
        <v>0</v>
      </c>
      <c r="O77" s="181">
        <f>SUMIF(Выводы!$F$28:$U$28,tables!O$63,Выводы!$F44:$U44)</f>
        <v>0</v>
      </c>
      <c r="P77" s="181">
        <f>SUMIF(Выводы!$F$28:$U$28,tables!P$63,Выводы!$F44:$U44)</f>
        <v>0</v>
      </c>
      <c r="Q77" s="181">
        <f>SUMIF(Выводы!$F$28:$U$28,tables!Q$63,Выводы!$F44:$U44)</f>
        <v>0</v>
      </c>
      <c r="R77" s="181">
        <f>SUMIF(Выводы!$F$28:$U$28,tables!R$63,Выводы!$F44:$U44)</f>
        <v>0</v>
      </c>
    </row>
    <row r="78" spans="2:18">
      <c r="B78" s="176" t="s">
        <v>269</v>
      </c>
      <c r="C78" s="181">
        <f>SUMIF(Выводы!$F$28:$U$28,tables!C$63,Выводы!$F45:$U45)</f>
        <v>0</v>
      </c>
      <c r="D78" s="181">
        <f>SUMIF(Выводы!$F$28:$U$28,tables!D$63,Выводы!$F45:$U45)</f>
        <v>0</v>
      </c>
      <c r="E78" s="181">
        <f>SUMIF(Выводы!$F$28:$U$28,tables!E$63,Выводы!$F45:$U45)</f>
        <v>0</v>
      </c>
      <c r="F78" s="181">
        <f>SUMIF(Выводы!$F$28:$U$28,tables!F$63,Выводы!$F45:$U45)</f>
        <v>0</v>
      </c>
      <c r="G78" s="181">
        <f>SUMIF(Выводы!$F$28:$U$28,tables!G$63,Выводы!$F45:$U45)</f>
        <v>0</v>
      </c>
      <c r="H78" s="181">
        <f>SUMIF(Выводы!$F$28:$U$28,tables!H$63,Выводы!$F45:$U45)</f>
        <v>0</v>
      </c>
      <c r="I78" s="181">
        <f>SUMIF(Выводы!$F$28:$U$28,tables!I$63,Выводы!$F45:$U45)</f>
        <v>0</v>
      </c>
      <c r="J78" s="181">
        <f>SUMIF(Выводы!$F$28:$U$28,tables!J$63,Выводы!$F45:$U45)</f>
        <v>0</v>
      </c>
      <c r="K78" s="181">
        <f>SUMIF(Выводы!$F$28:$U$28,tables!K$63,Выводы!$F45:$U45)</f>
        <v>0</v>
      </c>
      <c r="L78" s="181">
        <f>SUMIF(Выводы!$F$28:$U$28,tables!L$63,Выводы!$F45:$U45)</f>
        <v>0</v>
      </c>
      <c r="M78" s="181">
        <f>SUMIF(Выводы!$F$28:$U$28,tables!M$63,Выводы!$F45:$U45)</f>
        <v>0</v>
      </c>
      <c r="N78" s="181">
        <f>SUMIF(Выводы!$F$28:$U$28,tables!N$63,Выводы!$F45:$U45)</f>
        <v>0</v>
      </c>
      <c r="O78" s="181">
        <f>SUMIF(Выводы!$F$28:$U$28,tables!O$63,Выводы!$F45:$U45)</f>
        <v>0</v>
      </c>
      <c r="P78" s="181">
        <f>SUMIF(Выводы!$F$28:$U$28,tables!P$63,Выводы!$F45:$U45)</f>
        <v>0</v>
      </c>
      <c r="Q78" s="181">
        <f>SUMIF(Выводы!$F$28:$U$28,tables!Q$63,Выводы!$F45:$U45)</f>
        <v>0</v>
      </c>
      <c r="R78" s="181">
        <f>SUMIF(Выводы!$F$28:$U$28,tables!R$63,Выводы!$F45:$U45)</f>
        <v>0</v>
      </c>
    </row>
    <row r="79" spans="2:18">
      <c r="B79" s="176" t="s">
        <v>270</v>
      </c>
      <c r="C79" s="181">
        <f>SUMIF(Выводы!$F$28:$U$28,tables!C$63,Выводы!$F46:$U46)</f>
        <v>0</v>
      </c>
      <c r="D79" s="181">
        <f>SUMIF(Выводы!$F$28:$U$28,tables!D$63,Выводы!$F46:$U46)</f>
        <v>0</v>
      </c>
      <c r="E79" s="181">
        <f>SUMIF(Выводы!$F$28:$U$28,tables!E$63,Выводы!$F46:$U46)</f>
        <v>0</v>
      </c>
      <c r="F79" s="181">
        <f>SUMIF(Выводы!$F$28:$U$28,tables!F$63,Выводы!$F46:$U46)</f>
        <v>0</v>
      </c>
      <c r="G79" s="181">
        <f>SUMIF(Выводы!$F$28:$U$28,tables!G$63,Выводы!$F46:$U46)</f>
        <v>0</v>
      </c>
      <c r="H79" s="181">
        <f>SUMIF(Выводы!$F$28:$U$28,tables!H$63,Выводы!$F46:$U46)</f>
        <v>0</v>
      </c>
      <c r="I79" s="181">
        <f>SUMIF(Выводы!$F$28:$U$28,tables!I$63,Выводы!$F46:$U46)</f>
        <v>0</v>
      </c>
      <c r="J79" s="181">
        <f>SUMIF(Выводы!$F$28:$U$28,tables!J$63,Выводы!$F46:$U46)</f>
        <v>0</v>
      </c>
      <c r="K79" s="181">
        <f>SUMIF(Выводы!$F$28:$U$28,tables!K$63,Выводы!$F46:$U46)</f>
        <v>0</v>
      </c>
      <c r="L79" s="181">
        <f>SUMIF(Выводы!$F$28:$U$28,tables!L$63,Выводы!$F46:$U46)</f>
        <v>0</v>
      </c>
      <c r="M79" s="181">
        <f>SUMIF(Выводы!$F$28:$U$28,tables!M$63,Выводы!$F46:$U46)</f>
        <v>0</v>
      </c>
      <c r="N79" s="181">
        <f>SUMIF(Выводы!$F$28:$U$28,tables!N$63,Выводы!$F46:$U46)</f>
        <v>0</v>
      </c>
      <c r="O79" s="181">
        <f>SUMIF(Выводы!$F$28:$U$28,tables!O$63,Выводы!$F46:$U46)</f>
        <v>0</v>
      </c>
      <c r="P79" s="181">
        <f>SUMIF(Выводы!$F$28:$U$28,tables!P$63,Выводы!$F46:$U46)</f>
        <v>0</v>
      </c>
      <c r="Q79" s="181">
        <f>SUMIF(Выводы!$F$28:$U$28,tables!Q$63,Выводы!$F46:$U46)</f>
        <v>0</v>
      </c>
      <c r="R79" s="181">
        <f>SUMIF(Выводы!$F$28:$U$28,tables!R$63,Выводы!$F46:$U46)</f>
        <v>0</v>
      </c>
    </row>
    <row r="80" spans="2:18">
      <c r="B80" s="176" t="s">
        <v>271</v>
      </c>
      <c r="C80" s="183">
        <f>SUM(C77:C79)</f>
        <v>0</v>
      </c>
      <c r="D80" s="183">
        <f t="shared" ref="D80:R80" si="14">SUM(D77:D79)</f>
        <v>0</v>
      </c>
      <c r="E80" s="183">
        <f t="shared" si="14"/>
        <v>0</v>
      </c>
      <c r="F80" s="183">
        <f t="shared" si="14"/>
        <v>0</v>
      </c>
      <c r="G80" s="183">
        <f t="shared" si="14"/>
        <v>0</v>
      </c>
      <c r="H80" s="183">
        <f t="shared" si="14"/>
        <v>0</v>
      </c>
      <c r="I80" s="183">
        <f t="shared" si="14"/>
        <v>0</v>
      </c>
      <c r="J80" s="183">
        <f t="shared" si="14"/>
        <v>0</v>
      </c>
      <c r="K80" s="183">
        <f t="shared" si="14"/>
        <v>0</v>
      </c>
      <c r="L80" s="183">
        <f t="shared" si="14"/>
        <v>0</v>
      </c>
      <c r="M80" s="183">
        <f t="shared" si="14"/>
        <v>0</v>
      </c>
      <c r="N80" s="183">
        <f t="shared" si="14"/>
        <v>0</v>
      </c>
      <c r="O80" s="183">
        <f t="shared" si="14"/>
        <v>0</v>
      </c>
      <c r="P80" s="183">
        <f t="shared" si="14"/>
        <v>0</v>
      </c>
      <c r="Q80" s="183">
        <f t="shared" si="14"/>
        <v>0</v>
      </c>
      <c r="R80" s="183">
        <f t="shared" si="14"/>
        <v>0</v>
      </c>
    </row>
    <row r="82" spans="2:18">
      <c r="B82" s="188" t="s">
        <v>67</v>
      </c>
    </row>
    <row r="83" spans="2:18">
      <c r="B83" s="188" t="s">
        <v>282</v>
      </c>
    </row>
    <row r="84" spans="2:18">
      <c r="B84" s="175" t="s">
        <v>255</v>
      </c>
      <c r="C84" s="175" t="e">
        <f>Выводы!#REF!</f>
        <v>#REF!</v>
      </c>
      <c r="D84" s="175" t="e">
        <f t="shared" ref="D84:R84" si="15">C84+1</f>
        <v>#REF!</v>
      </c>
      <c r="E84" s="175" t="e">
        <f t="shared" si="15"/>
        <v>#REF!</v>
      </c>
      <c r="F84" s="175" t="e">
        <f t="shared" si="15"/>
        <v>#REF!</v>
      </c>
      <c r="G84" s="175" t="e">
        <f t="shared" si="15"/>
        <v>#REF!</v>
      </c>
      <c r="H84" s="175" t="e">
        <f t="shared" si="15"/>
        <v>#REF!</v>
      </c>
      <c r="I84" s="175" t="e">
        <f t="shared" si="15"/>
        <v>#REF!</v>
      </c>
      <c r="J84" s="175" t="e">
        <f t="shared" si="15"/>
        <v>#REF!</v>
      </c>
      <c r="K84" s="175" t="e">
        <f t="shared" si="15"/>
        <v>#REF!</v>
      </c>
      <c r="L84" s="175" t="e">
        <f t="shared" si="15"/>
        <v>#REF!</v>
      </c>
      <c r="M84" s="175" t="e">
        <f t="shared" si="15"/>
        <v>#REF!</v>
      </c>
      <c r="N84" s="175" t="e">
        <f t="shared" si="15"/>
        <v>#REF!</v>
      </c>
      <c r="O84" s="175" t="e">
        <f t="shared" si="15"/>
        <v>#REF!</v>
      </c>
      <c r="P84" s="175" t="e">
        <f t="shared" si="15"/>
        <v>#REF!</v>
      </c>
      <c r="Q84" s="175" t="e">
        <f t="shared" si="15"/>
        <v>#REF!</v>
      </c>
      <c r="R84" s="175" t="e">
        <f t="shared" si="15"/>
        <v>#REF!</v>
      </c>
    </row>
    <row r="85" spans="2:18">
      <c r="B85" s="176" t="s">
        <v>69</v>
      </c>
      <c r="C85" s="179">
        <f>SUMIF(Выводы!$F$28:$U$28,tables!C$63,Выводы!$F53:$U53)</f>
        <v>0</v>
      </c>
      <c r="D85" s="179">
        <f>SUMIF(Выводы!$F$28:$U$28,tables!D$63,Выводы!$F53:$U53)</f>
        <v>0</v>
      </c>
      <c r="E85" s="179">
        <f>SUMIF(Выводы!$F$28:$U$28,tables!E$63,Выводы!$F53:$U53)</f>
        <v>0</v>
      </c>
      <c r="F85" s="179">
        <f>SUMIF(Выводы!$F$28:$U$28,tables!F$63,Выводы!$F53:$U53)</f>
        <v>0</v>
      </c>
      <c r="G85" s="179">
        <f>SUMIF(Выводы!$F$28:$U$28,tables!G$63,Выводы!$F53:$U53)</f>
        <v>0</v>
      </c>
      <c r="H85" s="179">
        <f>SUMIF(Выводы!$F$28:$U$28,tables!H$63,Выводы!$F53:$U53)</f>
        <v>0</v>
      </c>
      <c r="I85" s="179">
        <f>SUMIF(Выводы!$F$28:$U$28,tables!I$63,Выводы!$F53:$U53)</f>
        <v>0</v>
      </c>
      <c r="J85" s="179">
        <f>SUMIF(Выводы!$F$28:$U$28,tables!J$63,Выводы!$F53:$U53)</f>
        <v>0</v>
      </c>
      <c r="K85" s="179">
        <f>SUMIF(Выводы!$F$28:$U$28,tables!K$63,Выводы!$F53:$U53)</f>
        <v>0</v>
      </c>
      <c r="L85" s="179">
        <f>SUMIF(Выводы!$F$28:$U$28,tables!L$63,Выводы!$F53:$U53)</f>
        <v>0</v>
      </c>
      <c r="M85" s="179">
        <f>SUMIF(Выводы!$F$28:$U$28,tables!M$63,Выводы!$F53:$U53)</f>
        <v>0</v>
      </c>
      <c r="N85" s="179">
        <f>SUMIF(Выводы!$F$28:$U$28,tables!N$63,Выводы!$F53:$U53)</f>
        <v>0</v>
      </c>
      <c r="O85" s="179">
        <f>SUMIF(Выводы!$F$28:$U$28,tables!O$63,Выводы!$F53:$U53)</f>
        <v>0</v>
      </c>
      <c r="P85" s="179">
        <f>SUMIF(Выводы!$F$28:$U$28,tables!P$63,Выводы!$F53:$U53)</f>
        <v>0</v>
      </c>
      <c r="Q85" s="179">
        <f>SUMIF(Выводы!$F$28:$U$28,tables!Q$63,Выводы!$F53:$U53)</f>
        <v>0</v>
      </c>
      <c r="R85" s="179">
        <f>SUMIF(Выводы!$F$28:$U$28,tables!R$63,Выводы!$F53:$U53)</f>
        <v>0</v>
      </c>
    </row>
    <row r="86" spans="2:18">
      <c r="B86" s="176" t="s">
        <v>183</v>
      </c>
      <c r="C86" s="179">
        <f>SUMIF(Выводы!$F$28:$U$28,tables!C$63,Выводы!$F54:$U54)</f>
        <v>0</v>
      </c>
      <c r="D86" s="179">
        <f>SUMIF(Выводы!$F$28:$U$28,tables!D$63,Выводы!$F54:$U54)</f>
        <v>0</v>
      </c>
      <c r="E86" s="179">
        <f>SUMIF(Выводы!$F$28:$U$28,tables!E$63,Выводы!$F54:$U54)</f>
        <v>0</v>
      </c>
      <c r="F86" s="179">
        <f>SUMIF(Выводы!$F$28:$U$28,tables!F$63,Выводы!$F54:$U54)</f>
        <v>0</v>
      </c>
      <c r="G86" s="179">
        <f>SUMIF(Выводы!$F$28:$U$28,tables!G$63,Выводы!$F54:$U54)</f>
        <v>0</v>
      </c>
      <c r="H86" s="179">
        <f>SUMIF(Выводы!$F$28:$U$28,tables!H$63,Выводы!$F54:$U54)</f>
        <v>0</v>
      </c>
      <c r="I86" s="179">
        <f>SUMIF(Выводы!$F$28:$U$28,tables!I$63,Выводы!$F54:$U54)</f>
        <v>0</v>
      </c>
      <c r="J86" s="179">
        <f>SUMIF(Выводы!$F$28:$U$28,tables!J$63,Выводы!$F54:$U54)</f>
        <v>0</v>
      </c>
      <c r="K86" s="179">
        <f>SUMIF(Выводы!$F$28:$U$28,tables!K$63,Выводы!$F54:$U54)</f>
        <v>0</v>
      </c>
      <c r="L86" s="179">
        <f>SUMIF(Выводы!$F$28:$U$28,tables!L$63,Выводы!$F54:$U54)</f>
        <v>0</v>
      </c>
      <c r="M86" s="179">
        <f>SUMIF(Выводы!$F$28:$U$28,tables!M$63,Выводы!$F54:$U54)</f>
        <v>0</v>
      </c>
      <c r="N86" s="179">
        <f>SUMIF(Выводы!$F$28:$U$28,tables!N$63,Выводы!$F54:$U54)</f>
        <v>0</v>
      </c>
      <c r="O86" s="179">
        <f>SUMIF(Выводы!$F$28:$U$28,tables!O$63,Выводы!$F54:$U54)</f>
        <v>0</v>
      </c>
      <c r="P86" s="179">
        <f>SUMIF(Выводы!$F$28:$U$28,tables!P$63,Выводы!$F54:$U54)</f>
        <v>0</v>
      </c>
      <c r="Q86" s="179">
        <f>SUMIF(Выводы!$F$28:$U$28,tables!Q$63,Выводы!$F54:$U54)</f>
        <v>0</v>
      </c>
      <c r="R86" s="179">
        <f>SUMIF(Выводы!$F$28:$U$28,tables!R$63,Выводы!$F54:$U54)</f>
        <v>0</v>
      </c>
    </row>
    <row r="87" spans="2:18">
      <c r="B87" s="176" t="s">
        <v>68</v>
      </c>
      <c r="C87" s="179">
        <f>SUMIF(Выводы!$F$28:$U$28,tables!C$63,Выводы!$F55:$U55)</f>
        <v>0</v>
      </c>
      <c r="D87" s="179">
        <f>SUMIF(Выводы!$F$28:$U$28,tables!D$63,Выводы!$F55:$U55)</f>
        <v>0</v>
      </c>
      <c r="E87" s="179">
        <f>SUMIF(Выводы!$F$28:$U$28,tables!E$63,Выводы!$F55:$U55)</f>
        <v>0</v>
      </c>
      <c r="F87" s="179">
        <f>SUMIF(Выводы!$F$28:$U$28,tables!F$63,Выводы!$F55:$U55)</f>
        <v>0</v>
      </c>
      <c r="G87" s="179">
        <f>SUMIF(Выводы!$F$28:$U$28,tables!G$63,Выводы!$F55:$U55)</f>
        <v>0</v>
      </c>
      <c r="H87" s="179">
        <f>SUMIF(Выводы!$F$28:$U$28,tables!H$63,Выводы!$F55:$U55)</f>
        <v>0</v>
      </c>
      <c r="I87" s="179">
        <f>SUMIF(Выводы!$F$28:$U$28,tables!I$63,Выводы!$F55:$U55)</f>
        <v>0</v>
      </c>
      <c r="J87" s="179">
        <f>SUMIF(Выводы!$F$28:$U$28,tables!J$63,Выводы!$F55:$U55)</f>
        <v>0</v>
      </c>
      <c r="K87" s="179">
        <f>SUMIF(Выводы!$F$28:$U$28,tables!K$63,Выводы!$F55:$U55)</f>
        <v>0</v>
      </c>
      <c r="L87" s="179">
        <f>SUMIF(Выводы!$F$28:$U$28,tables!L$63,Выводы!$F55:$U55)</f>
        <v>0</v>
      </c>
      <c r="M87" s="179">
        <f>SUMIF(Выводы!$F$28:$U$28,tables!M$63,Выводы!$F55:$U55)</f>
        <v>0</v>
      </c>
      <c r="N87" s="179">
        <f>SUMIF(Выводы!$F$28:$U$28,tables!N$63,Выводы!$F55:$U55)</f>
        <v>0</v>
      </c>
      <c r="O87" s="179">
        <f>SUMIF(Выводы!$F$28:$U$28,tables!O$63,Выводы!$F55:$U55)</f>
        <v>0</v>
      </c>
      <c r="P87" s="179">
        <f>SUMIF(Выводы!$F$28:$U$28,tables!P$63,Выводы!$F55:$U55)</f>
        <v>0</v>
      </c>
      <c r="Q87" s="179">
        <f>SUMIF(Выводы!$F$28:$U$28,tables!Q$63,Выводы!$F55:$U55)</f>
        <v>0</v>
      </c>
      <c r="R87" s="179">
        <f>SUMIF(Выводы!$F$28:$U$28,tables!R$63,Выводы!$F55:$U55)</f>
        <v>0</v>
      </c>
    </row>
    <row r="88" spans="2:18">
      <c r="B88" s="176" t="s">
        <v>71</v>
      </c>
      <c r="C88" s="179">
        <f>SUMIF(Выводы!$F$28:$U$28,tables!C$63,Выводы!$F56:$U56)</f>
        <v>0</v>
      </c>
      <c r="D88" s="179">
        <f>SUMIF(Выводы!$F$28:$U$28,tables!D$63,Выводы!$F56:$U56)</f>
        <v>0</v>
      </c>
      <c r="E88" s="179">
        <f>SUMIF(Выводы!$F$28:$U$28,tables!E$63,Выводы!$F56:$U56)</f>
        <v>0</v>
      </c>
      <c r="F88" s="179">
        <f>SUMIF(Выводы!$F$28:$U$28,tables!F$63,Выводы!$F56:$U56)</f>
        <v>0</v>
      </c>
      <c r="G88" s="179">
        <f>SUMIF(Выводы!$F$28:$U$28,tables!G$63,Выводы!$F56:$U56)</f>
        <v>0</v>
      </c>
      <c r="H88" s="179">
        <f>SUMIF(Выводы!$F$28:$U$28,tables!H$63,Выводы!$F56:$U56)</f>
        <v>0</v>
      </c>
      <c r="I88" s="179">
        <f>SUMIF(Выводы!$F$28:$U$28,tables!I$63,Выводы!$F56:$U56)</f>
        <v>0</v>
      </c>
      <c r="J88" s="179">
        <f>SUMIF(Выводы!$F$28:$U$28,tables!J$63,Выводы!$F56:$U56)</f>
        <v>0</v>
      </c>
      <c r="K88" s="179">
        <f>SUMIF(Выводы!$F$28:$U$28,tables!K$63,Выводы!$F56:$U56)</f>
        <v>0</v>
      </c>
      <c r="L88" s="179">
        <f>SUMIF(Выводы!$F$28:$U$28,tables!L$63,Выводы!$F56:$U56)</f>
        <v>0</v>
      </c>
      <c r="M88" s="179">
        <f>SUMIF(Выводы!$F$28:$U$28,tables!M$63,Выводы!$F56:$U56)</f>
        <v>0</v>
      </c>
      <c r="N88" s="179">
        <f>SUMIF(Выводы!$F$28:$U$28,tables!N$63,Выводы!$F56:$U56)</f>
        <v>0</v>
      </c>
      <c r="O88" s="179">
        <f>SUMIF(Выводы!$F$28:$U$28,tables!O$63,Выводы!$F56:$U56)</f>
        <v>0</v>
      </c>
      <c r="P88" s="179">
        <f>SUMIF(Выводы!$F$28:$U$28,tables!P$63,Выводы!$F56:$U56)</f>
        <v>0</v>
      </c>
      <c r="Q88" s="179">
        <f>SUMIF(Выводы!$F$28:$U$28,tables!Q$63,Выводы!$F56:$U56)</f>
        <v>0</v>
      </c>
      <c r="R88" s="179">
        <f>SUMIF(Выводы!$F$28:$U$28,tables!R$63,Выводы!$F56:$U56)</f>
        <v>0</v>
      </c>
    </row>
    <row r="89" spans="2:18">
      <c r="B89" s="176" t="s">
        <v>73</v>
      </c>
      <c r="C89" s="179">
        <f>SUMIF(Выводы!$F$28:$U$28,tables!C$63,Выводы!$F57:$U57)</f>
        <v>0</v>
      </c>
      <c r="D89" s="179">
        <f>SUMIF(Выводы!$F$28:$U$28,tables!D$63,Выводы!$F57:$U57)</f>
        <v>0</v>
      </c>
      <c r="E89" s="179">
        <f>SUMIF(Выводы!$F$28:$U$28,tables!E$63,Выводы!$F57:$U57)</f>
        <v>0</v>
      </c>
      <c r="F89" s="179">
        <f>SUMIF(Выводы!$F$28:$U$28,tables!F$63,Выводы!$F57:$U57)</f>
        <v>0</v>
      </c>
      <c r="G89" s="179">
        <f>SUMIF(Выводы!$F$28:$U$28,tables!G$63,Выводы!$F57:$U57)</f>
        <v>0</v>
      </c>
      <c r="H89" s="179">
        <f>SUMIF(Выводы!$F$28:$U$28,tables!H$63,Выводы!$F57:$U57)</f>
        <v>0</v>
      </c>
      <c r="I89" s="179">
        <f>SUMIF(Выводы!$F$28:$U$28,tables!I$63,Выводы!$F57:$U57)</f>
        <v>0</v>
      </c>
      <c r="J89" s="179">
        <f>SUMIF(Выводы!$F$28:$U$28,tables!J$63,Выводы!$F57:$U57)</f>
        <v>0</v>
      </c>
      <c r="K89" s="179">
        <f>SUMIF(Выводы!$F$28:$U$28,tables!K$63,Выводы!$F57:$U57)</f>
        <v>0</v>
      </c>
      <c r="L89" s="179">
        <f>SUMIF(Выводы!$F$28:$U$28,tables!L$63,Выводы!$F57:$U57)</f>
        <v>0</v>
      </c>
      <c r="M89" s="179">
        <f>SUMIF(Выводы!$F$28:$U$28,tables!M$63,Выводы!$F57:$U57)</f>
        <v>0</v>
      </c>
      <c r="N89" s="179">
        <f>SUMIF(Выводы!$F$28:$U$28,tables!N$63,Выводы!$F57:$U57)</f>
        <v>0</v>
      </c>
      <c r="O89" s="179">
        <f>SUMIF(Выводы!$F$28:$U$28,tables!O$63,Выводы!$F57:$U57)</f>
        <v>0</v>
      </c>
      <c r="P89" s="179">
        <f>SUMIF(Выводы!$F$28:$U$28,tables!P$63,Выводы!$F57:$U57)</f>
        <v>0</v>
      </c>
      <c r="Q89" s="179">
        <f>SUMIF(Выводы!$F$28:$U$28,tables!Q$63,Выводы!$F57:$U57)</f>
        <v>0</v>
      </c>
      <c r="R89" s="179">
        <f>SUMIF(Выводы!$F$28:$U$28,tables!R$63,Выводы!$F57:$U57)</f>
        <v>0</v>
      </c>
    </row>
    <row r="90" spans="2:18">
      <c r="B90" s="176" t="s">
        <v>74</v>
      </c>
      <c r="C90" s="179">
        <f>SUMIF(Выводы!$F$28:$U$28,tables!C$63,Выводы!$F58:$U58)</f>
        <v>0</v>
      </c>
      <c r="D90" s="179">
        <f>SUMIF(Выводы!$F$28:$U$28,tables!D$63,Выводы!$F58:$U58)</f>
        <v>0</v>
      </c>
      <c r="E90" s="179">
        <f>SUMIF(Выводы!$F$28:$U$28,tables!E$63,Выводы!$F58:$U58)</f>
        <v>0</v>
      </c>
      <c r="F90" s="179">
        <f>SUMIF(Выводы!$F$28:$U$28,tables!F$63,Выводы!$F58:$U58)</f>
        <v>0</v>
      </c>
      <c r="G90" s="179">
        <f>SUMIF(Выводы!$F$28:$U$28,tables!G$63,Выводы!$F58:$U58)</f>
        <v>0</v>
      </c>
      <c r="H90" s="179">
        <f>SUMIF(Выводы!$F$28:$U$28,tables!H$63,Выводы!$F58:$U58)</f>
        <v>0</v>
      </c>
      <c r="I90" s="179">
        <f>SUMIF(Выводы!$F$28:$U$28,tables!I$63,Выводы!$F58:$U58)</f>
        <v>0</v>
      </c>
      <c r="J90" s="179">
        <f>SUMIF(Выводы!$F$28:$U$28,tables!J$63,Выводы!$F58:$U58)</f>
        <v>0</v>
      </c>
      <c r="K90" s="179">
        <f>SUMIF(Выводы!$F$28:$U$28,tables!K$63,Выводы!$F58:$U58)</f>
        <v>0</v>
      </c>
      <c r="L90" s="179">
        <f>SUMIF(Выводы!$F$28:$U$28,tables!L$63,Выводы!$F58:$U58)</f>
        <v>0</v>
      </c>
      <c r="M90" s="179">
        <f>SUMIF(Выводы!$F$28:$U$28,tables!M$63,Выводы!$F58:$U58)</f>
        <v>0</v>
      </c>
      <c r="N90" s="179">
        <f>SUMIF(Выводы!$F$28:$U$28,tables!N$63,Выводы!$F58:$U58)</f>
        <v>0</v>
      </c>
      <c r="O90" s="179">
        <f>SUMIF(Выводы!$F$28:$U$28,tables!O$63,Выводы!$F58:$U58)</f>
        <v>0</v>
      </c>
      <c r="P90" s="179">
        <f>SUMIF(Выводы!$F$28:$U$28,tables!P$63,Выводы!$F58:$U58)</f>
        <v>0</v>
      </c>
      <c r="Q90" s="179">
        <f>SUMIF(Выводы!$F$28:$U$28,tables!Q$63,Выводы!$F58:$U58)</f>
        <v>0</v>
      </c>
      <c r="R90" s="179">
        <f>SUMIF(Выводы!$F$28:$U$28,tables!R$63,Выводы!$F58:$U58)</f>
        <v>0</v>
      </c>
    </row>
    <row r="91" spans="2:18">
      <c r="B91" s="176" t="s">
        <v>185</v>
      </c>
      <c r="C91" s="179">
        <f>SUMIF(Выводы!$F$28:$U$28,tables!C$63,Выводы!$F59:$U59)</f>
        <v>0</v>
      </c>
      <c r="D91" s="179">
        <f>SUMIF(Выводы!$F$28:$U$28,tables!D$63,Выводы!$F59:$U59)</f>
        <v>0</v>
      </c>
      <c r="E91" s="179">
        <f>SUMIF(Выводы!$F$28:$U$28,tables!E$63,Выводы!$F59:$U59)</f>
        <v>0</v>
      </c>
      <c r="F91" s="179">
        <f>SUMIF(Выводы!$F$28:$U$28,tables!F$63,Выводы!$F59:$U59)</f>
        <v>0</v>
      </c>
      <c r="G91" s="179">
        <f>SUMIF(Выводы!$F$28:$U$28,tables!G$63,Выводы!$F59:$U59)</f>
        <v>0</v>
      </c>
      <c r="H91" s="179">
        <f>SUMIF(Выводы!$F$28:$U$28,tables!H$63,Выводы!$F59:$U59)</f>
        <v>0</v>
      </c>
      <c r="I91" s="179">
        <f>SUMIF(Выводы!$F$28:$U$28,tables!I$63,Выводы!$F59:$U59)</f>
        <v>0</v>
      </c>
      <c r="J91" s="179">
        <f>SUMIF(Выводы!$F$28:$U$28,tables!J$63,Выводы!$F59:$U59)</f>
        <v>0</v>
      </c>
      <c r="K91" s="179">
        <f>SUMIF(Выводы!$F$28:$U$28,tables!K$63,Выводы!$F59:$U59)</f>
        <v>0</v>
      </c>
      <c r="L91" s="179">
        <f>SUMIF(Выводы!$F$28:$U$28,tables!L$63,Выводы!$F59:$U59)</f>
        <v>0</v>
      </c>
      <c r="M91" s="179">
        <f>SUMIF(Выводы!$F$28:$U$28,tables!M$63,Выводы!$F59:$U59)</f>
        <v>0</v>
      </c>
      <c r="N91" s="179">
        <f>SUMIF(Выводы!$F$28:$U$28,tables!N$63,Выводы!$F59:$U59)</f>
        <v>0</v>
      </c>
      <c r="O91" s="179">
        <f>SUMIF(Выводы!$F$28:$U$28,tables!O$63,Выводы!$F59:$U59)</f>
        <v>0</v>
      </c>
      <c r="P91" s="179">
        <f>SUMIF(Выводы!$F$28:$U$28,tables!P$63,Выводы!$F59:$U59)</f>
        <v>0</v>
      </c>
      <c r="Q91" s="179">
        <f>SUMIF(Выводы!$F$28:$U$28,tables!Q$63,Выводы!$F59:$U59)</f>
        <v>0</v>
      </c>
      <c r="R91" s="179">
        <f>SUMIF(Выводы!$F$28:$U$28,tables!R$63,Выводы!$F59:$U59)</f>
        <v>0</v>
      </c>
    </row>
    <row r="92" spans="2:18">
      <c r="B92" s="176" t="s">
        <v>70</v>
      </c>
      <c r="C92" s="179">
        <f>SUMIF(Выводы!$F$28:$U$28,tables!C$63,Выводы!$F60:$U60)</f>
        <v>0</v>
      </c>
      <c r="D92" s="179">
        <f>SUMIF(Выводы!$F$28:$U$28,tables!D$63,Выводы!$F60:$U60)</f>
        <v>0</v>
      </c>
      <c r="E92" s="179">
        <f>SUMIF(Выводы!$F$28:$U$28,tables!E$63,Выводы!$F60:$U60)</f>
        <v>0</v>
      </c>
      <c r="F92" s="179">
        <f>SUMIF(Выводы!$F$28:$U$28,tables!F$63,Выводы!$F60:$U60)</f>
        <v>0</v>
      </c>
      <c r="G92" s="179">
        <f>SUMIF(Выводы!$F$28:$U$28,tables!G$63,Выводы!$F60:$U60)</f>
        <v>0</v>
      </c>
      <c r="H92" s="179">
        <f>SUMIF(Выводы!$F$28:$U$28,tables!H$63,Выводы!$F60:$U60)</f>
        <v>0</v>
      </c>
      <c r="I92" s="179">
        <f>SUMIF(Выводы!$F$28:$U$28,tables!I$63,Выводы!$F60:$U60)</f>
        <v>0</v>
      </c>
      <c r="J92" s="179">
        <f>SUMIF(Выводы!$F$28:$U$28,tables!J$63,Выводы!$F60:$U60)</f>
        <v>0</v>
      </c>
      <c r="K92" s="179">
        <f>SUMIF(Выводы!$F$28:$U$28,tables!K$63,Выводы!$F60:$U60)</f>
        <v>0</v>
      </c>
      <c r="L92" s="179">
        <f>SUMIF(Выводы!$F$28:$U$28,tables!L$63,Выводы!$F60:$U60)</f>
        <v>0</v>
      </c>
      <c r="M92" s="179">
        <f>SUMIF(Выводы!$F$28:$U$28,tables!M$63,Выводы!$F60:$U60)</f>
        <v>0</v>
      </c>
      <c r="N92" s="179">
        <f>SUMIF(Выводы!$F$28:$U$28,tables!N$63,Выводы!$F60:$U60)</f>
        <v>0</v>
      </c>
      <c r="O92" s="179">
        <f>SUMIF(Выводы!$F$28:$U$28,tables!O$63,Выводы!$F60:$U60)</f>
        <v>0</v>
      </c>
      <c r="P92" s="179">
        <f>SUMIF(Выводы!$F$28:$U$28,tables!P$63,Выводы!$F60:$U60)</f>
        <v>0</v>
      </c>
      <c r="Q92" s="179">
        <f>SUMIF(Выводы!$F$28:$U$28,tables!Q$63,Выводы!$F60:$U60)</f>
        <v>0</v>
      </c>
      <c r="R92" s="179">
        <f>SUMIF(Выводы!$F$28:$U$28,tables!R$63,Выводы!$F60:$U60)</f>
        <v>0</v>
      </c>
    </row>
    <row r="93" spans="2:18">
      <c r="B93" s="176" t="s">
        <v>80</v>
      </c>
      <c r="C93" s="179">
        <f>SUMIF(Выводы!$F$28:$U$28,tables!C$63,Выводы!$F61:$U61)</f>
        <v>0</v>
      </c>
      <c r="D93" s="179">
        <f>SUMIF(Выводы!$F$28:$U$28,tables!D$63,Выводы!$F61:$U61)</f>
        <v>0</v>
      </c>
      <c r="E93" s="179">
        <f>SUMIF(Выводы!$F$28:$U$28,tables!E$63,Выводы!$F61:$U61)</f>
        <v>0</v>
      </c>
      <c r="F93" s="179">
        <f>SUMIF(Выводы!$F$28:$U$28,tables!F$63,Выводы!$F61:$U61)</f>
        <v>0</v>
      </c>
      <c r="G93" s="179">
        <f>SUMIF(Выводы!$F$28:$U$28,tables!G$63,Выводы!$F61:$U61)</f>
        <v>0</v>
      </c>
      <c r="H93" s="179">
        <f>SUMIF(Выводы!$F$28:$U$28,tables!H$63,Выводы!$F61:$U61)</f>
        <v>0</v>
      </c>
      <c r="I93" s="179">
        <f>SUMIF(Выводы!$F$28:$U$28,tables!I$63,Выводы!$F61:$U61)</f>
        <v>0</v>
      </c>
      <c r="J93" s="179">
        <f>SUMIF(Выводы!$F$28:$U$28,tables!J$63,Выводы!$F61:$U61)</f>
        <v>0</v>
      </c>
      <c r="K93" s="179">
        <f>SUMIF(Выводы!$F$28:$U$28,tables!K$63,Выводы!$F61:$U61)</f>
        <v>0</v>
      </c>
      <c r="L93" s="179">
        <f>SUMIF(Выводы!$F$28:$U$28,tables!L$63,Выводы!$F61:$U61)</f>
        <v>0</v>
      </c>
      <c r="M93" s="179">
        <f>SUMIF(Выводы!$F$28:$U$28,tables!M$63,Выводы!$F61:$U61)</f>
        <v>0</v>
      </c>
      <c r="N93" s="179">
        <f>SUMIF(Выводы!$F$28:$U$28,tables!N$63,Выводы!$F61:$U61)</f>
        <v>0</v>
      </c>
      <c r="O93" s="179">
        <f>SUMIF(Выводы!$F$28:$U$28,tables!O$63,Выводы!$F61:$U61)</f>
        <v>0</v>
      </c>
      <c r="P93" s="179">
        <f>SUMIF(Выводы!$F$28:$U$28,tables!P$63,Выводы!$F61:$U61)</f>
        <v>0</v>
      </c>
      <c r="Q93" s="179">
        <f>SUMIF(Выводы!$F$28:$U$28,tables!Q$63,Выводы!$F61:$U61)</f>
        <v>0</v>
      </c>
      <c r="R93" s="179">
        <f>SUMIF(Выводы!$F$28:$U$28,tables!R$63,Выводы!$F61:$U61)</f>
        <v>0</v>
      </c>
    </row>
    <row r="95" spans="2:18">
      <c r="B95" s="188" t="s">
        <v>283</v>
      </c>
    </row>
    <row r="96" spans="2:18">
      <c r="B96" s="175" t="s">
        <v>255</v>
      </c>
      <c r="C96" s="175" t="e">
        <f>Выводы!#REF!</f>
        <v>#REF!</v>
      </c>
      <c r="D96" s="175" t="e">
        <f t="shared" ref="D96:R96" si="16">C96+1</f>
        <v>#REF!</v>
      </c>
      <c r="E96" s="175" t="e">
        <f t="shared" si="16"/>
        <v>#REF!</v>
      </c>
      <c r="F96" s="175" t="e">
        <f t="shared" si="16"/>
        <v>#REF!</v>
      </c>
      <c r="G96" s="175" t="e">
        <f t="shared" si="16"/>
        <v>#REF!</v>
      </c>
      <c r="H96" s="175" t="e">
        <f t="shared" si="16"/>
        <v>#REF!</v>
      </c>
      <c r="I96" s="175" t="e">
        <f t="shared" si="16"/>
        <v>#REF!</v>
      </c>
      <c r="J96" s="175" t="e">
        <f t="shared" si="16"/>
        <v>#REF!</v>
      </c>
      <c r="K96" s="175" t="e">
        <f t="shared" si="16"/>
        <v>#REF!</v>
      </c>
      <c r="L96" s="175" t="e">
        <f t="shared" si="16"/>
        <v>#REF!</v>
      </c>
      <c r="M96" s="175" t="e">
        <f t="shared" si="16"/>
        <v>#REF!</v>
      </c>
      <c r="N96" s="175" t="e">
        <f t="shared" si="16"/>
        <v>#REF!</v>
      </c>
      <c r="O96" s="175" t="e">
        <f t="shared" si="16"/>
        <v>#REF!</v>
      </c>
      <c r="P96" s="175" t="e">
        <f t="shared" si="16"/>
        <v>#REF!</v>
      </c>
      <c r="Q96" s="175" t="e">
        <f t="shared" si="16"/>
        <v>#REF!</v>
      </c>
      <c r="R96" s="175" t="e">
        <f t="shared" si="16"/>
        <v>#REF!</v>
      </c>
    </row>
    <row r="97" spans="2:18">
      <c r="B97" s="176" t="s">
        <v>78</v>
      </c>
      <c r="C97" s="181">
        <f>SUMIF(Выводы!$F$28:$U$28,tables!C$63,Выводы!$F66:$U66)</f>
        <v>0</v>
      </c>
      <c r="D97" s="181">
        <f>SUMIF(Выводы!$F$28:$U$28,tables!D$63,Выводы!$F66:$U66)</f>
        <v>0</v>
      </c>
      <c r="E97" s="181">
        <f>SUMIF(Выводы!$F$28:$U$28,tables!E$63,Выводы!$F66:$U66)</f>
        <v>0</v>
      </c>
      <c r="F97" s="181">
        <f>SUMIF(Выводы!$F$28:$U$28,tables!F$63,Выводы!$F66:$U66)</f>
        <v>0</v>
      </c>
      <c r="G97" s="181">
        <f>SUMIF(Выводы!$F$28:$U$28,tables!G$63,Выводы!$F66:$U66)</f>
        <v>0</v>
      </c>
      <c r="H97" s="181">
        <f>SUMIF(Выводы!$F$28:$U$28,tables!H$63,Выводы!$F66:$U66)</f>
        <v>0</v>
      </c>
      <c r="I97" s="181">
        <f>SUMIF(Выводы!$F$28:$U$28,tables!I$63,Выводы!$F66:$U66)</f>
        <v>0</v>
      </c>
      <c r="J97" s="181">
        <f>SUMIF(Выводы!$F$28:$U$28,tables!J$63,Выводы!$F66:$U66)</f>
        <v>0</v>
      </c>
      <c r="K97" s="181">
        <f>SUMIF(Выводы!$F$28:$U$28,tables!K$63,Выводы!$F66:$U66)</f>
        <v>0</v>
      </c>
      <c r="L97" s="181">
        <f>SUMIF(Выводы!$F$28:$U$28,tables!L$63,Выводы!$F66:$U66)</f>
        <v>0</v>
      </c>
      <c r="M97" s="181">
        <f>SUMIF(Выводы!$F$28:$U$28,tables!M$63,Выводы!$F66:$U66)</f>
        <v>0</v>
      </c>
      <c r="N97" s="181">
        <f>SUMIF(Выводы!$F$28:$U$28,tables!N$63,Выводы!$F66:$U66)</f>
        <v>0</v>
      </c>
      <c r="O97" s="181">
        <f>SUMIF(Выводы!$F$28:$U$28,tables!O$63,Выводы!$F66:$U66)</f>
        <v>0</v>
      </c>
      <c r="P97" s="181">
        <f>SUMIF(Выводы!$F$28:$U$28,tables!P$63,Выводы!$F66:$U66)</f>
        <v>0</v>
      </c>
      <c r="Q97" s="181">
        <f>SUMIF(Выводы!$F$28:$U$28,tables!Q$63,Выводы!$F66:$U66)</f>
        <v>0</v>
      </c>
      <c r="R97" s="181">
        <f>SUMIF(Выводы!$F$28:$U$28,tables!R$63,Выводы!$F66:$U66)</f>
        <v>0</v>
      </c>
    </row>
    <row r="98" spans="2:18">
      <c r="B98" s="176" t="s">
        <v>288</v>
      </c>
      <c r="C98" s="181">
        <f>SUMIF(Выводы!$F$28:$U$28,tables!C$63,Выводы!$F67:$U67)</f>
        <v>0</v>
      </c>
      <c r="D98" s="181">
        <f>SUMIF(Выводы!$F$28:$U$28,tables!D$63,Выводы!$F67:$U67)</f>
        <v>0</v>
      </c>
      <c r="E98" s="181">
        <f>SUMIF(Выводы!$F$28:$U$28,tables!E$63,Выводы!$F67:$U67)</f>
        <v>0</v>
      </c>
      <c r="F98" s="181">
        <f>SUMIF(Выводы!$F$28:$U$28,tables!F$63,Выводы!$F67:$U67)</f>
        <v>0</v>
      </c>
      <c r="G98" s="181">
        <f>SUMIF(Выводы!$F$28:$U$28,tables!G$63,Выводы!$F67:$U67)</f>
        <v>0</v>
      </c>
      <c r="H98" s="181">
        <f>SUMIF(Выводы!$F$28:$U$28,tables!H$63,Выводы!$F67:$U67)</f>
        <v>0</v>
      </c>
      <c r="I98" s="181">
        <f>SUMIF(Выводы!$F$28:$U$28,tables!I$63,Выводы!$F67:$U67)</f>
        <v>0</v>
      </c>
      <c r="J98" s="181">
        <f>SUMIF(Выводы!$F$28:$U$28,tables!J$63,Выводы!$F67:$U67)</f>
        <v>0</v>
      </c>
      <c r="K98" s="181">
        <f>SUMIF(Выводы!$F$28:$U$28,tables!K$63,Выводы!$F67:$U67)</f>
        <v>0</v>
      </c>
      <c r="L98" s="181">
        <f>SUMIF(Выводы!$F$28:$U$28,tables!L$63,Выводы!$F67:$U67)</f>
        <v>0</v>
      </c>
      <c r="M98" s="181">
        <f>SUMIF(Выводы!$F$28:$U$28,tables!M$63,Выводы!$F67:$U67)</f>
        <v>0</v>
      </c>
      <c r="N98" s="181">
        <f>SUMIF(Выводы!$F$28:$U$28,tables!N$63,Выводы!$F67:$U67)</f>
        <v>0</v>
      </c>
      <c r="O98" s="181">
        <f>SUMIF(Выводы!$F$28:$U$28,tables!O$63,Выводы!$F67:$U67)</f>
        <v>0</v>
      </c>
      <c r="P98" s="181">
        <f>SUMIF(Выводы!$F$28:$U$28,tables!P$63,Выводы!$F67:$U67)</f>
        <v>0</v>
      </c>
      <c r="Q98" s="181">
        <f>SUMIF(Выводы!$F$28:$U$28,tables!Q$63,Выводы!$F67:$U67)</f>
        <v>0</v>
      </c>
      <c r="R98" s="181">
        <f>SUMIF(Выводы!$F$28:$U$28,tables!R$63,Выводы!$F67:$U67)</f>
        <v>0</v>
      </c>
    </row>
    <row r="99" spans="2:18">
      <c r="B99" s="176" t="s">
        <v>289</v>
      </c>
      <c r="C99" s="179">
        <f>SUMIF(Выводы!$F$28:$U$28,tables!C$63,Выводы!$F68:$U68)</f>
        <v>0</v>
      </c>
      <c r="D99" s="179">
        <f>SUMIF(Выводы!$F$28:$U$28,tables!D$63,Выводы!$F68:$U68)</f>
        <v>0</v>
      </c>
      <c r="E99" s="179">
        <f>SUMIF(Выводы!$F$28:$U$28,tables!E$63,Выводы!$F68:$U68)</f>
        <v>0</v>
      </c>
      <c r="F99" s="179">
        <f>SUMIF(Выводы!$F$28:$U$28,tables!F$63,Выводы!$F68:$U68)</f>
        <v>0</v>
      </c>
      <c r="G99" s="179">
        <f>SUMIF(Выводы!$F$28:$U$28,tables!G$63,Выводы!$F68:$U68)</f>
        <v>0</v>
      </c>
      <c r="H99" s="179">
        <f>SUMIF(Выводы!$F$28:$U$28,tables!H$63,Выводы!$F68:$U68)</f>
        <v>0</v>
      </c>
      <c r="I99" s="179">
        <f>SUMIF(Выводы!$F$28:$U$28,tables!I$63,Выводы!$F68:$U68)</f>
        <v>0</v>
      </c>
      <c r="J99" s="179">
        <f>SUMIF(Выводы!$F$28:$U$28,tables!J$63,Выводы!$F68:$U68)</f>
        <v>0</v>
      </c>
      <c r="K99" s="179">
        <f>SUMIF(Выводы!$F$28:$U$28,tables!K$63,Выводы!$F68:$U68)</f>
        <v>0</v>
      </c>
      <c r="L99" s="179">
        <f>SUMIF(Выводы!$F$28:$U$28,tables!L$63,Выводы!$F68:$U68)</f>
        <v>0</v>
      </c>
      <c r="M99" s="179">
        <f>SUMIF(Выводы!$F$28:$U$28,tables!M$63,Выводы!$F68:$U68)</f>
        <v>0</v>
      </c>
      <c r="N99" s="179">
        <f>SUMIF(Выводы!$F$28:$U$28,tables!N$63,Выводы!$F68:$U68)</f>
        <v>0</v>
      </c>
      <c r="O99" s="179">
        <f>SUMIF(Выводы!$F$28:$U$28,tables!O$63,Выводы!$F68:$U68)</f>
        <v>0</v>
      </c>
      <c r="P99" s="179">
        <f>SUMIF(Выводы!$F$28:$U$28,tables!P$63,Выводы!$F68:$U68)</f>
        <v>0</v>
      </c>
      <c r="Q99" s="179">
        <f>SUMIF(Выводы!$F$28:$U$28,tables!Q$63,Выводы!$F68:$U68)</f>
        <v>0</v>
      </c>
      <c r="R99" s="179">
        <f>SUMIF(Выводы!$F$28:$U$28,tables!R$63,Выводы!$F68:$U68)</f>
        <v>0</v>
      </c>
    </row>
    <row r="100" spans="2:18">
      <c r="B100" s="176" t="s">
        <v>77</v>
      </c>
      <c r="C100" s="181">
        <f>SUMIF(Выводы!$F$28:$U$28,tables!C$63,Выводы!$F69:$U69)</f>
        <v>0</v>
      </c>
      <c r="D100" s="181">
        <f>SUMIF(Выводы!$F$28:$U$28,tables!D$63,Выводы!$F69:$U69)</f>
        <v>0</v>
      </c>
      <c r="E100" s="181">
        <f>SUMIF(Выводы!$F$28:$U$28,tables!E$63,Выводы!$F69:$U69)</f>
        <v>0</v>
      </c>
      <c r="F100" s="181">
        <f>SUMIF(Выводы!$F$28:$U$28,tables!F$63,Выводы!$F69:$U69)</f>
        <v>0</v>
      </c>
      <c r="G100" s="181">
        <f>SUMIF(Выводы!$F$28:$U$28,tables!G$63,Выводы!$F69:$U69)</f>
        <v>0</v>
      </c>
      <c r="H100" s="181">
        <f>SUMIF(Выводы!$F$28:$U$28,tables!H$63,Выводы!$F69:$U69)</f>
        <v>0</v>
      </c>
      <c r="I100" s="181">
        <f>SUMIF(Выводы!$F$28:$U$28,tables!I$63,Выводы!$F69:$U69)</f>
        <v>0</v>
      </c>
      <c r="J100" s="181">
        <f>SUMIF(Выводы!$F$28:$U$28,tables!J$63,Выводы!$F69:$U69)</f>
        <v>0</v>
      </c>
      <c r="K100" s="181">
        <f>SUMIF(Выводы!$F$28:$U$28,tables!K$63,Выводы!$F69:$U69)</f>
        <v>0</v>
      </c>
      <c r="L100" s="181">
        <f>SUMIF(Выводы!$F$28:$U$28,tables!L$63,Выводы!$F69:$U69)</f>
        <v>0</v>
      </c>
      <c r="M100" s="181">
        <f>SUMIF(Выводы!$F$28:$U$28,tables!M$63,Выводы!$F69:$U69)</f>
        <v>0</v>
      </c>
      <c r="N100" s="181">
        <f>SUMIF(Выводы!$F$28:$U$28,tables!N$63,Выводы!$F69:$U69)</f>
        <v>0</v>
      </c>
      <c r="O100" s="181">
        <f>SUMIF(Выводы!$F$28:$U$28,tables!O$63,Выводы!$F69:$U69)</f>
        <v>0</v>
      </c>
      <c r="P100" s="181">
        <f>SUMIF(Выводы!$F$28:$U$28,tables!P$63,Выводы!$F69:$U69)</f>
        <v>0</v>
      </c>
      <c r="Q100" s="181">
        <f>SUMIF(Выводы!$F$28:$U$28,tables!Q$63,Выводы!$F69:$U69)</f>
        <v>0</v>
      </c>
      <c r="R100" s="181">
        <f>SUMIF(Выводы!$F$28:$U$28,tables!R$63,Выводы!$F69:$U69)</f>
        <v>0</v>
      </c>
    </row>
    <row r="101" spans="2:18">
      <c r="B101" s="176" t="s">
        <v>286</v>
      </c>
      <c r="C101" s="179">
        <f>SUMIF(Выводы!$F$28:$U$28,tables!C$63,Выводы!$F70:$U70)</f>
        <v>0</v>
      </c>
      <c r="D101" s="179">
        <f>SUMIF(Выводы!$F$28:$U$28,tables!D$63,Выводы!$F70:$U70)</f>
        <v>0</v>
      </c>
      <c r="E101" s="179">
        <f>SUMIF(Выводы!$F$28:$U$28,tables!E$63,Выводы!$F70:$U70)</f>
        <v>0</v>
      </c>
      <c r="F101" s="179">
        <f>SUMIF(Выводы!$F$28:$U$28,tables!F$63,Выводы!$F70:$U70)</f>
        <v>0</v>
      </c>
      <c r="G101" s="179">
        <f>SUMIF(Выводы!$F$28:$U$28,tables!G$63,Выводы!$F70:$U70)</f>
        <v>0</v>
      </c>
      <c r="H101" s="179">
        <f>SUMIF(Выводы!$F$28:$U$28,tables!H$63,Выводы!$F70:$U70)</f>
        <v>0</v>
      </c>
      <c r="I101" s="179">
        <f>SUMIF(Выводы!$F$28:$U$28,tables!I$63,Выводы!$F70:$U70)</f>
        <v>0</v>
      </c>
      <c r="J101" s="179">
        <f>SUMIF(Выводы!$F$28:$U$28,tables!J$63,Выводы!$F70:$U70)</f>
        <v>0</v>
      </c>
      <c r="K101" s="179">
        <f>SUMIF(Выводы!$F$28:$U$28,tables!K$63,Выводы!$F70:$U70)</f>
        <v>0</v>
      </c>
      <c r="L101" s="179">
        <f>SUMIF(Выводы!$F$28:$U$28,tables!L$63,Выводы!$F70:$U70)</f>
        <v>0</v>
      </c>
      <c r="M101" s="179">
        <f>SUMIF(Выводы!$F$28:$U$28,tables!M$63,Выводы!$F70:$U70)</f>
        <v>0</v>
      </c>
      <c r="N101" s="179">
        <f>SUMIF(Выводы!$F$28:$U$28,tables!N$63,Выводы!$F70:$U70)</f>
        <v>0</v>
      </c>
      <c r="O101" s="179">
        <f>SUMIF(Выводы!$F$28:$U$28,tables!O$63,Выводы!$F70:$U70)</f>
        <v>0</v>
      </c>
      <c r="P101" s="179">
        <f>SUMIF(Выводы!$F$28:$U$28,tables!P$63,Выводы!$F70:$U70)</f>
        <v>0</v>
      </c>
      <c r="Q101" s="179">
        <f>SUMIF(Выводы!$F$28:$U$28,tables!Q$63,Выводы!$F70:$U70)</f>
        <v>0</v>
      </c>
      <c r="R101" s="179">
        <f>SUMIF(Выводы!$F$28:$U$28,tables!R$63,Выводы!$F70:$U70)</f>
        <v>0</v>
      </c>
    </row>
    <row r="102" spans="2:18">
      <c r="B102" s="176" t="s">
        <v>287</v>
      </c>
      <c r="C102" s="179">
        <f>SUMIF(Выводы!$F$28:$U$28,tables!C$63,Выводы!$F71:$U71)</f>
        <v>0</v>
      </c>
      <c r="D102" s="179">
        <f>SUMIF(Выводы!$F$28:$U$28,tables!D$63,Выводы!$F71:$U71)</f>
        <v>0</v>
      </c>
      <c r="E102" s="179">
        <f>SUMIF(Выводы!$F$28:$U$28,tables!E$63,Выводы!$F71:$U71)</f>
        <v>0</v>
      </c>
      <c r="F102" s="179">
        <f>SUMIF(Выводы!$F$28:$U$28,tables!F$63,Выводы!$F71:$U71)</f>
        <v>0</v>
      </c>
      <c r="G102" s="179">
        <f>SUMIF(Выводы!$F$28:$U$28,tables!G$63,Выводы!$F71:$U71)</f>
        <v>0</v>
      </c>
      <c r="H102" s="179">
        <f>SUMIF(Выводы!$F$28:$U$28,tables!H$63,Выводы!$F71:$U71)</f>
        <v>0</v>
      </c>
      <c r="I102" s="179">
        <f>SUMIF(Выводы!$F$28:$U$28,tables!I$63,Выводы!$F71:$U71)</f>
        <v>0</v>
      </c>
      <c r="J102" s="179">
        <f>SUMIF(Выводы!$F$28:$U$28,tables!J$63,Выводы!$F71:$U71)</f>
        <v>0</v>
      </c>
      <c r="K102" s="179">
        <f>SUMIF(Выводы!$F$28:$U$28,tables!K$63,Выводы!$F71:$U71)</f>
        <v>0</v>
      </c>
      <c r="L102" s="179">
        <f>SUMIF(Выводы!$F$28:$U$28,tables!L$63,Выводы!$F71:$U71)</f>
        <v>0</v>
      </c>
      <c r="M102" s="179">
        <f>SUMIF(Выводы!$F$28:$U$28,tables!M$63,Выводы!$F71:$U71)</f>
        <v>0</v>
      </c>
      <c r="N102" s="179">
        <f>SUMIF(Выводы!$F$28:$U$28,tables!N$63,Выводы!$F71:$U71)</f>
        <v>0</v>
      </c>
      <c r="O102" s="179">
        <f>SUMIF(Выводы!$F$28:$U$28,tables!O$63,Выводы!$F71:$U71)</f>
        <v>0</v>
      </c>
      <c r="P102" s="179">
        <f>SUMIF(Выводы!$F$28:$U$28,tables!P$63,Выводы!$F71:$U71)</f>
        <v>0</v>
      </c>
      <c r="Q102" s="179">
        <f>SUMIF(Выводы!$F$28:$U$28,tables!Q$63,Выводы!$F71:$U71)</f>
        <v>0</v>
      </c>
      <c r="R102" s="179">
        <f>SUMIF(Выводы!$F$28:$U$28,tables!R$63,Выводы!$F71:$U71)</f>
        <v>0</v>
      </c>
    </row>
    <row r="103" spans="2:18">
      <c r="B103" s="176" t="s">
        <v>190</v>
      </c>
      <c r="C103" s="179">
        <f>SUMIF(Выводы!$F$28:$U$28,tables!C$63,Выводы!$F72:$U72)</f>
        <v>0</v>
      </c>
      <c r="D103" s="179">
        <f>SUMIF(Выводы!$F$28:$U$28,tables!D$63,Выводы!$F72:$U72)</f>
        <v>0</v>
      </c>
      <c r="E103" s="179">
        <f>SUMIF(Выводы!$F$28:$U$28,tables!E$63,Выводы!$F72:$U72)</f>
        <v>0</v>
      </c>
      <c r="F103" s="179">
        <f>SUMIF(Выводы!$F$28:$U$28,tables!F$63,Выводы!$F72:$U72)</f>
        <v>0</v>
      </c>
      <c r="G103" s="179">
        <f>SUMIF(Выводы!$F$28:$U$28,tables!G$63,Выводы!$F72:$U72)</f>
        <v>0</v>
      </c>
      <c r="H103" s="179">
        <f>SUMIF(Выводы!$F$28:$U$28,tables!H$63,Выводы!$F72:$U72)</f>
        <v>0</v>
      </c>
      <c r="I103" s="179">
        <f>SUMIF(Выводы!$F$28:$U$28,tables!I$63,Выводы!$F72:$U72)</f>
        <v>0</v>
      </c>
      <c r="J103" s="179">
        <f>SUMIF(Выводы!$F$28:$U$28,tables!J$63,Выводы!$F72:$U72)</f>
        <v>0</v>
      </c>
      <c r="K103" s="179">
        <f>SUMIF(Выводы!$F$28:$U$28,tables!K$63,Выводы!$F72:$U72)</f>
        <v>0</v>
      </c>
      <c r="L103" s="179">
        <f>SUMIF(Выводы!$F$28:$U$28,tables!L$63,Выводы!$F72:$U72)</f>
        <v>0</v>
      </c>
      <c r="M103" s="179">
        <f>SUMIF(Выводы!$F$28:$U$28,tables!M$63,Выводы!$F72:$U72)</f>
        <v>0</v>
      </c>
      <c r="N103" s="179">
        <f>SUMIF(Выводы!$F$28:$U$28,tables!N$63,Выводы!$F72:$U72)</f>
        <v>0</v>
      </c>
      <c r="O103" s="179">
        <f>SUMIF(Выводы!$F$28:$U$28,tables!O$63,Выводы!$F72:$U72)</f>
        <v>0</v>
      </c>
      <c r="P103" s="179">
        <f>SUMIF(Выводы!$F$28:$U$28,tables!P$63,Выводы!$F72:$U72)</f>
        <v>0</v>
      </c>
      <c r="Q103" s="179">
        <f>SUMIF(Выводы!$F$28:$U$28,tables!Q$63,Выводы!$F72:$U72)</f>
        <v>0</v>
      </c>
      <c r="R103" s="179">
        <f>SUMIF(Выводы!$F$28:$U$28,tables!R$63,Выводы!$F72:$U72)</f>
        <v>0</v>
      </c>
    </row>
    <row r="104" spans="2:18">
      <c r="B104" s="176" t="s">
        <v>285</v>
      </c>
      <c r="C104" s="179">
        <f>SUMIF(Выводы!$F$28:$U$28,tables!C$63,Выводы!$F73:$U73)</f>
        <v>0</v>
      </c>
      <c r="D104" s="179">
        <f>SUMIF(Выводы!$F$28:$U$28,tables!D$63,Выводы!$F73:$U73)</f>
        <v>0</v>
      </c>
      <c r="E104" s="179">
        <f>SUMIF(Выводы!$F$28:$U$28,tables!E$63,Выводы!$F73:$U73)</f>
        <v>0</v>
      </c>
      <c r="F104" s="179">
        <f>SUMIF(Выводы!$F$28:$U$28,tables!F$63,Выводы!$F73:$U73)</f>
        <v>0</v>
      </c>
      <c r="G104" s="179">
        <f>SUMIF(Выводы!$F$28:$U$28,tables!G$63,Выводы!$F73:$U73)</f>
        <v>0</v>
      </c>
      <c r="H104" s="179">
        <f>SUMIF(Выводы!$F$28:$U$28,tables!H$63,Выводы!$F73:$U73)</f>
        <v>0</v>
      </c>
      <c r="I104" s="179">
        <f>SUMIF(Выводы!$F$28:$U$28,tables!I$63,Выводы!$F73:$U73)</f>
        <v>0</v>
      </c>
      <c r="J104" s="179">
        <f>SUMIF(Выводы!$F$28:$U$28,tables!J$63,Выводы!$F73:$U73)</f>
        <v>0</v>
      </c>
      <c r="K104" s="179">
        <f>SUMIF(Выводы!$F$28:$U$28,tables!K$63,Выводы!$F73:$U73)</f>
        <v>0</v>
      </c>
      <c r="L104" s="179">
        <f>SUMIF(Выводы!$F$28:$U$28,tables!L$63,Выводы!$F73:$U73)</f>
        <v>0</v>
      </c>
      <c r="M104" s="179">
        <f>SUMIF(Выводы!$F$28:$U$28,tables!M$63,Выводы!$F73:$U73)</f>
        <v>0</v>
      </c>
      <c r="N104" s="179">
        <f>SUMIF(Выводы!$F$28:$U$28,tables!N$63,Выводы!$F73:$U73)</f>
        <v>0</v>
      </c>
      <c r="O104" s="179">
        <f>SUMIF(Выводы!$F$28:$U$28,tables!O$63,Выводы!$F73:$U73)</f>
        <v>0</v>
      </c>
      <c r="P104" s="179">
        <f>SUMIF(Выводы!$F$28:$U$28,tables!P$63,Выводы!$F73:$U73)</f>
        <v>0</v>
      </c>
      <c r="Q104" s="179">
        <f>SUMIF(Выводы!$F$28:$U$28,tables!Q$63,Выводы!$F73:$U73)</f>
        <v>0</v>
      </c>
      <c r="R104" s="179">
        <f>SUMIF(Выводы!$F$28:$U$28,tables!R$63,Выводы!$F73:$U73)</f>
        <v>0</v>
      </c>
    </row>
    <row r="105" spans="2:18">
      <c r="B105" s="176" t="s">
        <v>82</v>
      </c>
      <c r="C105" s="179">
        <f>SUMIF(Выводы!$F$28:$U$28,tables!C$63,Выводы!$F74:$U74)</f>
        <v>0</v>
      </c>
      <c r="D105" s="179">
        <f>SUMIF(Выводы!$F$28:$U$28,tables!D$63,Выводы!$F74:$U74)</f>
        <v>0</v>
      </c>
      <c r="E105" s="179">
        <f>SUMIF(Выводы!$F$28:$U$28,tables!E$63,Выводы!$F74:$U74)</f>
        <v>0</v>
      </c>
      <c r="F105" s="179">
        <f>SUMIF(Выводы!$F$28:$U$28,tables!F$63,Выводы!$F74:$U74)</f>
        <v>0</v>
      </c>
      <c r="G105" s="179">
        <f>SUMIF(Выводы!$F$28:$U$28,tables!G$63,Выводы!$F74:$U74)</f>
        <v>0</v>
      </c>
      <c r="H105" s="179">
        <f>SUMIF(Выводы!$F$28:$U$28,tables!H$63,Выводы!$F74:$U74)</f>
        <v>0</v>
      </c>
      <c r="I105" s="179">
        <f>SUMIF(Выводы!$F$28:$U$28,tables!I$63,Выводы!$F74:$U74)</f>
        <v>0</v>
      </c>
      <c r="J105" s="179">
        <f>SUMIF(Выводы!$F$28:$U$28,tables!J$63,Выводы!$F74:$U74)</f>
        <v>0</v>
      </c>
      <c r="K105" s="179">
        <f>SUMIF(Выводы!$F$28:$U$28,tables!K$63,Выводы!$F74:$U74)</f>
        <v>0</v>
      </c>
      <c r="L105" s="179">
        <f>SUMIF(Выводы!$F$28:$U$28,tables!L$63,Выводы!$F74:$U74)</f>
        <v>0</v>
      </c>
      <c r="M105" s="179">
        <f>SUMIF(Выводы!$F$28:$U$28,tables!M$63,Выводы!$F74:$U74)</f>
        <v>0</v>
      </c>
      <c r="N105" s="179">
        <f>SUMIF(Выводы!$F$28:$U$28,tables!N$63,Выводы!$F74:$U74)</f>
        <v>0</v>
      </c>
      <c r="O105" s="179">
        <f>SUMIF(Выводы!$F$28:$U$28,tables!O$63,Выводы!$F74:$U74)</f>
        <v>0</v>
      </c>
      <c r="P105" s="179">
        <f>SUMIF(Выводы!$F$28:$U$28,tables!P$63,Выводы!$F74:$U74)</f>
        <v>0</v>
      </c>
      <c r="Q105" s="179">
        <f>SUMIF(Выводы!$F$28:$U$28,tables!Q$63,Выводы!$F74:$U74)</f>
        <v>0</v>
      </c>
      <c r="R105" s="179">
        <f>SUMIF(Выводы!$F$28:$U$28,tables!R$63,Выводы!$F74:$U74)</f>
        <v>0</v>
      </c>
    </row>
    <row r="106" spans="2:18">
      <c r="B106" s="176" t="s">
        <v>284</v>
      </c>
      <c r="C106" s="179">
        <f>SUMIF(Выводы!$F$28:$U$28,tables!C$63,Выводы!$F75:$U75)</f>
        <v>0</v>
      </c>
      <c r="D106" s="179">
        <f>SUMIF(Выводы!$F$28:$U$28,tables!D$63,Выводы!$F75:$U75)</f>
        <v>0</v>
      </c>
      <c r="E106" s="179">
        <f>SUMIF(Выводы!$F$28:$U$28,tables!E$63,Выводы!$F75:$U75)</f>
        <v>0</v>
      </c>
      <c r="F106" s="179">
        <f>SUMIF(Выводы!$F$28:$U$28,tables!F$63,Выводы!$F75:$U75)</f>
        <v>0</v>
      </c>
      <c r="G106" s="179">
        <f>SUMIF(Выводы!$F$28:$U$28,tables!G$63,Выводы!$F75:$U75)</f>
        <v>0</v>
      </c>
      <c r="H106" s="179">
        <f>SUMIF(Выводы!$F$28:$U$28,tables!H$63,Выводы!$F75:$U75)</f>
        <v>0</v>
      </c>
      <c r="I106" s="179">
        <f>SUMIF(Выводы!$F$28:$U$28,tables!I$63,Выводы!$F75:$U75)</f>
        <v>0</v>
      </c>
      <c r="J106" s="179">
        <f>SUMIF(Выводы!$F$28:$U$28,tables!J$63,Выводы!$F75:$U75)</f>
        <v>0</v>
      </c>
      <c r="K106" s="179">
        <f>SUMIF(Выводы!$F$28:$U$28,tables!K$63,Выводы!$F75:$U75)</f>
        <v>0</v>
      </c>
      <c r="L106" s="179">
        <f>SUMIF(Выводы!$F$28:$U$28,tables!L$63,Выводы!$F75:$U75)</f>
        <v>0</v>
      </c>
      <c r="M106" s="179">
        <f>SUMIF(Выводы!$F$28:$U$28,tables!M$63,Выводы!$F75:$U75)</f>
        <v>0</v>
      </c>
      <c r="N106" s="179">
        <f>SUMIF(Выводы!$F$28:$U$28,tables!N$63,Выводы!$F75:$U75)</f>
        <v>0</v>
      </c>
      <c r="O106" s="179">
        <f>SUMIF(Выводы!$F$28:$U$28,tables!O$63,Выводы!$F75:$U75)</f>
        <v>0</v>
      </c>
      <c r="P106" s="179">
        <f>SUMIF(Выводы!$F$28:$U$28,tables!P$63,Выводы!$F75:$U75)</f>
        <v>0</v>
      </c>
      <c r="Q106" s="179">
        <f>SUMIF(Выводы!$F$28:$U$28,tables!Q$63,Выводы!$F75:$U75)</f>
        <v>0</v>
      </c>
      <c r="R106" s="179">
        <f>SUMIF(Выводы!$F$28:$U$28,tables!R$63,Выводы!$F75:$U75)</f>
        <v>0</v>
      </c>
    </row>
    <row r="107" spans="2:18">
      <c r="B107" s="176" t="s">
        <v>144</v>
      </c>
      <c r="C107" s="179">
        <f>SUMIF(Выводы!$F$28:$U$28,tables!C$63,Выводы!$F76:$U76)</f>
        <v>0</v>
      </c>
      <c r="D107" s="179">
        <f>SUMIF(Выводы!$F$28:$U$28,tables!D$63,Выводы!$F76:$U76)</f>
        <v>0</v>
      </c>
      <c r="E107" s="179">
        <f>SUMIF(Выводы!$F$28:$U$28,tables!E$63,Выводы!$F76:$U76)</f>
        <v>0</v>
      </c>
      <c r="F107" s="179">
        <f>SUMIF(Выводы!$F$28:$U$28,tables!F$63,Выводы!$F76:$U76)</f>
        <v>0</v>
      </c>
      <c r="G107" s="179">
        <f>SUMIF(Выводы!$F$28:$U$28,tables!G$63,Выводы!$F76:$U76)</f>
        <v>0</v>
      </c>
      <c r="H107" s="179">
        <f>SUMIF(Выводы!$F$28:$U$28,tables!H$63,Выводы!$F76:$U76)</f>
        <v>0</v>
      </c>
      <c r="I107" s="179">
        <f>SUMIF(Выводы!$F$28:$U$28,tables!I$63,Выводы!$F76:$U76)</f>
        <v>0</v>
      </c>
      <c r="J107" s="179">
        <f>SUMIF(Выводы!$F$28:$U$28,tables!J$63,Выводы!$F76:$U76)</f>
        <v>0</v>
      </c>
      <c r="K107" s="179">
        <f>SUMIF(Выводы!$F$28:$U$28,tables!K$63,Выводы!$F76:$U76)</f>
        <v>0</v>
      </c>
      <c r="L107" s="179">
        <f>SUMIF(Выводы!$F$28:$U$28,tables!L$63,Выводы!$F76:$U76)</f>
        <v>0</v>
      </c>
      <c r="M107" s="179">
        <f>SUMIF(Выводы!$F$28:$U$28,tables!M$63,Выводы!$F76:$U76)</f>
        <v>0</v>
      </c>
      <c r="N107" s="179">
        <f>SUMIF(Выводы!$F$28:$U$28,tables!N$63,Выводы!$F76:$U76)</f>
        <v>0</v>
      </c>
      <c r="O107" s="179">
        <f>SUMIF(Выводы!$F$28:$U$28,tables!O$63,Выводы!$F76:$U76)</f>
        <v>0</v>
      </c>
      <c r="P107" s="179">
        <f>SUMIF(Выводы!$F$28:$U$28,tables!P$63,Выводы!$F76:$U76)</f>
        <v>0</v>
      </c>
      <c r="Q107" s="179">
        <f>SUMIF(Выводы!$F$28:$U$28,tables!Q$63,Выводы!$F76:$U76)</f>
        <v>0</v>
      </c>
      <c r="R107" s="179">
        <f>SUMIF(Выводы!$F$28:$U$28,tables!R$63,Выводы!$F76:$U76)</f>
        <v>0</v>
      </c>
    </row>
    <row r="108" spans="2:18">
      <c r="B108" s="176" t="s">
        <v>83</v>
      </c>
      <c r="C108" s="179">
        <f>SUMIF(Выводы!$F$28:$U$28,tables!C$63,Выводы!$F77:$U77)</f>
        <v>0</v>
      </c>
      <c r="D108" s="179">
        <f>SUMIF(Выводы!$F$28:$U$28,tables!D$63,Выводы!$F77:$U77)</f>
        <v>0</v>
      </c>
      <c r="E108" s="179">
        <f>SUMIF(Выводы!$F$28:$U$28,tables!E$63,Выводы!$F77:$U77)</f>
        <v>0</v>
      </c>
      <c r="F108" s="179">
        <f>SUMIF(Выводы!$F$28:$U$28,tables!F$63,Выводы!$F77:$U77)</f>
        <v>0</v>
      </c>
      <c r="G108" s="179">
        <f>SUMIF(Выводы!$F$28:$U$28,tables!G$63,Выводы!$F77:$U77)</f>
        <v>0</v>
      </c>
      <c r="H108" s="179">
        <f>SUMIF(Выводы!$F$28:$U$28,tables!H$63,Выводы!$F77:$U77)</f>
        <v>0</v>
      </c>
      <c r="I108" s="179">
        <f>SUMIF(Выводы!$F$28:$U$28,tables!I$63,Выводы!$F77:$U77)</f>
        <v>0</v>
      </c>
      <c r="J108" s="179">
        <f>SUMIF(Выводы!$F$28:$U$28,tables!J$63,Выводы!$F77:$U77)</f>
        <v>0</v>
      </c>
      <c r="K108" s="179">
        <f>SUMIF(Выводы!$F$28:$U$28,tables!K$63,Выводы!$F77:$U77)</f>
        <v>0</v>
      </c>
      <c r="L108" s="179">
        <f>SUMIF(Выводы!$F$28:$U$28,tables!L$63,Выводы!$F77:$U77)</f>
        <v>0</v>
      </c>
      <c r="M108" s="179">
        <f>SUMIF(Выводы!$F$28:$U$28,tables!M$63,Выводы!$F77:$U77)</f>
        <v>0</v>
      </c>
      <c r="N108" s="179">
        <f>SUMIF(Выводы!$F$28:$U$28,tables!N$63,Выводы!$F77:$U77)</f>
        <v>0</v>
      </c>
      <c r="O108" s="179">
        <f>SUMIF(Выводы!$F$28:$U$28,tables!O$63,Выводы!$F77:$U77)</f>
        <v>0</v>
      </c>
      <c r="P108" s="179">
        <f>SUMIF(Выводы!$F$28:$U$28,tables!P$63,Выводы!$F77:$U77)</f>
        <v>0</v>
      </c>
      <c r="Q108" s="179">
        <f>SUMIF(Выводы!$F$28:$U$28,tables!Q$63,Выводы!$F77:$U77)</f>
        <v>0</v>
      </c>
      <c r="R108" s="179">
        <f>SUMIF(Выводы!$F$28:$U$28,tables!R$63,Выводы!$F77:$U77)</f>
        <v>0</v>
      </c>
    </row>
    <row r="110" spans="2:18">
      <c r="B110" s="188" t="s">
        <v>437</v>
      </c>
    </row>
    <row r="111" spans="2:18">
      <c r="B111" s="175" t="s">
        <v>255</v>
      </c>
      <c r="C111" s="175" t="e">
        <f>Выводы!#REF!</f>
        <v>#REF!</v>
      </c>
      <c r="D111" s="175" t="e">
        <f t="shared" ref="D111:R111" si="17">C111+1</f>
        <v>#REF!</v>
      </c>
      <c r="E111" s="175" t="e">
        <f t="shared" si="17"/>
        <v>#REF!</v>
      </c>
      <c r="F111" s="175" t="e">
        <f t="shared" si="17"/>
        <v>#REF!</v>
      </c>
      <c r="G111" s="175" t="e">
        <f t="shared" si="17"/>
        <v>#REF!</v>
      </c>
      <c r="H111" s="175" t="e">
        <f t="shared" si="17"/>
        <v>#REF!</v>
      </c>
      <c r="I111" s="175" t="e">
        <f t="shared" si="17"/>
        <v>#REF!</v>
      </c>
      <c r="J111" s="175" t="e">
        <f t="shared" si="17"/>
        <v>#REF!</v>
      </c>
      <c r="K111" s="175" t="e">
        <f t="shared" si="17"/>
        <v>#REF!</v>
      </c>
      <c r="L111" s="175" t="e">
        <f t="shared" si="17"/>
        <v>#REF!</v>
      </c>
      <c r="M111" s="175" t="e">
        <f t="shared" si="17"/>
        <v>#REF!</v>
      </c>
      <c r="N111" s="175" t="e">
        <f t="shared" si="17"/>
        <v>#REF!</v>
      </c>
      <c r="O111" s="175" t="e">
        <f t="shared" si="17"/>
        <v>#REF!</v>
      </c>
      <c r="P111" s="175" t="e">
        <f t="shared" si="17"/>
        <v>#REF!</v>
      </c>
      <c r="Q111" s="175" t="e">
        <f t="shared" si="17"/>
        <v>#REF!</v>
      </c>
      <c r="R111" s="175" t="e">
        <f t="shared" si="17"/>
        <v>#REF!</v>
      </c>
    </row>
    <row r="112" spans="2:18">
      <c r="B112" s="176" t="s">
        <v>133</v>
      </c>
      <c r="C112" s="181">
        <f>SUMIF(Выводы!$F$28:$U$28,tables!C$63,Выводы!$F82:$U82)</f>
        <v>0</v>
      </c>
      <c r="D112" s="181">
        <f>SUMIF(Выводы!$F$28:$U$28,tables!D$63,Выводы!$F82:$U82)</f>
        <v>0</v>
      </c>
      <c r="E112" s="181">
        <f>SUMIF(Выводы!$F$28:$U$28,tables!E$63,Выводы!$F82:$U82)</f>
        <v>0</v>
      </c>
      <c r="F112" s="181">
        <f>SUMIF(Выводы!$F$28:$U$28,tables!F$63,Выводы!$F82:$U82)</f>
        <v>0</v>
      </c>
      <c r="G112" s="181">
        <f>SUMIF(Выводы!$F$28:$U$28,tables!G$63,Выводы!$F82:$U82)</f>
        <v>0</v>
      </c>
      <c r="H112" s="181">
        <f>SUMIF(Выводы!$F$28:$U$28,tables!H$63,Выводы!$F82:$U82)</f>
        <v>0</v>
      </c>
      <c r="I112" s="181">
        <f>SUMIF(Выводы!$F$28:$U$28,tables!I$63,Выводы!$F82:$U82)</f>
        <v>0</v>
      </c>
      <c r="J112" s="181">
        <f>SUMIF(Выводы!$F$28:$U$28,tables!J$63,Выводы!$F82:$U82)</f>
        <v>0</v>
      </c>
      <c r="K112" s="181">
        <f>SUMIF(Выводы!$F$28:$U$28,tables!K$63,Выводы!$F82:$U82)</f>
        <v>0</v>
      </c>
      <c r="L112" s="181">
        <f>SUMIF(Выводы!$F$28:$U$28,tables!L$63,Выводы!$F82:$U82)</f>
        <v>0</v>
      </c>
      <c r="M112" s="181">
        <f>SUMIF(Выводы!$F$28:$U$28,tables!M$63,Выводы!$F82:$U82)</f>
        <v>0</v>
      </c>
      <c r="N112" s="181">
        <f>SUMIF(Выводы!$F$28:$U$28,tables!N$63,Выводы!$F82:$U82)</f>
        <v>0</v>
      </c>
      <c r="O112" s="181">
        <f>SUMIF(Выводы!$F$28:$U$28,tables!O$63,Выводы!$F82:$U82)</f>
        <v>0</v>
      </c>
      <c r="P112" s="181">
        <f>SUMIF(Выводы!$F$28:$U$28,tables!P$63,Выводы!$F82:$U82)</f>
        <v>0</v>
      </c>
      <c r="Q112" s="181">
        <f>SUMIF(Выводы!$F$28:$U$28,tables!Q$63,Выводы!$F82:$U82)</f>
        <v>0</v>
      </c>
      <c r="R112" s="181">
        <f>SUMIF(Выводы!$F$28:$U$28,tables!R$63,Выводы!$F82:$U82)</f>
        <v>0</v>
      </c>
    </row>
    <row r="113" spans="2:18">
      <c r="B113" s="176" t="s">
        <v>436</v>
      </c>
      <c r="C113" s="179">
        <f>SUMIF(Выводы!$F$28:$U$28,tables!C$63,Выводы!$F83:$U83)</f>
        <v>0</v>
      </c>
      <c r="D113" s="179">
        <f>SUMIF(Выводы!$F$28:$U$28,tables!D$63,Выводы!$F83:$U83)</f>
        <v>0</v>
      </c>
      <c r="E113" s="179">
        <f>SUMIF(Выводы!$F$28:$U$28,tables!E$63,Выводы!$F83:$U83)</f>
        <v>0</v>
      </c>
      <c r="F113" s="179">
        <f>SUMIF(Выводы!$F$28:$U$28,tables!F$63,Выводы!$F83:$U83)</f>
        <v>0</v>
      </c>
      <c r="G113" s="179">
        <f>SUMIF(Выводы!$F$28:$U$28,tables!G$63,Выводы!$F83:$U83)</f>
        <v>0</v>
      </c>
      <c r="H113" s="179">
        <f>SUMIF(Выводы!$F$28:$U$28,tables!H$63,Выводы!$F83:$U83)</f>
        <v>0</v>
      </c>
      <c r="I113" s="179">
        <f>SUMIF(Выводы!$F$28:$U$28,tables!I$63,Выводы!$F83:$U83)</f>
        <v>0</v>
      </c>
      <c r="J113" s="179">
        <f>SUMIF(Выводы!$F$28:$U$28,tables!J$63,Выводы!$F83:$U83)</f>
        <v>0</v>
      </c>
      <c r="K113" s="179">
        <f>SUMIF(Выводы!$F$28:$U$28,tables!K$63,Выводы!$F83:$U83)</f>
        <v>0</v>
      </c>
      <c r="L113" s="179">
        <f>SUMIF(Выводы!$F$28:$U$28,tables!L$63,Выводы!$F83:$U83)</f>
        <v>0</v>
      </c>
      <c r="M113" s="179">
        <f>SUMIF(Выводы!$F$28:$U$28,tables!M$63,Выводы!$F83:$U83)</f>
        <v>0</v>
      </c>
      <c r="N113" s="179">
        <f>SUMIF(Выводы!$F$28:$U$28,tables!N$63,Выводы!$F83:$U83)</f>
        <v>0</v>
      </c>
      <c r="O113" s="179">
        <f>SUMIF(Выводы!$F$28:$U$28,tables!O$63,Выводы!$F83:$U83)</f>
        <v>0</v>
      </c>
      <c r="P113" s="179">
        <f>SUMIF(Выводы!$F$28:$U$28,tables!P$63,Выводы!$F83:$U83)</f>
        <v>0</v>
      </c>
      <c r="Q113" s="179">
        <f>SUMIF(Выводы!$F$28:$U$28,tables!Q$63,Выводы!$F83:$U83)</f>
        <v>0</v>
      </c>
      <c r="R113" s="179">
        <f>SUMIF(Выводы!$F$28:$U$28,tables!R$63,Выводы!$F83:$U83)</f>
        <v>0</v>
      </c>
    </row>
    <row r="114" spans="2:18">
      <c r="B114" s="176" t="s">
        <v>140</v>
      </c>
      <c r="C114" s="179">
        <f>SUMIF(Выводы!$F$28:$U$28,tables!C$63,Выводы!$F84:$U84)</f>
        <v>0</v>
      </c>
      <c r="D114" s="179">
        <f>SUMIF(Выводы!$F$28:$U$28,tables!D$63,Выводы!$F84:$U84)</f>
        <v>0</v>
      </c>
      <c r="E114" s="179">
        <f>SUMIF(Выводы!$F$28:$U$28,tables!E$63,Выводы!$F84:$U84)</f>
        <v>0</v>
      </c>
      <c r="F114" s="179">
        <f>SUMIF(Выводы!$F$28:$U$28,tables!F$63,Выводы!$F84:$U84)</f>
        <v>0</v>
      </c>
      <c r="G114" s="179">
        <f>SUMIF(Выводы!$F$28:$U$28,tables!G$63,Выводы!$F84:$U84)</f>
        <v>0</v>
      </c>
      <c r="H114" s="179">
        <f>SUMIF(Выводы!$F$28:$U$28,tables!H$63,Выводы!$F84:$U84)</f>
        <v>0</v>
      </c>
      <c r="I114" s="179">
        <f>SUMIF(Выводы!$F$28:$U$28,tables!I$63,Выводы!$F84:$U84)</f>
        <v>0</v>
      </c>
      <c r="J114" s="179">
        <f>SUMIF(Выводы!$F$28:$U$28,tables!J$63,Выводы!$F84:$U84)</f>
        <v>0</v>
      </c>
      <c r="K114" s="179">
        <f>SUMIF(Выводы!$F$28:$U$28,tables!K$63,Выводы!$F84:$U84)</f>
        <v>0</v>
      </c>
      <c r="L114" s="179">
        <f>SUMIF(Выводы!$F$28:$U$28,tables!L$63,Выводы!$F84:$U84)</f>
        <v>0</v>
      </c>
      <c r="M114" s="179">
        <f>SUMIF(Выводы!$F$28:$U$28,tables!M$63,Выводы!$F84:$U84)</f>
        <v>0</v>
      </c>
      <c r="N114" s="179">
        <f>SUMIF(Выводы!$F$28:$U$28,tables!N$63,Выводы!$F84:$U84)</f>
        <v>0</v>
      </c>
      <c r="O114" s="179">
        <f>SUMIF(Выводы!$F$28:$U$28,tables!O$63,Выводы!$F84:$U84)</f>
        <v>0</v>
      </c>
      <c r="P114" s="179">
        <f>SUMIF(Выводы!$F$28:$U$28,tables!P$63,Выводы!$F84:$U84)</f>
        <v>0</v>
      </c>
      <c r="Q114" s="179">
        <f>SUMIF(Выводы!$F$28:$U$28,tables!Q$63,Выводы!$F84:$U84)</f>
        <v>0</v>
      </c>
      <c r="R114" s="179">
        <f>SUMIF(Выводы!$F$28:$U$28,tables!R$63,Выводы!$F84:$U84)</f>
        <v>0</v>
      </c>
    </row>
    <row r="115" spans="2:18">
      <c r="B115" s="176" t="s">
        <v>290</v>
      </c>
      <c r="C115" s="181">
        <f>SUMIF(Выводы!$F$28:$U$28,tables!C$63,Выводы!$F85:$U85)</f>
        <v>0</v>
      </c>
      <c r="D115" s="181">
        <f>SUMIF(Выводы!$F$28:$U$28,tables!D$63,Выводы!$F85:$U85)</f>
        <v>0</v>
      </c>
      <c r="E115" s="181">
        <f>SUMIF(Выводы!$F$28:$U$28,tables!E$63,Выводы!$F85:$U85)</f>
        <v>0</v>
      </c>
      <c r="F115" s="181">
        <f>SUMIF(Выводы!$F$28:$U$28,tables!F$63,Выводы!$F85:$U85)</f>
        <v>0</v>
      </c>
      <c r="G115" s="181">
        <f>SUMIF(Выводы!$F$28:$U$28,tables!G$63,Выводы!$F85:$U85)</f>
        <v>0</v>
      </c>
      <c r="H115" s="181">
        <f>SUMIF(Выводы!$F$28:$U$28,tables!H$63,Выводы!$F85:$U85)</f>
        <v>0</v>
      </c>
      <c r="I115" s="181">
        <f>SUMIF(Выводы!$F$28:$U$28,tables!I$63,Выводы!$F85:$U85)</f>
        <v>0</v>
      </c>
      <c r="J115" s="181">
        <f>SUMIF(Выводы!$F$28:$U$28,tables!J$63,Выводы!$F85:$U85)</f>
        <v>0</v>
      </c>
      <c r="K115" s="181">
        <f>SUMIF(Выводы!$F$28:$U$28,tables!K$63,Выводы!$F85:$U85)</f>
        <v>0</v>
      </c>
      <c r="L115" s="181">
        <f>SUMIF(Выводы!$F$28:$U$28,tables!L$63,Выводы!$F85:$U85)</f>
        <v>0</v>
      </c>
      <c r="M115" s="181">
        <f>SUMIF(Выводы!$F$28:$U$28,tables!M$63,Выводы!$F85:$U85)</f>
        <v>0</v>
      </c>
      <c r="N115" s="181">
        <f>SUMIF(Выводы!$F$28:$U$28,tables!N$63,Выводы!$F85:$U85)</f>
        <v>0</v>
      </c>
      <c r="O115" s="181">
        <f>SUMIF(Выводы!$F$28:$U$28,tables!O$63,Выводы!$F85:$U85)</f>
        <v>0</v>
      </c>
      <c r="P115" s="181">
        <f>SUMIF(Выводы!$F$28:$U$28,tables!P$63,Выводы!$F85:$U85)</f>
        <v>0</v>
      </c>
      <c r="Q115" s="181">
        <f>SUMIF(Выводы!$F$28:$U$28,tables!Q$63,Выводы!$F85:$U85)</f>
        <v>0</v>
      </c>
      <c r="R115" s="181">
        <f>SUMIF(Выводы!$F$28:$U$28,tables!R$63,Выводы!$F85:$U85)</f>
        <v>0</v>
      </c>
    </row>
    <row r="116" spans="2:18">
      <c r="B116" s="176" t="s">
        <v>139</v>
      </c>
      <c r="C116" s="180">
        <f>SUMIF(Выводы!$F$28:$U$28,tables!C$63,Выводы!$F86:$U86)</f>
        <v>0</v>
      </c>
      <c r="D116" s="180">
        <f>SUMIF(Выводы!$F$28:$U$28,tables!D$63,Выводы!$F86:$U86)</f>
        <v>0</v>
      </c>
      <c r="E116" s="180">
        <f>SUMIF(Выводы!$F$28:$U$28,tables!E$63,Выводы!$F86:$U86)</f>
        <v>0</v>
      </c>
      <c r="F116" s="180">
        <f>SUMIF(Выводы!$F$28:$U$28,tables!F$63,Выводы!$F86:$U86)</f>
        <v>0</v>
      </c>
      <c r="G116" s="180">
        <f>SUMIF(Выводы!$F$28:$U$28,tables!G$63,Выводы!$F86:$U86)</f>
        <v>0</v>
      </c>
      <c r="H116" s="180">
        <f>SUMIF(Выводы!$F$28:$U$28,tables!H$63,Выводы!$F86:$U86)</f>
        <v>0</v>
      </c>
      <c r="I116" s="180">
        <f>SUMIF(Выводы!$F$28:$U$28,tables!I$63,Выводы!$F86:$U86)</f>
        <v>0</v>
      </c>
      <c r="J116" s="180">
        <f>SUMIF(Выводы!$F$28:$U$28,tables!J$63,Выводы!$F86:$U86)</f>
        <v>0</v>
      </c>
      <c r="K116" s="180">
        <f>SUMIF(Выводы!$F$28:$U$28,tables!K$63,Выводы!$F86:$U86)</f>
        <v>0</v>
      </c>
      <c r="L116" s="180">
        <f>SUMIF(Выводы!$F$28:$U$28,tables!L$63,Выводы!$F86:$U86)</f>
        <v>0</v>
      </c>
      <c r="M116" s="180">
        <f>SUMIF(Выводы!$F$28:$U$28,tables!M$63,Выводы!$F86:$U86)</f>
        <v>0</v>
      </c>
      <c r="N116" s="180">
        <f>SUMIF(Выводы!$F$28:$U$28,tables!N$63,Выводы!$F86:$U86)</f>
        <v>0</v>
      </c>
      <c r="O116" s="180">
        <f>SUMIF(Выводы!$F$28:$U$28,tables!O$63,Выводы!$F86:$U86)</f>
        <v>0</v>
      </c>
      <c r="P116" s="180">
        <f>SUMIF(Выводы!$F$28:$U$28,tables!P$63,Выводы!$F86:$U86)</f>
        <v>0</v>
      </c>
      <c r="Q116" s="180">
        <f>SUMIF(Выводы!$F$28:$U$28,tables!Q$63,Выводы!$F86:$U86)</f>
        <v>0</v>
      </c>
      <c r="R116" s="180">
        <f>SUMIF(Выводы!$F$28:$U$28,tables!R$63,Выводы!$F86:$U86)</f>
        <v>0</v>
      </c>
    </row>
    <row r="117" spans="2:18">
      <c r="B117" s="176" t="s">
        <v>141</v>
      </c>
      <c r="C117" s="180">
        <f>SUMIF(Выводы!$F$28:$U$28,tables!C$63,Выводы!$F87:$U87)</f>
        <v>0</v>
      </c>
      <c r="D117" s="180">
        <f>SUMIF(Выводы!$F$28:$U$28,tables!D$63,Выводы!$F87:$U87)</f>
        <v>0</v>
      </c>
      <c r="E117" s="180">
        <f>SUMIF(Выводы!$F$28:$U$28,tables!E$63,Выводы!$F87:$U87)</f>
        <v>0</v>
      </c>
      <c r="F117" s="180">
        <f>SUMIF(Выводы!$F$28:$U$28,tables!F$63,Выводы!$F87:$U87)</f>
        <v>0</v>
      </c>
      <c r="G117" s="180">
        <f>SUMIF(Выводы!$F$28:$U$28,tables!G$63,Выводы!$F87:$U87)</f>
        <v>0</v>
      </c>
      <c r="H117" s="180">
        <f>SUMIF(Выводы!$F$28:$U$28,tables!H$63,Выводы!$F87:$U87)</f>
        <v>0</v>
      </c>
      <c r="I117" s="180">
        <f>SUMIF(Выводы!$F$28:$U$28,tables!I$63,Выводы!$F87:$U87)</f>
        <v>0</v>
      </c>
      <c r="J117" s="180">
        <f>SUMIF(Выводы!$F$28:$U$28,tables!J$63,Выводы!$F87:$U87)</f>
        <v>0</v>
      </c>
      <c r="K117" s="180">
        <f>SUMIF(Выводы!$F$28:$U$28,tables!K$63,Выводы!$F87:$U87)</f>
        <v>0</v>
      </c>
      <c r="L117" s="180">
        <f>SUMIF(Выводы!$F$28:$U$28,tables!L$63,Выводы!$F87:$U87)</f>
        <v>0</v>
      </c>
      <c r="M117" s="180">
        <f>SUMIF(Выводы!$F$28:$U$28,tables!M$63,Выводы!$F87:$U87)</f>
        <v>0</v>
      </c>
      <c r="N117" s="180">
        <f>SUMIF(Выводы!$F$28:$U$28,tables!N$63,Выводы!$F87:$U87)</f>
        <v>0</v>
      </c>
      <c r="O117" s="180">
        <f>SUMIF(Выводы!$F$28:$U$28,tables!O$63,Выводы!$F87:$U87)</f>
        <v>0</v>
      </c>
      <c r="P117" s="180">
        <f>SUMIF(Выводы!$F$28:$U$28,tables!P$63,Выводы!$F87:$U87)</f>
        <v>0</v>
      </c>
      <c r="Q117" s="180">
        <f>SUMIF(Выводы!$F$28:$U$28,tables!Q$63,Выводы!$F87:$U87)</f>
        <v>0</v>
      </c>
      <c r="R117" s="180">
        <f>SUMIF(Выводы!$F$28:$U$28,tables!R$63,Выводы!$F87:$U87)</f>
        <v>0</v>
      </c>
    </row>
    <row r="118" spans="2:18">
      <c r="B118" s="176" t="s">
        <v>460</v>
      </c>
      <c r="C118" s="180">
        <f>SUMIF(Выводы!$F$28:$U$28,tables!C$63,Выводы!$F88:$U88)</f>
        <v>0</v>
      </c>
      <c r="D118" s="180">
        <f>SUMIF(Выводы!$F$28:$U$28,tables!D$63,Выводы!$F88:$U88)</f>
        <v>0</v>
      </c>
      <c r="E118" s="180">
        <f>SUMIF(Выводы!$F$28:$U$28,tables!E$63,Выводы!$F88:$U88)</f>
        <v>0</v>
      </c>
      <c r="F118" s="180">
        <f>SUMIF(Выводы!$F$28:$U$28,tables!F$63,Выводы!$F88:$U88)</f>
        <v>0</v>
      </c>
      <c r="G118" s="180">
        <f>SUMIF(Выводы!$F$28:$U$28,tables!G$63,Выводы!$F88:$U88)</f>
        <v>0</v>
      </c>
      <c r="H118" s="180">
        <f>SUMIF(Выводы!$F$28:$U$28,tables!H$63,Выводы!$F88:$U88)</f>
        <v>0</v>
      </c>
      <c r="I118" s="180">
        <f>SUMIF(Выводы!$F$28:$U$28,tables!I$63,Выводы!$F88:$U88)</f>
        <v>0</v>
      </c>
      <c r="J118" s="180">
        <f>SUMIF(Выводы!$F$28:$U$28,tables!J$63,Выводы!$F88:$U88)</f>
        <v>0</v>
      </c>
      <c r="K118" s="180">
        <f>SUMIF(Выводы!$F$28:$U$28,tables!K$63,Выводы!$F88:$U88)</f>
        <v>0</v>
      </c>
      <c r="L118" s="180">
        <f>SUMIF(Выводы!$F$28:$U$28,tables!L$63,Выводы!$F88:$U88)</f>
        <v>0</v>
      </c>
      <c r="M118" s="180">
        <f>SUMIF(Выводы!$F$28:$U$28,tables!M$63,Выводы!$F88:$U88)</f>
        <v>0</v>
      </c>
      <c r="N118" s="180">
        <f>SUMIF(Выводы!$F$28:$U$28,tables!N$63,Выводы!$F88:$U88)</f>
        <v>0</v>
      </c>
      <c r="O118" s="180">
        <f>SUMIF(Выводы!$F$28:$U$28,tables!O$63,Выводы!$F88:$U88)</f>
        <v>0</v>
      </c>
      <c r="P118" s="180">
        <f>SUMIF(Выводы!$F$28:$U$28,tables!P$63,Выводы!$F88:$U88)</f>
        <v>0</v>
      </c>
      <c r="Q118" s="180">
        <f>SUMIF(Выводы!$F$28:$U$28,tables!Q$63,Выводы!$F88:$U88)</f>
        <v>0</v>
      </c>
      <c r="R118" s="180">
        <f>SUMIF(Выводы!$F$28:$U$28,tables!R$63,Выводы!$F88:$U88)</f>
        <v>0</v>
      </c>
    </row>
    <row r="119" spans="2:18">
      <c r="B119" s="176" t="s">
        <v>137</v>
      </c>
      <c r="C119" s="180">
        <f>SUMIF(Выводы!$F$28:$U$28,tables!C$63,Выводы!$F89:$U89)</f>
        <v>0</v>
      </c>
      <c r="D119" s="180">
        <f>SUMIF(Выводы!$F$28:$U$28,tables!D$63,Выводы!$F89:$U89)</f>
        <v>0</v>
      </c>
      <c r="E119" s="180">
        <f>SUMIF(Выводы!$F$28:$U$28,tables!E$63,Выводы!$F89:$U89)</f>
        <v>0</v>
      </c>
      <c r="F119" s="180">
        <f>SUMIF(Выводы!$F$28:$U$28,tables!F$63,Выводы!$F89:$U89)</f>
        <v>0</v>
      </c>
      <c r="G119" s="180">
        <f>SUMIF(Выводы!$F$28:$U$28,tables!G$63,Выводы!$F89:$U89)</f>
        <v>0</v>
      </c>
      <c r="H119" s="180">
        <f>SUMIF(Выводы!$F$28:$U$28,tables!H$63,Выводы!$F89:$U89)</f>
        <v>0</v>
      </c>
      <c r="I119" s="180">
        <f>SUMIF(Выводы!$F$28:$U$28,tables!I$63,Выводы!$F89:$U89)</f>
        <v>0</v>
      </c>
      <c r="J119" s="180">
        <f>SUMIF(Выводы!$F$28:$U$28,tables!J$63,Выводы!$F89:$U89)</f>
        <v>0</v>
      </c>
      <c r="K119" s="180">
        <f>SUMIF(Выводы!$F$28:$U$28,tables!K$63,Выводы!$F89:$U89)</f>
        <v>0</v>
      </c>
      <c r="L119" s="180">
        <f>SUMIF(Выводы!$F$28:$U$28,tables!L$63,Выводы!$F89:$U89)</f>
        <v>0</v>
      </c>
      <c r="M119" s="180">
        <f>SUMIF(Выводы!$F$28:$U$28,tables!M$63,Выводы!$F89:$U89)</f>
        <v>0</v>
      </c>
      <c r="N119" s="180">
        <f>SUMIF(Выводы!$F$28:$U$28,tables!N$63,Выводы!$F89:$U89)</f>
        <v>0</v>
      </c>
      <c r="O119" s="180">
        <f>SUMIF(Выводы!$F$28:$U$28,tables!O$63,Выводы!$F89:$U89)</f>
        <v>0</v>
      </c>
      <c r="P119" s="180">
        <f>SUMIF(Выводы!$F$28:$U$28,tables!P$63,Выводы!$F89:$U89)</f>
        <v>0</v>
      </c>
      <c r="Q119" s="180">
        <f>SUMIF(Выводы!$F$28:$U$28,tables!Q$63,Выводы!$F89:$U89)</f>
        <v>0</v>
      </c>
      <c r="R119" s="180">
        <f>SUMIF(Выводы!$F$28:$U$28,tables!R$63,Выводы!$F89:$U89)</f>
        <v>0</v>
      </c>
    </row>
    <row r="120" spans="2:18">
      <c r="B120" s="176" t="s">
        <v>142</v>
      </c>
      <c r="C120" s="180">
        <f>SUMIF(Выводы!$F$28:$U$28,tables!C$63,Выводы!$F91:$U91)</f>
        <v>0</v>
      </c>
      <c r="D120" s="180">
        <f>SUMIF(Выводы!$F$28:$U$28,tables!D$63,Выводы!$F91:$U91)</f>
        <v>0</v>
      </c>
      <c r="E120" s="180">
        <f>SUMIF(Выводы!$F$28:$U$28,tables!E$63,Выводы!$F91:$U91)</f>
        <v>0</v>
      </c>
      <c r="F120" s="180">
        <f>SUMIF(Выводы!$F$28:$U$28,tables!F$63,Выводы!$F91:$U91)</f>
        <v>0</v>
      </c>
      <c r="G120" s="180">
        <f>SUMIF(Выводы!$F$28:$U$28,tables!G$63,Выводы!$F91:$U91)</f>
        <v>0</v>
      </c>
      <c r="H120" s="180">
        <f>SUMIF(Выводы!$F$28:$U$28,tables!H$63,Выводы!$F91:$U91)</f>
        <v>0</v>
      </c>
      <c r="I120" s="180">
        <f>SUMIF(Выводы!$F$28:$U$28,tables!I$63,Выводы!$F91:$U91)</f>
        <v>0</v>
      </c>
      <c r="J120" s="180">
        <f>SUMIF(Выводы!$F$28:$U$28,tables!J$63,Выводы!$F91:$U91)</f>
        <v>0</v>
      </c>
      <c r="K120" s="180">
        <f>SUMIF(Выводы!$F$28:$U$28,tables!K$63,Выводы!$F91:$U91)</f>
        <v>0</v>
      </c>
      <c r="L120" s="180">
        <f>SUMIF(Выводы!$F$28:$U$28,tables!L$63,Выводы!$F91:$U91)</f>
        <v>0</v>
      </c>
      <c r="M120" s="180">
        <f>SUMIF(Выводы!$F$28:$U$28,tables!M$63,Выводы!$F91:$U91)</f>
        <v>0</v>
      </c>
      <c r="N120" s="180">
        <f>SUMIF(Выводы!$F$28:$U$28,tables!N$63,Выводы!$F91:$U91)</f>
        <v>0</v>
      </c>
      <c r="O120" s="180">
        <f>SUMIF(Выводы!$F$28:$U$28,tables!O$63,Выводы!$F91:$U91)</f>
        <v>0</v>
      </c>
      <c r="P120" s="180">
        <f>SUMIF(Выводы!$F$28:$U$28,tables!P$63,Выводы!$F91:$U91)</f>
        <v>0</v>
      </c>
      <c r="Q120" s="180">
        <f>SUMIF(Выводы!$F$28:$U$28,tables!Q$63,Выводы!$F91:$U91)</f>
        <v>0</v>
      </c>
      <c r="R120" s="180">
        <f>SUMIF(Выводы!$F$28:$U$28,tables!R$63,Выводы!$F91:$U91)</f>
        <v>0</v>
      </c>
    </row>
    <row r="121" spans="2:18">
      <c r="B121" s="176" t="s">
        <v>143</v>
      </c>
      <c r="C121" s="180">
        <f>SUMIF(Выводы!$F$28:$U$28,tables!C$63,Выводы!$F92:$U92)</f>
        <v>0</v>
      </c>
      <c r="D121" s="180">
        <f>SUMIF(Выводы!$F$28:$U$28,tables!D$63,Выводы!$F92:$U92)</f>
        <v>0</v>
      </c>
      <c r="E121" s="180">
        <f>SUMIF(Выводы!$F$28:$U$28,tables!E$63,Выводы!$F92:$U92)</f>
        <v>0</v>
      </c>
      <c r="F121" s="180">
        <f>SUMIF(Выводы!$F$28:$U$28,tables!F$63,Выводы!$F92:$U92)</f>
        <v>0</v>
      </c>
      <c r="G121" s="180">
        <f>SUMIF(Выводы!$F$28:$U$28,tables!G$63,Выводы!$F92:$U92)</f>
        <v>0</v>
      </c>
      <c r="H121" s="180">
        <f>SUMIF(Выводы!$F$28:$U$28,tables!H$63,Выводы!$F92:$U92)</f>
        <v>0</v>
      </c>
      <c r="I121" s="180">
        <f>SUMIF(Выводы!$F$28:$U$28,tables!I$63,Выводы!$F92:$U92)</f>
        <v>0</v>
      </c>
      <c r="J121" s="180">
        <f>SUMIF(Выводы!$F$28:$U$28,tables!J$63,Выводы!$F92:$U92)</f>
        <v>0</v>
      </c>
      <c r="K121" s="180">
        <f>SUMIF(Выводы!$F$28:$U$28,tables!K$63,Выводы!$F92:$U92)</f>
        <v>0</v>
      </c>
      <c r="L121" s="180">
        <f>SUMIF(Выводы!$F$28:$U$28,tables!L$63,Выводы!$F92:$U92)</f>
        <v>0</v>
      </c>
      <c r="M121" s="180">
        <f>SUMIF(Выводы!$F$28:$U$28,tables!M$63,Выводы!$F92:$U92)</f>
        <v>0</v>
      </c>
      <c r="N121" s="180">
        <f>SUMIF(Выводы!$F$28:$U$28,tables!N$63,Выводы!$F92:$U92)</f>
        <v>0</v>
      </c>
      <c r="O121" s="180">
        <f>SUMIF(Выводы!$F$28:$U$28,tables!O$63,Выводы!$F92:$U92)</f>
        <v>0</v>
      </c>
      <c r="P121" s="180">
        <f>SUMIF(Выводы!$F$28:$U$28,tables!P$63,Выводы!$F92:$U92)</f>
        <v>0</v>
      </c>
      <c r="Q121" s="180">
        <f>SUMIF(Выводы!$F$28:$U$28,tables!Q$63,Выводы!$F92:$U92)</f>
        <v>0</v>
      </c>
      <c r="R121" s="180">
        <f>SUMIF(Выводы!$F$28:$U$28,tables!R$63,Выводы!$F92:$U92)</f>
        <v>0</v>
      </c>
    </row>
    <row r="123" spans="2:18">
      <c r="G123" s="186" t="s">
        <v>461</v>
      </c>
    </row>
    <row r="125" spans="2:18">
      <c r="B125" s="175" t="s">
        <v>128</v>
      </c>
      <c r="C125" s="175" t="s">
        <v>155</v>
      </c>
      <c r="D125" s="556" t="s">
        <v>152</v>
      </c>
      <c r="E125" s="563"/>
      <c r="F125" s="563"/>
      <c r="G125" s="563"/>
      <c r="H125" s="563"/>
      <c r="I125" s="563"/>
      <c r="J125" s="563"/>
      <c r="K125" s="563"/>
      <c r="L125" s="563"/>
      <c r="M125" s="563"/>
      <c r="N125" s="557"/>
    </row>
    <row r="126" spans="2:18" ht="15" customHeight="1">
      <c r="B126" s="560" t="s">
        <v>251</v>
      </c>
      <c r="C126" s="184"/>
      <c r="D126" s="185" t="e">
        <f>#REF!</f>
        <v>#REF!</v>
      </c>
      <c r="E126" s="185" t="e">
        <f>#REF!</f>
        <v>#REF!</v>
      </c>
      <c r="F126" s="185" t="e">
        <f>#REF!</f>
        <v>#REF!</v>
      </c>
      <c r="G126" s="185" t="e">
        <f>#REF!</f>
        <v>#REF!</v>
      </c>
      <c r="H126" s="185" t="e">
        <f>#REF!</f>
        <v>#REF!</v>
      </c>
      <c r="I126" s="185" t="e">
        <f>#REF!</f>
        <v>#REF!</v>
      </c>
      <c r="J126" s="185" t="e">
        <f>#REF!</f>
        <v>#REF!</v>
      </c>
      <c r="K126" s="185" t="e">
        <f>#REF!</f>
        <v>#REF!</v>
      </c>
      <c r="L126" s="185" t="e">
        <f>#REF!</f>
        <v>#REF!</v>
      </c>
      <c r="M126" s="185" t="e">
        <f>#REF!</f>
        <v>#REF!</v>
      </c>
      <c r="N126" s="185" t="e">
        <f>#REF!</f>
        <v>#REF!</v>
      </c>
      <c r="O126" s="192"/>
    </row>
    <row r="127" spans="2:18">
      <c r="B127" s="561"/>
      <c r="C127" s="176" t="s">
        <v>153</v>
      </c>
      <c r="D127" s="181" t="e">
        <f>#REF!</f>
        <v>#REF!</v>
      </c>
      <c r="E127" s="181" t="e">
        <f>#REF!</f>
        <v>#REF!</v>
      </c>
      <c r="F127" s="181" t="e">
        <f>#REF!</f>
        <v>#REF!</v>
      </c>
      <c r="G127" s="181" t="e">
        <f>#REF!</f>
        <v>#REF!</v>
      </c>
      <c r="H127" s="181" t="e">
        <f>#REF!</f>
        <v>#REF!</v>
      </c>
      <c r="I127" s="181" t="e">
        <f>#REF!</f>
        <v>#REF!</v>
      </c>
      <c r="J127" s="181" t="e">
        <f>#REF!</f>
        <v>#REF!</v>
      </c>
      <c r="K127" s="181" t="e">
        <f>#REF!</f>
        <v>#REF!</v>
      </c>
      <c r="L127" s="181" t="e">
        <f>#REF!</f>
        <v>#REF!</v>
      </c>
      <c r="M127" s="181" t="e">
        <f>#REF!</f>
        <v>#REF!</v>
      </c>
      <c r="N127" s="181" t="e">
        <f>#REF!</f>
        <v>#REF!</v>
      </c>
    </row>
    <row r="128" spans="2:18">
      <c r="B128" s="561"/>
      <c r="C128" s="176" t="s">
        <v>154</v>
      </c>
      <c r="D128" s="180" t="e">
        <f>#REF!</f>
        <v>#REF!</v>
      </c>
      <c r="E128" s="180" t="e">
        <f>#REF!</f>
        <v>#REF!</v>
      </c>
      <c r="F128" s="180" t="e">
        <f>#REF!</f>
        <v>#REF!</v>
      </c>
      <c r="G128" s="180" t="e">
        <f>#REF!</f>
        <v>#REF!</v>
      </c>
      <c r="H128" s="180" t="e">
        <f>#REF!</f>
        <v>#REF!</v>
      </c>
      <c r="I128" s="180" t="e">
        <f>#REF!</f>
        <v>#REF!</v>
      </c>
      <c r="J128" s="180" t="e">
        <f>#REF!</f>
        <v>#REF!</v>
      </c>
      <c r="K128" s="180" t="e">
        <f>#REF!</f>
        <v>#REF!</v>
      </c>
      <c r="L128" s="180" t="e">
        <f>#REF!</f>
        <v>#REF!</v>
      </c>
      <c r="M128" s="180" t="e">
        <f>#REF!</f>
        <v>#REF!</v>
      </c>
      <c r="N128" s="180" t="e">
        <f>#REF!</f>
        <v>#REF!</v>
      </c>
    </row>
    <row r="129" spans="2:14" ht="25.5">
      <c r="B129" s="562"/>
      <c r="C129" s="176" t="s">
        <v>415</v>
      </c>
      <c r="D129" s="181" t="e">
        <f>#REF!</f>
        <v>#REF!</v>
      </c>
      <c r="E129" s="181" t="e">
        <f>#REF!</f>
        <v>#REF!</v>
      </c>
      <c r="F129" s="181" t="e">
        <f>#REF!</f>
        <v>#REF!</v>
      </c>
      <c r="G129" s="181" t="e">
        <f>#REF!</f>
        <v>#REF!</v>
      </c>
      <c r="H129" s="181" t="e">
        <f>#REF!</f>
        <v>#REF!</v>
      </c>
      <c r="I129" s="181" t="e">
        <f>#REF!</f>
        <v>#REF!</v>
      </c>
      <c r="J129" s="181" t="e">
        <f>#REF!</f>
        <v>#REF!</v>
      </c>
      <c r="K129" s="181" t="e">
        <f>#REF!</f>
        <v>#REF!</v>
      </c>
      <c r="L129" s="181" t="e">
        <f>#REF!</f>
        <v>#REF!</v>
      </c>
      <c r="M129" s="181" t="e">
        <f>#REF!</f>
        <v>#REF!</v>
      </c>
      <c r="N129" s="181" t="e">
        <f>#REF!</f>
        <v>#REF!</v>
      </c>
    </row>
    <row r="130" spans="2:14">
      <c r="B130" s="560" t="s">
        <v>252</v>
      </c>
      <c r="C130" s="184"/>
      <c r="D130" s="185" t="e">
        <f>#REF!</f>
        <v>#REF!</v>
      </c>
      <c r="E130" s="185" t="e">
        <f>#REF!</f>
        <v>#REF!</v>
      </c>
      <c r="F130" s="185" t="e">
        <f>#REF!</f>
        <v>#REF!</v>
      </c>
      <c r="G130" s="185" t="e">
        <f>#REF!</f>
        <v>#REF!</v>
      </c>
      <c r="H130" s="185" t="e">
        <f>#REF!</f>
        <v>#REF!</v>
      </c>
      <c r="I130" s="185" t="e">
        <f>#REF!</f>
        <v>#REF!</v>
      </c>
      <c r="J130" s="185" t="e">
        <f>#REF!</f>
        <v>#REF!</v>
      </c>
      <c r="K130" s="185" t="e">
        <f>#REF!</f>
        <v>#REF!</v>
      </c>
      <c r="L130" s="185" t="e">
        <f>#REF!</f>
        <v>#REF!</v>
      </c>
      <c r="M130" s="185" t="e">
        <f>#REF!</f>
        <v>#REF!</v>
      </c>
      <c r="N130" s="185" t="e">
        <f>#REF!</f>
        <v>#REF!</v>
      </c>
    </row>
    <row r="131" spans="2:14">
      <c r="B131" s="561"/>
      <c r="C131" s="176" t="s">
        <v>153</v>
      </c>
      <c r="D131" s="181" t="e">
        <f>#REF!</f>
        <v>#REF!</v>
      </c>
      <c r="E131" s="181" t="e">
        <f>#REF!</f>
        <v>#REF!</v>
      </c>
      <c r="F131" s="181" t="e">
        <f>#REF!</f>
        <v>#REF!</v>
      </c>
      <c r="G131" s="181" t="e">
        <f>#REF!</f>
        <v>#REF!</v>
      </c>
      <c r="H131" s="181" t="e">
        <f>#REF!</f>
        <v>#REF!</v>
      </c>
      <c r="I131" s="181" t="e">
        <f>#REF!</f>
        <v>#REF!</v>
      </c>
      <c r="J131" s="181" t="e">
        <f>#REF!</f>
        <v>#REF!</v>
      </c>
      <c r="K131" s="181" t="e">
        <f>#REF!</f>
        <v>#REF!</v>
      </c>
      <c r="L131" s="181" t="e">
        <f>#REF!</f>
        <v>#REF!</v>
      </c>
      <c r="M131" s="181" t="e">
        <f>#REF!</f>
        <v>#REF!</v>
      </c>
      <c r="N131" s="181" t="e">
        <f>#REF!</f>
        <v>#REF!</v>
      </c>
    </row>
    <row r="132" spans="2:14">
      <c r="B132" s="561"/>
      <c r="C132" s="176" t="s">
        <v>154</v>
      </c>
      <c r="D132" s="180" t="e">
        <f>#REF!</f>
        <v>#REF!</v>
      </c>
      <c r="E132" s="180" t="e">
        <f>#REF!</f>
        <v>#REF!</v>
      </c>
      <c r="F132" s="180" t="e">
        <f>#REF!</f>
        <v>#REF!</v>
      </c>
      <c r="G132" s="180" t="e">
        <f>#REF!</f>
        <v>#REF!</v>
      </c>
      <c r="H132" s="180" t="e">
        <f>#REF!</f>
        <v>#REF!</v>
      </c>
      <c r="I132" s="180" t="e">
        <f>#REF!</f>
        <v>#REF!</v>
      </c>
      <c r="J132" s="180" t="e">
        <f>#REF!</f>
        <v>#REF!</v>
      </c>
      <c r="K132" s="180" t="e">
        <f>#REF!</f>
        <v>#REF!</v>
      </c>
      <c r="L132" s="180" t="e">
        <f>#REF!</f>
        <v>#REF!</v>
      </c>
      <c r="M132" s="180" t="e">
        <f>#REF!</f>
        <v>#REF!</v>
      </c>
      <c r="N132" s="180" t="e">
        <f>#REF!</f>
        <v>#REF!</v>
      </c>
    </row>
    <row r="133" spans="2:14" ht="25.5">
      <c r="B133" s="562"/>
      <c r="C133" s="176" t="s">
        <v>415</v>
      </c>
      <c r="D133" s="181" t="e">
        <f>#REF!</f>
        <v>#REF!</v>
      </c>
      <c r="E133" s="181" t="e">
        <f>#REF!</f>
        <v>#REF!</v>
      </c>
      <c r="F133" s="181" t="e">
        <f>#REF!</f>
        <v>#REF!</v>
      </c>
      <c r="G133" s="181" t="e">
        <f>#REF!</f>
        <v>#REF!</v>
      </c>
      <c r="H133" s="181" t="e">
        <f>#REF!</f>
        <v>#REF!</v>
      </c>
      <c r="I133" s="181" t="e">
        <f>#REF!</f>
        <v>#REF!</v>
      </c>
      <c r="J133" s="181" t="e">
        <f>#REF!</f>
        <v>#REF!</v>
      </c>
      <c r="K133" s="181" t="e">
        <f>#REF!</f>
        <v>#REF!</v>
      </c>
      <c r="L133" s="181" t="e">
        <f>#REF!</f>
        <v>#REF!</v>
      </c>
      <c r="M133" s="181" t="e">
        <f>#REF!</f>
        <v>#REF!</v>
      </c>
      <c r="N133" s="181" t="e">
        <f>#REF!</f>
        <v>#REF!</v>
      </c>
    </row>
    <row r="134" spans="2:14">
      <c r="B134" s="560" t="s">
        <v>349</v>
      </c>
      <c r="C134" s="184"/>
      <c r="D134" s="185" t="e">
        <f>#REF!</f>
        <v>#REF!</v>
      </c>
      <c r="E134" s="185" t="e">
        <f>#REF!</f>
        <v>#REF!</v>
      </c>
      <c r="F134" s="185" t="e">
        <f>#REF!</f>
        <v>#REF!</v>
      </c>
      <c r="G134" s="185" t="e">
        <f>#REF!</f>
        <v>#REF!</v>
      </c>
      <c r="H134" s="185" t="e">
        <f>#REF!</f>
        <v>#REF!</v>
      </c>
      <c r="I134" s="185" t="e">
        <f>#REF!</f>
        <v>#REF!</v>
      </c>
      <c r="J134" s="185" t="e">
        <f>#REF!</f>
        <v>#REF!</v>
      </c>
      <c r="K134" s="185" t="e">
        <f>#REF!</f>
        <v>#REF!</v>
      </c>
      <c r="L134" s="185" t="e">
        <f>#REF!</f>
        <v>#REF!</v>
      </c>
      <c r="M134" s="185" t="e">
        <f>#REF!</f>
        <v>#REF!</v>
      </c>
      <c r="N134" s="185" t="e">
        <f>#REF!</f>
        <v>#REF!</v>
      </c>
    </row>
    <row r="135" spans="2:14">
      <c r="B135" s="561"/>
      <c r="C135" s="176" t="s">
        <v>153</v>
      </c>
      <c r="D135" s="181" t="e">
        <f>#REF!</f>
        <v>#REF!</v>
      </c>
      <c r="E135" s="181" t="e">
        <f>#REF!</f>
        <v>#REF!</v>
      </c>
      <c r="F135" s="181" t="e">
        <f>#REF!</f>
        <v>#REF!</v>
      </c>
      <c r="G135" s="181" t="e">
        <f>#REF!</f>
        <v>#REF!</v>
      </c>
      <c r="H135" s="181" t="e">
        <f>#REF!</f>
        <v>#REF!</v>
      </c>
      <c r="I135" s="181" t="e">
        <f>#REF!</f>
        <v>#REF!</v>
      </c>
      <c r="J135" s="181" t="e">
        <f>#REF!</f>
        <v>#REF!</v>
      </c>
      <c r="K135" s="181" t="e">
        <f>#REF!</f>
        <v>#REF!</v>
      </c>
      <c r="L135" s="181" t="e">
        <f>#REF!</f>
        <v>#REF!</v>
      </c>
      <c r="M135" s="181" t="e">
        <f>#REF!</f>
        <v>#REF!</v>
      </c>
      <c r="N135" s="181" t="e">
        <f>#REF!</f>
        <v>#REF!</v>
      </c>
    </row>
    <row r="136" spans="2:14">
      <c r="B136" s="561"/>
      <c r="C136" s="176" t="s">
        <v>154</v>
      </c>
      <c r="D136" s="180" t="e">
        <f>#REF!</f>
        <v>#REF!</v>
      </c>
      <c r="E136" s="180" t="e">
        <f>#REF!</f>
        <v>#REF!</v>
      </c>
      <c r="F136" s="180" t="e">
        <f>#REF!</f>
        <v>#REF!</v>
      </c>
      <c r="G136" s="180" t="e">
        <f>#REF!</f>
        <v>#REF!</v>
      </c>
      <c r="H136" s="180" t="e">
        <f>#REF!</f>
        <v>#REF!</v>
      </c>
      <c r="I136" s="180" t="e">
        <f>#REF!</f>
        <v>#REF!</v>
      </c>
      <c r="J136" s="180" t="e">
        <f>#REF!</f>
        <v>#REF!</v>
      </c>
      <c r="K136" s="180" t="e">
        <f>#REF!</f>
        <v>#REF!</v>
      </c>
      <c r="L136" s="180" t="e">
        <f>#REF!</f>
        <v>#REF!</v>
      </c>
      <c r="M136" s="180" t="e">
        <f>#REF!</f>
        <v>#REF!</v>
      </c>
      <c r="N136" s="180" t="e">
        <f>#REF!</f>
        <v>#REF!</v>
      </c>
    </row>
    <row r="137" spans="2:14" ht="25.5">
      <c r="B137" s="562"/>
      <c r="C137" s="176" t="s">
        <v>415</v>
      </c>
      <c r="D137" s="181" t="e">
        <f>#REF!</f>
        <v>#REF!</v>
      </c>
      <c r="E137" s="181" t="e">
        <f>#REF!</f>
        <v>#REF!</v>
      </c>
      <c r="F137" s="181" t="e">
        <f>#REF!</f>
        <v>#REF!</v>
      </c>
      <c r="G137" s="181" t="e">
        <f>#REF!</f>
        <v>#REF!</v>
      </c>
      <c r="H137" s="181" t="e">
        <f>#REF!</f>
        <v>#REF!</v>
      </c>
      <c r="I137" s="181" t="e">
        <f>#REF!</f>
        <v>#REF!</v>
      </c>
      <c r="J137" s="181" t="e">
        <f>#REF!</f>
        <v>#REF!</v>
      </c>
      <c r="K137" s="181" t="e">
        <f>#REF!</f>
        <v>#REF!</v>
      </c>
      <c r="L137" s="181" t="e">
        <f>#REF!</f>
        <v>#REF!</v>
      </c>
      <c r="M137" s="181" t="e">
        <f>#REF!</f>
        <v>#REF!</v>
      </c>
      <c r="N137" s="181" t="e">
        <f>#REF!</f>
        <v>#REF!</v>
      </c>
    </row>
    <row r="138" spans="2:14">
      <c r="B138" s="560" t="s">
        <v>253</v>
      </c>
      <c r="C138" s="184"/>
      <c r="D138" s="185" t="e">
        <f>#REF!</f>
        <v>#REF!</v>
      </c>
      <c r="E138" s="185" t="e">
        <f>#REF!</f>
        <v>#REF!</v>
      </c>
      <c r="F138" s="185" t="e">
        <f>#REF!</f>
        <v>#REF!</v>
      </c>
      <c r="G138" s="185" t="e">
        <f>#REF!</f>
        <v>#REF!</v>
      </c>
      <c r="H138" s="185" t="e">
        <f>#REF!</f>
        <v>#REF!</v>
      </c>
      <c r="I138" s="185" t="e">
        <f>#REF!</f>
        <v>#REF!</v>
      </c>
      <c r="J138" s="185" t="e">
        <f>#REF!</f>
        <v>#REF!</v>
      </c>
      <c r="K138" s="185" t="e">
        <f>#REF!</f>
        <v>#REF!</v>
      </c>
      <c r="L138" s="185" t="e">
        <f>#REF!</f>
        <v>#REF!</v>
      </c>
      <c r="M138" s="185" t="e">
        <f>#REF!</f>
        <v>#REF!</v>
      </c>
      <c r="N138" s="185" t="e">
        <f>#REF!</f>
        <v>#REF!</v>
      </c>
    </row>
    <row r="139" spans="2:14">
      <c r="B139" s="561"/>
      <c r="C139" s="176" t="s">
        <v>153</v>
      </c>
      <c r="D139" s="181" t="e">
        <f>#REF!</f>
        <v>#REF!</v>
      </c>
      <c r="E139" s="181" t="e">
        <f>#REF!</f>
        <v>#REF!</v>
      </c>
      <c r="F139" s="181" t="e">
        <f>#REF!</f>
        <v>#REF!</v>
      </c>
      <c r="G139" s="181" t="e">
        <f>#REF!</f>
        <v>#REF!</v>
      </c>
      <c r="H139" s="181" t="e">
        <f>#REF!</f>
        <v>#REF!</v>
      </c>
      <c r="I139" s="181" t="e">
        <f>#REF!</f>
        <v>#REF!</v>
      </c>
      <c r="J139" s="181" t="e">
        <f>#REF!</f>
        <v>#REF!</v>
      </c>
      <c r="K139" s="181" t="e">
        <f>#REF!</f>
        <v>#REF!</v>
      </c>
      <c r="L139" s="181" t="e">
        <f>#REF!</f>
        <v>#REF!</v>
      </c>
      <c r="M139" s="181" t="e">
        <f>#REF!</f>
        <v>#REF!</v>
      </c>
      <c r="N139" s="181" t="e">
        <f>#REF!</f>
        <v>#REF!</v>
      </c>
    </row>
    <row r="140" spans="2:14">
      <c r="B140" s="561"/>
      <c r="C140" s="176" t="s">
        <v>154</v>
      </c>
      <c r="D140" s="180" t="e">
        <f>#REF!</f>
        <v>#REF!</v>
      </c>
      <c r="E140" s="180" t="e">
        <f>#REF!</f>
        <v>#REF!</v>
      </c>
      <c r="F140" s="180" t="e">
        <f>#REF!</f>
        <v>#REF!</v>
      </c>
      <c r="G140" s="180" t="e">
        <f>#REF!</f>
        <v>#REF!</v>
      </c>
      <c r="H140" s="180" t="e">
        <f>#REF!</f>
        <v>#REF!</v>
      </c>
      <c r="I140" s="180" t="e">
        <f>#REF!</f>
        <v>#REF!</v>
      </c>
      <c r="J140" s="180" t="e">
        <f>#REF!</f>
        <v>#REF!</v>
      </c>
      <c r="K140" s="180" t="e">
        <f>#REF!</f>
        <v>#REF!</v>
      </c>
      <c r="L140" s="180" t="e">
        <f>#REF!</f>
        <v>#REF!</v>
      </c>
      <c r="M140" s="180" t="e">
        <f>#REF!</f>
        <v>#REF!</v>
      </c>
      <c r="N140" s="180" t="e">
        <f>#REF!</f>
        <v>#REF!</v>
      </c>
    </row>
    <row r="141" spans="2:14" ht="25.5">
      <c r="B141" s="562"/>
      <c r="C141" s="176" t="s">
        <v>415</v>
      </c>
      <c r="D141" s="181" t="e">
        <f>#REF!</f>
        <v>#REF!</v>
      </c>
      <c r="E141" s="181" t="e">
        <f>#REF!</f>
        <v>#REF!</v>
      </c>
      <c r="F141" s="181" t="e">
        <f>#REF!</f>
        <v>#REF!</v>
      </c>
      <c r="G141" s="181" t="e">
        <f>#REF!</f>
        <v>#REF!</v>
      </c>
      <c r="H141" s="181" t="e">
        <f>#REF!</f>
        <v>#REF!</v>
      </c>
      <c r="I141" s="181" t="e">
        <f>#REF!</f>
        <v>#REF!</v>
      </c>
      <c r="J141" s="181" t="e">
        <f>#REF!</f>
        <v>#REF!</v>
      </c>
      <c r="K141" s="181" t="e">
        <f>#REF!</f>
        <v>#REF!</v>
      </c>
      <c r="L141" s="181" t="e">
        <f>#REF!</f>
        <v>#REF!</v>
      </c>
      <c r="M141" s="181" t="e">
        <f>#REF!</f>
        <v>#REF!</v>
      </c>
      <c r="N141" s="181" t="e">
        <f>#REF!</f>
        <v>#REF!</v>
      </c>
    </row>
    <row r="142" spans="2:14">
      <c r="B142" s="560" t="s">
        <v>254</v>
      </c>
      <c r="C142" s="184"/>
      <c r="D142" s="185" t="e">
        <f>#REF!</f>
        <v>#REF!</v>
      </c>
      <c r="E142" s="185" t="e">
        <f>#REF!</f>
        <v>#REF!</v>
      </c>
      <c r="F142" s="185" t="e">
        <f>#REF!</f>
        <v>#REF!</v>
      </c>
      <c r="G142" s="185" t="e">
        <f>#REF!</f>
        <v>#REF!</v>
      </c>
      <c r="H142" s="185" t="e">
        <f>#REF!</f>
        <v>#REF!</v>
      </c>
      <c r="I142" s="185" t="e">
        <f>#REF!</f>
        <v>#REF!</v>
      </c>
      <c r="J142" s="185" t="e">
        <f>#REF!</f>
        <v>#REF!</v>
      </c>
      <c r="K142" s="185" t="e">
        <f>#REF!</f>
        <v>#REF!</v>
      </c>
      <c r="L142" s="185" t="e">
        <f>#REF!</f>
        <v>#REF!</v>
      </c>
      <c r="M142" s="185" t="e">
        <f>#REF!</f>
        <v>#REF!</v>
      </c>
      <c r="N142" s="185" t="e">
        <f>#REF!</f>
        <v>#REF!</v>
      </c>
    </row>
    <row r="143" spans="2:14">
      <c r="B143" s="561"/>
      <c r="C143" s="176" t="s">
        <v>153</v>
      </c>
      <c r="D143" s="181" t="e">
        <f>#REF!</f>
        <v>#REF!</v>
      </c>
      <c r="E143" s="181" t="e">
        <f>#REF!</f>
        <v>#REF!</v>
      </c>
      <c r="F143" s="181" t="e">
        <f>#REF!</f>
        <v>#REF!</v>
      </c>
      <c r="G143" s="181" t="e">
        <f>#REF!</f>
        <v>#REF!</v>
      </c>
      <c r="H143" s="181" t="e">
        <f>#REF!</f>
        <v>#REF!</v>
      </c>
      <c r="I143" s="181" t="e">
        <f>#REF!</f>
        <v>#REF!</v>
      </c>
      <c r="J143" s="181" t="e">
        <f>#REF!</f>
        <v>#REF!</v>
      </c>
      <c r="K143" s="181" t="e">
        <f>#REF!</f>
        <v>#REF!</v>
      </c>
      <c r="L143" s="181" t="e">
        <f>#REF!</f>
        <v>#REF!</v>
      </c>
      <c r="M143" s="181" t="e">
        <f>#REF!</f>
        <v>#REF!</v>
      </c>
      <c r="N143" s="181" t="e">
        <f>#REF!</f>
        <v>#REF!</v>
      </c>
    </row>
    <row r="144" spans="2:14">
      <c r="B144" s="561"/>
      <c r="C144" s="176" t="s">
        <v>154</v>
      </c>
      <c r="D144" s="180" t="e">
        <f>#REF!</f>
        <v>#REF!</v>
      </c>
      <c r="E144" s="180" t="e">
        <f>#REF!</f>
        <v>#REF!</v>
      </c>
      <c r="F144" s="180" t="e">
        <f>#REF!</f>
        <v>#REF!</v>
      </c>
      <c r="G144" s="180" t="e">
        <f>#REF!</f>
        <v>#REF!</v>
      </c>
      <c r="H144" s="180" t="e">
        <f>#REF!</f>
        <v>#REF!</v>
      </c>
      <c r="I144" s="180" t="e">
        <f>#REF!</f>
        <v>#REF!</v>
      </c>
      <c r="J144" s="180" t="e">
        <f>#REF!</f>
        <v>#REF!</v>
      </c>
      <c r="K144" s="180" t="e">
        <f>#REF!</f>
        <v>#REF!</v>
      </c>
      <c r="L144" s="180" t="e">
        <f>#REF!</f>
        <v>#REF!</v>
      </c>
      <c r="M144" s="180" t="e">
        <f>#REF!</f>
        <v>#REF!</v>
      </c>
      <c r="N144" s="180" t="e">
        <f>#REF!</f>
        <v>#REF!</v>
      </c>
    </row>
    <row r="145" spans="1:19" ht="25.5">
      <c r="B145" s="562"/>
      <c r="C145" s="176" t="s">
        <v>415</v>
      </c>
      <c r="D145" s="181" t="e">
        <f>#REF!</f>
        <v>#REF!</v>
      </c>
      <c r="E145" s="181" t="e">
        <f>#REF!</f>
        <v>#REF!</v>
      </c>
      <c r="F145" s="181" t="e">
        <f>#REF!</f>
        <v>#REF!</v>
      </c>
      <c r="G145" s="181" t="e">
        <f>#REF!</f>
        <v>#REF!</v>
      </c>
      <c r="H145" s="181" t="e">
        <f>#REF!</f>
        <v>#REF!</v>
      </c>
      <c r="I145" s="181" t="e">
        <f>#REF!</f>
        <v>#REF!</v>
      </c>
      <c r="J145" s="181" t="e">
        <f>#REF!</f>
        <v>#REF!</v>
      </c>
      <c r="K145" s="181" t="e">
        <f>#REF!</f>
        <v>#REF!</v>
      </c>
      <c r="L145" s="181" t="e">
        <f>#REF!</f>
        <v>#REF!</v>
      </c>
      <c r="M145" s="181" t="e">
        <f>#REF!</f>
        <v>#REF!</v>
      </c>
      <c r="N145" s="181" t="e">
        <f>#REF!</f>
        <v>#REF!</v>
      </c>
    </row>
    <row r="146" spans="1:19">
      <c r="B146" s="560" t="s">
        <v>280</v>
      </c>
      <c r="C146" s="184"/>
      <c r="D146" s="185" t="e">
        <f>#REF!</f>
        <v>#REF!</v>
      </c>
      <c r="E146" s="185" t="e">
        <f>#REF!</f>
        <v>#REF!</v>
      </c>
      <c r="F146" s="185" t="e">
        <f>#REF!</f>
        <v>#REF!</v>
      </c>
      <c r="G146" s="185" t="e">
        <f>#REF!</f>
        <v>#REF!</v>
      </c>
      <c r="H146" s="185" t="e">
        <f>#REF!</f>
        <v>#REF!</v>
      </c>
      <c r="I146" s="185" t="e">
        <f>#REF!</f>
        <v>#REF!</v>
      </c>
      <c r="J146" s="185" t="e">
        <f>#REF!</f>
        <v>#REF!</v>
      </c>
      <c r="K146" s="185" t="e">
        <f>#REF!</f>
        <v>#REF!</v>
      </c>
      <c r="L146" s="185" t="e">
        <f>#REF!</f>
        <v>#REF!</v>
      </c>
      <c r="M146" s="185" t="e">
        <f>#REF!</f>
        <v>#REF!</v>
      </c>
      <c r="N146" s="185" t="e">
        <f>#REF!</f>
        <v>#REF!</v>
      </c>
    </row>
    <row r="147" spans="1:19">
      <c r="B147" s="561"/>
      <c r="C147" s="176" t="s">
        <v>153</v>
      </c>
      <c r="D147" s="181" t="e">
        <f>#REF!</f>
        <v>#REF!</v>
      </c>
      <c r="E147" s="181" t="e">
        <f>#REF!</f>
        <v>#REF!</v>
      </c>
      <c r="F147" s="181" t="e">
        <f>#REF!</f>
        <v>#REF!</v>
      </c>
      <c r="G147" s="181" t="e">
        <f>#REF!</f>
        <v>#REF!</v>
      </c>
      <c r="H147" s="181" t="e">
        <f>#REF!</f>
        <v>#REF!</v>
      </c>
      <c r="I147" s="181" t="e">
        <f>#REF!</f>
        <v>#REF!</v>
      </c>
      <c r="J147" s="181" t="e">
        <f>#REF!</f>
        <v>#REF!</v>
      </c>
      <c r="K147" s="181" t="e">
        <f>#REF!</f>
        <v>#REF!</v>
      </c>
      <c r="L147" s="181" t="e">
        <f>#REF!</f>
        <v>#REF!</v>
      </c>
      <c r="M147" s="181" t="e">
        <f>#REF!</f>
        <v>#REF!</v>
      </c>
      <c r="N147" s="181" t="e">
        <f>#REF!</f>
        <v>#REF!</v>
      </c>
    </row>
    <row r="148" spans="1:19">
      <c r="B148" s="562"/>
      <c r="C148" s="176" t="s">
        <v>154</v>
      </c>
      <c r="D148" s="180" t="e">
        <f>#REF!</f>
        <v>#REF!</v>
      </c>
      <c r="E148" s="180" t="e">
        <f>#REF!</f>
        <v>#REF!</v>
      </c>
      <c r="F148" s="180" t="e">
        <f>#REF!</f>
        <v>#REF!</v>
      </c>
      <c r="G148" s="180" t="e">
        <f>#REF!</f>
        <v>#REF!</v>
      </c>
      <c r="H148" s="180" t="e">
        <f>#REF!</f>
        <v>#REF!</v>
      </c>
      <c r="I148" s="180" t="e">
        <f>#REF!</f>
        <v>#REF!</v>
      </c>
      <c r="J148" s="180" t="e">
        <f>#REF!</f>
        <v>#REF!</v>
      </c>
      <c r="K148" s="180" t="e">
        <f>#REF!</f>
        <v>#REF!</v>
      </c>
      <c r="L148" s="180" t="e">
        <f>#REF!</f>
        <v>#REF!</v>
      </c>
      <c r="M148" s="180" t="e">
        <f>#REF!</f>
        <v>#REF!</v>
      </c>
      <c r="N148" s="180" t="e">
        <f>#REF!</f>
        <v>#REF!</v>
      </c>
    </row>
    <row r="149" spans="1:19">
      <c r="B149" s="193"/>
      <c r="C149" s="194"/>
      <c r="D149" s="195"/>
      <c r="E149" s="195"/>
      <c r="F149" s="195"/>
      <c r="G149" s="195"/>
      <c r="H149" s="195"/>
      <c r="I149" s="195"/>
      <c r="J149" s="195"/>
      <c r="K149" s="195"/>
      <c r="L149" s="195"/>
      <c r="M149" s="195"/>
      <c r="N149" s="195"/>
    </row>
    <row r="150" spans="1:19">
      <c r="B150" s="188"/>
      <c r="G150" s="188" t="s">
        <v>462</v>
      </c>
    </row>
    <row r="151" spans="1:19" ht="25.5">
      <c r="A151" s="175" t="s">
        <v>481</v>
      </c>
      <c r="B151" s="175" t="s">
        <v>482</v>
      </c>
      <c r="C151" s="175" t="e">
        <f t="shared" ref="C151:R151" si="18">C4</f>
        <v>#REF!</v>
      </c>
      <c r="D151" s="175" t="e">
        <f t="shared" si="18"/>
        <v>#REF!</v>
      </c>
      <c r="E151" s="175" t="e">
        <f t="shared" si="18"/>
        <v>#REF!</v>
      </c>
      <c r="F151" s="175" t="e">
        <f t="shared" si="18"/>
        <v>#REF!</v>
      </c>
      <c r="G151" s="175" t="e">
        <f t="shared" si="18"/>
        <v>#REF!</v>
      </c>
      <c r="H151" s="175" t="e">
        <f t="shared" si="18"/>
        <v>#REF!</v>
      </c>
      <c r="I151" s="175" t="e">
        <f t="shared" si="18"/>
        <v>#REF!</v>
      </c>
      <c r="J151" s="175" t="e">
        <f t="shared" si="18"/>
        <v>#REF!</v>
      </c>
      <c r="K151" s="175" t="e">
        <f t="shared" si="18"/>
        <v>#REF!</v>
      </c>
      <c r="L151" s="175" t="e">
        <f t="shared" si="18"/>
        <v>#REF!</v>
      </c>
      <c r="M151" s="175" t="e">
        <f t="shared" si="18"/>
        <v>#REF!</v>
      </c>
      <c r="N151" s="175" t="e">
        <f t="shared" si="18"/>
        <v>#REF!</v>
      </c>
      <c r="O151" s="175" t="e">
        <f t="shared" si="18"/>
        <v>#REF!</v>
      </c>
      <c r="P151" s="175" t="e">
        <f t="shared" si="18"/>
        <v>#REF!</v>
      </c>
      <c r="Q151" s="175" t="e">
        <f t="shared" si="18"/>
        <v>#REF!</v>
      </c>
      <c r="R151" s="175" t="e">
        <f t="shared" si="18"/>
        <v>#REF!</v>
      </c>
      <c r="S151" s="175" t="s">
        <v>12</v>
      </c>
    </row>
    <row r="152" spans="1:19">
      <c r="A152" s="184" t="e">
        <f>#REF!</f>
        <v>#REF!</v>
      </c>
      <c r="B152" s="187">
        <f>Предпосылки!D102</f>
        <v>0</v>
      </c>
      <c r="C152" s="184" t="e">
        <f>SUMIF(#REF!,C$151,#REF!)</f>
        <v>#REF!</v>
      </c>
      <c r="D152" s="184" t="e">
        <f>SUMIF(#REF!,D$151,#REF!)</f>
        <v>#REF!</v>
      </c>
      <c r="E152" s="184" t="e">
        <f>SUMIF(#REF!,E$151,#REF!)</f>
        <v>#REF!</v>
      </c>
      <c r="F152" s="184" t="e">
        <f>SUMIF(#REF!,F$151,#REF!)</f>
        <v>#REF!</v>
      </c>
      <c r="G152" s="184" t="e">
        <f>SUMIF(#REF!,G$151,#REF!)</f>
        <v>#REF!</v>
      </c>
      <c r="H152" s="184" t="e">
        <f>SUMIF(#REF!,H$151,#REF!)</f>
        <v>#REF!</v>
      </c>
      <c r="I152" s="184" t="e">
        <f>SUMIF(#REF!,I$151,#REF!)</f>
        <v>#REF!</v>
      </c>
      <c r="J152" s="184" t="e">
        <f>SUMIF(#REF!,J$151,#REF!)</f>
        <v>#REF!</v>
      </c>
      <c r="K152" s="184" t="e">
        <f>SUMIF(#REF!,K$151,#REF!)</f>
        <v>#REF!</v>
      </c>
      <c r="L152" s="184" t="e">
        <f>SUMIF(#REF!,L$151,#REF!)</f>
        <v>#REF!</v>
      </c>
      <c r="M152" s="184" t="e">
        <f>SUMIF(#REF!,M$151,#REF!)</f>
        <v>#REF!</v>
      </c>
      <c r="N152" s="184" t="e">
        <f>SUMIF(#REF!,N$151,#REF!)</f>
        <v>#REF!</v>
      </c>
      <c r="O152" s="184" t="e">
        <f>SUMIF(#REF!,O$151,#REF!)</f>
        <v>#REF!</v>
      </c>
      <c r="P152" s="184" t="e">
        <f>SUMIF(#REF!,P$151,#REF!)</f>
        <v>#REF!</v>
      </c>
      <c r="Q152" s="184" t="e">
        <f>SUMIF(#REF!,Q$151,#REF!)</f>
        <v>#REF!</v>
      </c>
      <c r="R152" s="184" t="e">
        <f>SUMIF(#REF!,R$151,#REF!)</f>
        <v>#REF!</v>
      </c>
      <c r="S152" s="184" t="e">
        <f>SUM(C152:R152)</f>
        <v>#REF!</v>
      </c>
    </row>
    <row r="153" spans="1:19">
      <c r="A153" s="184" t="e">
        <f>#REF!</f>
        <v>#REF!</v>
      </c>
      <c r="B153" s="187">
        <f>Предпосылки!D103</f>
        <v>0</v>
      </c>
      <c r="C153" s="184" t="e">
        <f>SUMIF(#REF!,C$151,#REF!)</f>
        <v>#REF!</v>
      </c>
      <c r="D153" s="184" t="e">
        <f>SUMIF(#REF!,D$151,#REF!)</f>
        <v>#REF!</v>
      </c>
      <c r="E153" s="184" t="e">
        <f>SUMIF(#REF!,E$151,#REF!)</f>
        <v>#REF!</v>
      </c>
      <c r="F153" s="184" t="e">
        <f>SUMIF(#REF!,F$151,#REF!)</f>
        <v>#REF!</v>
      </c>
      <c r="G153" s="184" t="e">
        <f>SUMIF(#REF!,G$151,#REF!)</f>
        <v>#REF!</v>
      </c>
      <c r="H153" s="184" t="e">
        <f>SUMIF(#REF!,H$151,#REF!)</f>
        <v>#REF!</v>
      </c>
      <c r="I153" s="184" t="e">
        <f>SUMIF(#REF!,I$151,#REF!)</f>
        <v>#REF!</v>
      </c>
      <c r="J153" s="184" t="e">
        <f>SUMIF(#REF!,J$151,#REF!)</f>
        <v>#REF!</v>
      </c>
      <c r="K153" s="184" t="e">
        <f>SUMIF(#REF!,K$151,#REF!)</f>
        <v>#REF!</v>
      </c>
      <c r="L153" s="184" t="e">
        <f>SUMIF(#REF!,L$151,#REF!)</f>
        <v>#REF!</v>
      </c>
      <c r="M153" s="184" t="e">
        <f>SUMIF(#REF!,M$151,#REF!)</f>
        <v>#REF!</v>
      </c>
      <c r="N153" s="184" t="e">
        <f>SUMIF(#REF!,N$151,#REF!)</f>
        <v>#REF!</v>
      </c>
      <c r="O153" s="184" t="e">
        <f>SUMIF(#REF!,O$151,#REF!)</f>
        <v>#REF!</v>
      </c>
      <c r="P153" s="184" t="e">
        <f>SUMIF(#REF!,P$151,#REF!)</f>
        <v>#REF!</v>
      </c>
      <c r="Q153" s="184" t="e">
        <f>SUMIF(#REF!,Q$151,#REF!)</f>
        <v>#REF!</v>
      </c>
      <c r="R153" s="184" t="e">
        <f>SUMIF(#REF!,R$151,#REF!)</f>
        <v>#REF!</v>
      </c>
      <c r="S153" s="184" t="e">
        <f t="shared" ref="S153:S171" si="19">SUM(C153:R153)</f>
        <v>#REF!</v>
      </c>
    </row>
    <row r="154" spans="1:19">
      <c r="A154" s="184" t="e">
        <f>#REF!</f>
        <v>#REF!</v>
      </c>
      <c r="B154" s="187">
        <f>Предпосылки!D104</f>
        <v>0</v>
      </c>
      <c r="C154" s="184" t="e">
        <f>SUMIF(#REF!,C$151,#REF!)</f>
        <v>#REF!</v>
      </c>
      <c r="D154" s="184" t="e">
        <f>SUMIF(#REF!,D$151,#REF!)</f>
        <v>#REF!</v>
      </c>
      <c r="E154" s="184" t="e">
        <f>SUMIF(#REF!,E$151,#REF!)</f>
        <v>#REF!</v>
      </c>
      <c r="F154" s="184" t="e">
        <f>SUMIF(#REF!,F$151,#REF!)</f>
        <v>#REF!</v>
      </c>
      <c r="G154" s="184" t="e">
        <f>SUMIF(#REF!,G$151,#REF!)</f>
        <v>#REF!</v>
      </c>
      <c r="H154" s="184" t="e">
        <f>SUMIF(#REF!,H$151,#REF!)</f>
        <v>#REF!</v>
      </c>
      <c r="I154" s="184" t="e">
        <f>SUMIF(#REF!,I$151,#REF!)</f>
        <v>#REF!</v>
      </c>
      <c r="J154" s="184" t="e">
        <f>SUMIF(#REF!,J$151,#REF!)</f>
        <v>#REF!</v>
      </c>
      <c r="K154" s="184" t="e">
        <f>SUMIF(#REF!,K$151,#REF!)</f>
        <v>#REF!</v>
      </c>
      <c r="L154" s="184" t="e">
        <f>SUMIF(#REF!,L$151,#REF!)</f>
        <v>#REF!</v>
      </c>
      <c r="M154" s="184" t="e">
        <f>SUMIF(#REF!,M$151,#REF!)</f>
        <v>#REF!</v>
      </c>
      <c r="N154" s="184" t="e">
        <f>SUMIF(#REF!,N$151,#REF!)</f>
        <v>#REF!</v>
      </c>
      <c r="O154" s="184" t="e">
        <f>SUMIF(#REF!,O$151,#REF!)</f>
        <v>#REF!</v>
      </c>
      <c r="P154" s="184" t="e">
        <f>SUMIF(#REF!,P$151,#REF!)</f>
        <v>#REF!</v>
      </c>
      <c r="Q154" s="184" t="e">
        <f>SUMIF(#REF!,Q$151,#REF!)</f>
        <v>#REF!</v>
      </c>
      <c r="R154" s="184" t="e">
        <f>SUMIF(#REF!,R$151,#REF!)</f>
        <v>#REF!</v>
      </c>
      <c r="S154" s="184" t="e">
        <f t="shared" si="19"/>
        <v>#REF!</v>
      </c>
    </row>
    <row r="155" spans="1:19">
      <c r="A155" s="184" t="e">
        <f>#REF!</f>
        <v>#REF!</v>
      </c>
      <c r="B155" s="187">
        <f>Предпосылки!D105</f>
        <v>0</v>
      </c>
      <c r="C155" s="184" t="e">
        <f>SUMIF(#REF!,C$151,#REF!)</f>
        <v>#REF!</v>
      </c>
      <c r="D155" s="184" t="e">
        <f>SUMIF(#REF!,D$151,#REF!)</f>
        <v>#REF!</v>
      </c>
      <c r="E155" s="184" t="e">
        <f>SUMIF(#REF!,E$151,#REF!)</f>
        <v>#REF!</v>
      </c>
      <c r="F155" s="184" t="e">
        <f>SUMIF(#REF!,F$151,#REF!)</f>
        <v>#REF!</v>
      </c>
      <c r="G155" s="184" t="e">
        <f>SUMIF(#REF!,G$151,#REF!)</f>
        <v>#REF!</v>
      </c>
      <c r="H155" s="184" t="e">
        <f>SUMIF(#REF!,H$151,#REF!)</f>
        <v>#REF!</v>
      </c>
      <c r="I155" s="184" t="e">
        <f>SUMIF(#REF!,I$151,#REF!)</f>
        <v>#REF!</v>
      </c>
      <c r="J155" s="184" t="e">
        <f>SUMIF(#REF!,J$151,#REF!)</f>
        <v>#REF!</v>
      </c>
      <c r="K155" s="184" t="e">
        <f>SUMIF(#REF!,K$151,#REF!)</f>
        <v>#REF!</v>
      </c>
      <c r="L155" s="184" t="e">
        <f>SUMIF(#REF!,L$151,#REF!)</f>
        <v>#REF!</v>
      </c>
      <c r="M155" s="184" t="e">
        <f>SUMIF(#REF!,M$151,#REF!)</f>
        <v>#REF!</v>
      </c>
      <c r="N155" s="184" t="e">
        <f>SUMIF(#REF!,N$151,#REF!)</f>
        <v>#REF!</v>
      </c>
      <c r="O155" s="184" t="e">
        <f>SUMIF(#REF!,O$151,#REF!)</f>
        <v>#REF!</v>
      </c>
      <c r="P155" s="184" t="e">
        <f>SUMIF(#REF!,P$151,#REF!)</f>
        <v>#REF!</v>
      </c>
      <c r="Q155" s="184" t="e">
        <f>SUMIF(#REF!,Q$151,#REF!)</f>
        <v>#REF!</v>
      </c>
      <c r="R155" s="184" t="e">
        <f>SUMIF(#REF!,R$151,#REF!)</f>
        <v>#REF!</v>
      </c>
      <c r="S155" s="184" t="e">
        <f t="shared" si="19"/>
        <v>#REF!</v>
      </c>
    </row>
    <row r="156" spans="1:19">
      <c r="A156" s="184" t="e">
        <f>#REF!</f>
        <v>#REF!</v>
      </c>
      <c r="B156" s="187">
        <f>Предпосылки!D106</f>
        <v>0</v>
      </c>
      <c r="C156" s="184" t="e">
        <f>SUMIF(#REF!,C$151,#REF!)</f>
        <v>#REF!</v>
      </c>
      <c r="D156" s="184" t="e">
        <f>SUMIF(#REF!,D$151,#REF!)</f>
        <v>#REF!</v>
      </c>
      <c r="E156" s="184" t="e">
        <f>SUMIF(#REF!,E$151,#REF!)</f>
        <v>#REF!</v>
      </c>
      <c r="F156" s="184" t="e">
        <f>SUMIF(#REF!,F$151,#REF!)</f>
        <v>#REF!</v>
      </c>
      <c r="G156" s="184" t="e">
        <f>SUMIF(#REF!,G$151,#REF!)</f>
        <v>#REF!</v>
      </c>
      <c r="H156" s="184" t="e">
        <f>SUMIF(#REF!,H$151,#REF!)</f>
        <v>#REF!</v>
      </c>
      <c r="I156" s="184" t="e">
        <f>SUMIF(#REF!,I$151,#REF!)</f>
        <v>#REF!</v>
      </c>
      <c r="J156" s="184" t="e">
        <f>SUMIF(#REF!,J$151,#REF!)</f>
        <v>#REF!</v>
      </c>
      <c r="K156" s="184" t="e">
        <f>SUMIF(#REF!,K$151,#REF!)</f>
        <v>#REF!</v>
      </c>
      <c r="L156" s="184" t="e">
        <f>SUMIF(#REF!,L$151,#REF!)</f>
        <v>#REF!</v>
      </c>
      <c r="M156" s="184" t="e">
        <f>SUMIF(#REF!,M$151,#REF!)</f>
        <v>#REF!</v>
      </c>
      <c r="N156" s="184" t="e">
        <f>SUMIF(#REF!,N$151,#REF!)</f>
        <v>#REF!</v>
      </c>
      <c r="O156" s="184" t="e">
        <f>SUMIF(#REF!,O$151,#REF!)</f>
        <v>#REF!</v>
      </c>
      <c r="P156" s="184" t="e">
        <f>SUMIF(#REF!,P$151,#REF!)</f>
        <v>#REF!</v>
      </c>
      <c r="Q156" s="184" t="e">
        <f>SUMIF(#REF!,Q$151,#REF!)</f>
        <v>#REF!</v>
      </c>
      <c r="R156" s="184" t="e">
        <f>SUMIF(#REF!,R$151,#REF!)</f>
        <v>#REF!</v>
      </c>
      <c r="S156" s="184" t="e">
        <f t="shared" si="19"/>
        <v>#REF!</v>
      </c>
    </row>
    <row r="157" spans="1:19">
      <c r="A157" s="184" t="e">
        <f>#REF!</f>
        <v>#REF!</v>
      </c>
      <c r="B157" s="187">
        <f>Предпосылки!D107</f>
        <v>0</v>
      </c>
      <c r="C157" s="184" t="e">
        <f>SUMIF(#REF!,C$151,#REF!)</f>
        <v>#REF!</v>
      </c>
      <c r="D157" s="184" t="e">
        <f>SUMIF(#REF!,D$151,#REF!)</f>
        <v>#REF!</v>
      </c>
      <c r="E157" s="184" t="e">
        <f>SUMIF(#REF!,E$151,#REF!)</f>
        <v>#REF!</v>
      </c>
      <c r="F157" s="184" t="e">
        <f>SUMIF(#REF!,F$151,#REF!)</f>
        <v>#REF!</v>
      </c>
      <c r="G157" s="184" t="e">
        <f>SUMIF(#REF!,G$151,#REF!)</f>
        <v>#REF!</v>
      </c>
      <c r="H157" s="184" t="e">
        <f>SUMIF(#REF!,H$151,#REF!)</f>
        <v>#REF!</v>
      </c>
      <c r="I157" s="184" t="e">
        <f>SUMIF(#REF!,I$151,#REF!)</f>
        <v>#REF!</v>
      </c>
      <c r="J157" s="184" t="e">
        <f>SUMIF(#REF!,J$151,#REF!)</f>
        <v>#REF!</v>
      </c>
      <c r="K157" s="184" t="e">
        <f>SUMIF(#REF!,K$151,#REF!)</f>
        <v>#REF!</v>
      </c>
      <c r="L157" s="184" t="e">
        <f>SUMIF(#REF!,L$151,#REF!)</f>
        <v>#REF!</v>
      </c>
      <c r="M157" s="184" t="e">
        <f>SUMIF(#REF!,M$151,#REF!)</f>
        <v>#REF!</v>
      </c>
      <c r="N157" s="184" t="e">
        <f>SUMIF(#REF!,N$151,#REF!)</f>
        <v>#REF!</v>
      </c>
      <c r="O157" s="184" t="e">
        <f>SUMIF(#REF!,O$151,#REF!)</f>
        <v>#REF!</v>
      </c>
      <c r="P157" s="184" t="e">
        <f>SUMIF(#REF!,P$151,#REF!)</f>
        <v>#REF!</v>
      </c>
      <c r="Q157" s="184" t="e">
        <f>SUMIF(#REF!,Q$151,#REF!)</f>
        <v>#REF!</v>
      </c>
      <c r="R157" s="184" t="e">
        <f>SUMIF(#REF!,R$151,#REF!)</f>
        <v>#REF!</v>
      </c>
      <c r="S157" s="184" t="e">
        <f t="shared" si="19"/>
        <v>#REF!</v>
      </c>
    </row>
    <row r="158" spans="1:19">
      <c r="A158" s="184" t="e">
        <f>#REF!</f>
        <v>#REF!</v>
      </c>
      <c r="B158" s="187">
        <f>Предпосылки!D108</f>
        <v>0</v>
      </c>
      <c r="C158" s="184" t="e">
        <f>SUMIF(#REF!,C$151,#REF!)</f>
        <v>#REF!</v>
      </c>
      <c r="D158" s="184" t="e">
        <f>SUMIF(#REF!,D$151,#REF!)</f>
        <v>#REF!</v>
      </c>
      <c r="E158" s="184" t="e">
        <f>SUMIF(#REF!,E$151,#REF!)</f>
        <v>#REF!</v>
      </c>
      <c r="F158" s="184" t="e">
        <f>SUMIF(#REF!,F$151,#REF!)</f>
        <v>#REF!</v>
      </c>
      <c r="G158" s="184" t="e">
        <f>SUMIF(#REF!,G$151,#REF!)</f>
        <v>#REF!</v>
      </c>
      <c r="H158" s="184" t="e">
        <f>SUMIF(#REF!,H$151,#REF!)</f>
        <v>#REF!</v>
      </c>
      <c r="I158" s="184" t="e">
        <f>SUMIF(#REF!,I$151,#REF!)</f>
        <v>#REF!</v>
      </c>
      <c r="J158" s="184" t="e">
        <f>SUMIF(#REF!,J$151,#REF!)</f>
        <v>#REF!</v>
      </c>
      <c r="K158" s="184" t="e">
        <f>SUMIF(#REF!,K$151,#REF!)</f>
        <v>#REF!</v>
      </c>
      <c r="L158" s="184" t="e">
        <f>SUMIF(#REF!,L$151,#REF!)</f>
        <v>#REF!</v>
      </c>
      <c r="M158" s="184" t="e">
        <f>SUMIF(#REF!,M$151,#REF!)</f>
        <v>#REF!</v>
      </c>
      <c r="N158" s="184" t="e">
        <f>SUMIF(#REF!,N$151,#REF!)</f>
        <v>#REF!</v>
      </c>
      <c r="O158" s="184" t="e">
        <f>SUMIF(#REF!,O$151,#REF!)</f>
        <v>#REF!</v>
      </c>
      <c r="P158" s="184" t="e">
        <f>SUMIF(#REF!,P$151,#REF!)</f>
        <v>#REF!</v>
      </c>
      <c r="Q158" s="184" t="e">
        <f>SUMIF(#REF!,Q$151,#REF!)</f>
        <v>#REF!</v>
      </c>
      <c r="R158" s="184" t="e">
        <f>SUMIF(#REF!,R$151,#REF!)</f>
        <v>#REF!</v>
      </c>
      <c r="S158" s="184" t="e">
        <f t="shared" si="19"/>
        <v>#REF!</v>
      </c>
    </row>
    <row r="159" spans="1:19">
      <c r="A159" s="184" t="e">
        <f>#REF!</f>
        <v>#REF!</v>
      </c>
      <c r="B159" s="187">
        <f>Предпосылки!D109</f>
        <v>0</v>
      </c>
      <c r="C159" s="184" t="e">
        <f>SUMIF(#REF!,C$151,#REF!)</f>
        <v>#REF!</v>
      </c>
      <c r="D159" s="184" t="e">
        <f>SUMIF(#REF!,D$151,#REF!)</f>
        <v>#REF!</v>
      </c>
      <c r="E159" s="184" t="e">
        <f>SUMIF(#REF!,E$151,#REF!)</f>
        <v>#REF!</v>
      </c>
      <c r="F159" s="184" t="e">
        <f>SUMIF(#REF!,F$151,#REF!)</f>
        <v>#REF!</v>
      </c>
      <c r="G159" s="184" t="e">
        <f>SUMIF(#REF!,G$151,#REF!)</f>
        <v>#REF!</v>
      </c>
      <c r="H159" s="184" t="e">
        <f>SUMIF(#REF!,H$151,#REF!)</f>
        <v>#REF!</v>
      </c>
      <c r="I159" s="184" t="e">
        <f>SUMIF(#REF!,I$151,#REF!)</f>
        <v>#REF!</v>
      </c>
      <c r="J159" s="184" t="e">
        <f>SUMIF(#REF!,J$151,#REF!)</f>
        <v>#REF!</v>
      </c>
      <c r="K159" s="184" t="e">
        <f>SUMIF(#REF!,K$151,#REF!)</f>
        <v>#REF!</v>
      </c>
      <c r="L159" s="184" t="e">
        <f>SUMIF(#REF!,L$151,#REF!)</f>
        <v>#REF!</v>
      </c>
      <c r="M159" s="184" t="e">
        <f>SUMIF(#REF!,M$151,#REF!)</f>
        <v>#REF!</v>
      </c>
      <c r="N159" s="184" t="e">
        <f>SUMIF(#REF!,N$151,#REF!)</f>
        <v>#REF!</v>
      </c>
      <c r="O159" s="184" t="e">
        <f>SUMIF(#REF!,O$151,#REF!)</f>
        <v>#REF!</v>
      </c>
      <c r="P159" s="184" t="e">
        <f>SUMIF(#REF!,P$151,#REF!)</f>
        <v>#REF!</v>
      </c>
      <c r="Q159" s="184" t="e">
        <f>SUMIF(#REF!,Q$151,#REF!)</f>
        <v>#REF!</v>
      </c>
      <c r="R159" s="184" t="e">
        <f>SUMIF(#REF!,R$151,#REF!)</f>
        <v>#REF!</v>
      </c>
      <c r="S159" s="184" t="e">
        <f t="shared" si="19"/>
        <v>#REF!</v>
      </c>
    </row>
    <row r="160" spans="1:19">
      <c r="A160" s="184" t="e">
        <f>#REF!</f>
        <v>#REF!</v>
      </c>
      <c r="B160" s="187">
        <f>Предпосылки!D110</f>
        <v>0</v>
      </c>
      <c r="C160" s="184" t="e">
        <f>SUMIF(#REF!,C$151,#REF!)</f>
        <v>#REF!</v>
      </c>
      <c r="D160" s="184" t="e">
        <f>SUMIF(#REF!,D$151,#REF!)</f>
        <v>#REF!</v>
      </c>
      <c r="E160" s="184" t="e">
        <f>SUMIF(#REF!,E$151,#REF!)</f>
        <v>#REF!</v>
      </c>
      <c r="F160" s="184" t="e">
        <f>SUMIF(#REF!,F$151,#REF!)</f>
        <v>#REF!</v>
      </c>
      <c r="G160" s="184" t="e">
        <f>SUMIF(#REF!,G$151,#REF!)</f>
        <v>#REF!</v>
      </c>
      <c r="H160" s="184" t="e">
        <f>SUMIF(#REF!,H$151,#REF!)</f>
        <v>#REF!</v>
      </c>
      <c r="I160" s="184" t="e">
        <f>SUMIF(#REF!,I$151,#REF!)</f>
        <v>#REF!</v>
      </c>
      <c r="J160" s="184" t="e">
        <f>SUMIF(#REF!,J$151,#REF!)</f>
        <v>#REF!</v>
      </c>
      <c r="K160" s="184" t="e">
        <f>SUMIF(#REF!,K$151,#REF!)</f>
        <v>#REF!</v>
      </c>
      <c r="L160" s="184" t="e">
        <f>SUMIF(#REF!,L$151,#REF!)</f>
        <v>#REF!</v>
      </c>
      <c r="M160" s="184" t="e">
        <f>SUMIF(#REF!,M$151,#REF!)</f>
        <v>#REF!</v>
      </c>
      <c r="N160" s="184" t="e">
        <f>SUMIF(#REF!,N$151,#REF!)</f>
        <v>#REF!</v>
      </c>
      <c r="O160" s="184" t="e">
        <f>SUMIF(#REF!,O$151,#REF!)</f>
        <v>#REF!</v>
      </c>
      <c r="P160" s="184" t="e">
        <f>SUMIF(#REF!,P$151,#REF!)</f>
        <v>#REF!</v>
      </c>
      <c r="Q160" s="184" t="e">
        <f>SUMIF(#REF!,Q$151,#REF!)</f>
        <v>#REF!</v>
      </c>
      <c r="R160" s="184" t="e">
        <f>SUMIF(#REF!,R$151,#REF!)</f>
        <v>#REF!</v>
      </c>
      <c r="S160" s="184" t="e">
        <f t="shared" si="19"/>
        <v>#REF!</v>
      </c>
    </row>
    <row r="161" spans="1:19">
      <c r="A161" s="184" t="e">
        <f>#REF!</f>
        <v>#REF!</v>
      </c>
      <c r="B161" s="187">
        <f>Предпосылки!D111</f>
        <v>0</v>
      </c>
      <c r="C161" s="184" t="e">
        <f>SUMIF(#REF!,C$151,#REF!)</f>
        <v>#REF!</v>
      </c>
      <c r="D161" s="184" t="e">
        <f>SUMIF(#REF!,D$151,#REF!)</f>
        <v>#REF!</v>
      </c>
      <c r="E161" s="184" t="e">
        <f>SUMIF(#REF!,E$151,#REF!)</f>
        <v>#REF!</v>
      </c>
      <c r="F161" s="184" t="e">
        <f>SUMIF(#REF!,F$151,#REF!)</f>
        <v>#REF!</v>
      </c>
      <c r="G161" s="184" t="e">
        <f>SUMIF(#REF!,G$151,#REF!)</f>
        <v>#REF!</v>
      </c>
      <c r="H161" s="184" t="e">
        <f>SUMIF(#REF!,H$151,#REF!)</f>
        <v>#REF!</v>
      </c>
      <c r="I161" s="184" t="e">
        <f>SUMIF(#REF!,I$151,#REF!)</f>
        <v>#REF!</v>
      </c>
      <c r="J161" s="184" t="e">
        <f>SUMIF(#REF!,J$151,#REF!)</f>
        <v>#REF!</v>
      </c>
      <c r="K161" s="184" t="e">
        <f>SUMIF(#REF!,K$151,#REF!)</f>
        <v>#REF!</v>
      </c>
      <c r="L161" s="184" t="e">
        <f>SUMIF(#REF!,L$151,#REF!)</f>
        <v>#REF!</v>
      </c>
      <c r="M161" s="184" t="e">
        <f>SUMIF(#REF!,M$151,#REF!)</f>
        <v>#REF!</v>
      </c>
      <c r="N161" s="184" t="e">
        <f>SUMIF(#REF!,N$151,#REF!)</f>
        <v>#REF!</v>
      </c>
      <c r="O161" s="184" t="e">
        <f>SUMIF(#REF!,O$151,#REF!)</f>
        <v>#REF!</v>
      </c>
      <c r="P161" s="184" t="e">
        <f>SUMIF(#REF!,P$151,#REF!)</f>
        <v>#REF!</v>
      </c>
      <c r="Q161" s="184" t="e">
        <f>SUMIF(#REF!,Q$151,#REF!)</f>
        <v>#REF!</v>
      </c>
      <c r="R161" s="184" t="e">
        <f>SUMIF(#REF!,R$151,#REF!)</f>
        <v>#REF!</v>
      </c>
      <c r="S161" s="184" t="e">
        <f t="shared" si="19"/>
        <v>#REF!</v>
      </c>
    </row>
    <row r="162" spans="1:19">
      <c r="A162" s="184" t="e">
        <f>#REF!</f>
        <v>#REF!</v>
      </c>
      <c r="B162" s="187">
        <f>Предпосылки!D112</f>
        <v>0</v>
      </c>
      <c r="C162" s="184" t="e">
        <f>SUMIF(#REF!,C$151,#REF!)</f>
        <v>#REF!</v>
      </c>
      <c r="D162" s="184" t="e">
        <f>SUMIF(#REF!,D$151,#REF!)</f>
        <v>#REF!</v>
      </c>
      <c r="E162" s="184" t="e">
        <f>SUMIF(#REF!,E$151,#REF!)</f>
        <v>#REF!</v>
      </c>
      <c r="F162" s="184" t="e">
        <f>SUMIF(#REF!,F$151,#REF!)</f>
        <v>#REF!</v>
      </c>
      <c r="G162" s="184" t="e">
        <f>SUMIF(#REF!,G$151,#REF!)</f>
        <v>#REF!</v>
      </c>
      <c r="H162" s="184" t="e">
        <f>SUMIF(#REF!,H$151,#REF!)</f>
        <v>#REF!</v>
      </c>
      <c r="I162" s="184" t="e">
        <f>SUMIF(#REF!,I$151,#REF!)</f>
        <v>#REF!</v>
      </c>
      <c r="J162" s="184" t="e">
        <f>SUMIF(#REF!,J$151,#REF!)</f>
        <v>#REF!</v>
      </c>
      <c r="K162" s="184" t="e">
        <f>SUMIF(#REF!,K$151,#REF!)</f>
        <v>#REF!</v>
      </c>
      <c r="L162" s="184" t="e">
        <f>SUMIF(#REF!,L$151,#REF!)</f>
        <v>#REF!</v>
      </c>
      <c r="M162" s="184" t="e">
        <f>SUMIF(#REF!,M$151,#REF!)</f>
        <v>#REF!</v>
      </c>
      <c r="N162" s="184" t="e">
        <f>SUMIF(#REF!,N$151,#REF!)</f>
        <v>#REF!</v>
      </c>
      <c r="O162" s="184" t="e">
        <f>SUMIF(#REF!,O$151,#REF!)</f>
        <v>#REF!</v>
      </c>
      <c r="P162" s="184" t="e">
        <f>SUMIF(#REF!,P$151,#REF!)</f>
        <v>#REF!</v>
      </c>
      <c r="Q162" s="184" t="e">
        <f>SUMIF(#REF!,Q$151,#REF!)</f>
        <v>#REF!</v>
      </c>
      <c r="R162" s="184" t="e">
        <f>SUMIF(#REF!,R$151,#REF!)</f>
        <v>#REF!</v>
      </c>
      <c r="S162" s="184" t="e">
        <f t="shared" si="19"/>
        <v>#REF!</v>
      </c>
    </row>
    <row r="163" spans="1:19">
      <c r="A163" s="184" t="e">
        <f>#REF!</f>
        <v>#REF!</v>
      </c>
      <c r="B163" s="187">
        <f>Предпосылки!D113</f>
        <v>0</v>
      </c>
      <c r="C163" s="184" t="e">
        <f>SUMIF(#REF!,C$151,#REF!)</f>
        <v>#REF!</v>
      </c>
      <c r="D163" s="184" t="e">
        <f>SUMIF(#REF!,D$151,#REF!)</f>
        <v>#REF!</v>
      </c>
      <c r="E163" s="184" t="e">
        <f>SUMIF(#REF!,E$151,#REF!)</f>
        <v>#REF!</v>
      </c>
      <c r="F163" s="184" t="e">
        <f>SUMIF(#REF!,F$151,#REF!)</f>
        <v>#REF!</v>
      </c>
      <c r="G163" s="184" t="e">
        <f>SUMIF(#REF!,G$151,#REF!)</f>
        <v>#REF!</v>
      </c>
      <c r="H163" s="184" t="e">
        <f>SUMIF(#REF!,H$151,#REF!)</f>
        <v>#REF!</v>
      </c>
      <c r="I163" s="184" t="e">
        <f>SUMIF(#REF!,I$151,#REF!)</f>
        <v>#REF!</v>
      </c>
      <c r="J163" s="184" t="e">
        <f>SUMIF(#REF!,J$151,#REF!)</f>
        <v>#REF!</v>
      </c>
      <c r="K163" s="184" t="e">
        <f>SUMIF(#REF!,K$151,#REF!)</f>
        <v>#REF!</v>
      </c>
      <c r="L163" s="184" t="e">
        <f>SUMIF(#REF!,L$151,#REF!)</f>
        <v>#REF!</v>
      </c>
      <c r="M163" s="184" t="e">
        <f>SUMIF(#REF!,M$151,#REF!)</f>
        <v>#REF!</v>
      </c>
      <c r="N163" s="184" t="e">
        <f>SUMIF(#REF!,N$151,#REF!)</f>
        <v>#REF!</v>
      </c>
      <c r="O163" s="184" t="e">
        <f>SUMIF(#REF!,O$151,#REF!)</f>
        <v>#REF!</v>
      </c>
      <c r="P163" s="184" t="e">
        <f>SUMIF(#REF!,P$151,#REF!)</f>
        <v>#REF!</v>
      </c>
      <c r="Q163" s="184" t="e">
        <f>SUMIF(#REF!,Q$151,#REF!)</f>
        <v>#REF!</v>
      </c>
      <c r="R163" s="184" t="e">
        <f>SUMIF(#REF!,R$151,#REF!)</f>
        <v>#REF!</v>
      </c>
      <c r="S163" s="184" t="e">
        <f t="shared" si="19"/>
        <v>#REF!</v>
      </c>
    </row>
    <row r="164" spans="1:19">
      <c r="A164" s="184" t="e">
        <f>#REF!</f>
        <v>#REF!</v>
      </c>
      <c r="B164" s="187">
        <f>Предпосылки!D114</f>
        <v>0</v>
      </c>
      <c r="C164" s="184" t="e">
        <f>SUMIF(#REF!,C$151,#REF!)</f>
        <v>#REF!</v>
      </c>
      <c r="D164" s="184" t="e">
        <f>SUMIF(#REF!,D$151,#REF!)</f>
        <v>#REF!</v>
      </c>
      <c r="E164" s="184" t="e">
        <f>SUMIF(#REF!,E$151,#REF!)</f>
        <v>#REF!</v>
      </c>
      <c r="F164" s="184" t="e">
        <f>SUMIF(#REF!,F$151,#REF!)</f>
        <v>#REF!</v>
      </c>
      <c r="G164" s="184" t="e">
        <f>SUMIF(#REF!,G$151,#REF!)</f>
        <v>#REF!</v>
      </c>
      <c r="H164" s="184" t="e">
        <f>SUMIF(#REF!,H$151,#REF!)</f>
        <v>#REF!</v>
      </c>
      <c r="I164" s="184" t="e">
        <f>SUMIF(#REF!,I$151,#REF!)</f>
        <v>#REF!</v>
      </c>
      <c r="J164" s="184" t="e">
        <f>SUMIF(#REF!,J$151,#REF!)</f>
        <v>#REF!</v>
      </c>
      <c r="K164" s="184" t="e">
        <f>SUMIF(#REF!,K$151,#REF!)</f>
        <v>#REF!</v>
      </c>
      <c r="L164" s="184" t="e">
        <f>SUMIF(#REF!,L$151,#REF!)</f>
        <v>#REF!</v>
      </c>
      <c r="M164" s="184" t="e">
        <f>SUMIF(#REF!,M$151,#REF!)</f>
        <v>#REF!</v>
      </c>
      <c r="N164" s="184" t="e">
        <f>SUMIF(#REF!,N$151,#REF!)</f>
        <v>#REF!</v>
      </c>
      <c r="O164" s="184" t="e">
        <f>SUMIF(#REF!,O$151,#REF!)</f>
        <v>#REF!</v>
      </c>
      <c r="P164" s="184" t="e">
        <f>SUMIF(#REF!,P$151,#REF!)</f>
        <v>#REF!</v>
      </c>
      <c r="Q164" s="184" t="e">
        <f>SUMIF(#REF!,Q$151,#REF!)</f>
        <v>#REF!</v>
      </c>
      <c r="R164" s="184" t="e">
        <f>SUMIF(#REF!,R$151,#REF!)</f>
        <v>#REF!</v>
      </c>
      <c r="S164" s="184" t="e">
        <f t="shared" si="19"/>
        <v>#REF!</v>
      </c>
    </row>
    <row r="165" spans="1:19">
      <c r="A165" s="184" t="e">
        <f>#REF!</f>
        <v>#REF!</v>
      </c>
      <c r="B165" s="187">
        <f>Предпосылки!D115</f>
        <v>0</v>
      </c>
      <c r="C165" s="184" t="e">
        <f>SUMIF(#REF!,C$151,#REF!)</f>
        <v>#REF!</v>
      </c>
      <c r="D165" s="184" t="e">
        <f>SUMIF(#REF!,D$151,#REF!)</f>
        <v>#REF!</v>
      </c>
      <c r="E165" s="184" t="e">
        <f>SUMIF(#REF!,E$151,#REF!)</f>
        <v>#REF!</v>
      </c>
      <c r="F165" s="184" t="e">
        <f>SUMIF(#REF!,F$151,#REF!)</f>
        <v>#REF!</v>
      </c>
      <c r="G165" s="184" t="e">
        <f>SUMIF(#REF!,G$151,#REF!)</f>
        <v>#REF!</v>
      </c>
      <c r="H165" s="184" t="e">
        <f>SUMIF(#REF!,H$151,#REF!)</f>
        <v>#REF!</v>
      </c>
      <c r="I165" s="184" t="e">
        <f>SUMIF(#REF!,I$151,#REF!)</f>
        <v>#REF!</v>
      </c>
      <c r="J165" s="184" t="e">
        <f>SUMIF(#REF!,J$151,#REF!)</f>
        <v>#REF!</v>
      </c>
      <c r="K165" s="184" t="e">
        <f>SUMIF(#REF!,K$151,#REF!)</f>
        <v>#REF!</v>
      </c>
      <c r="L165" s="184" t="e">
        <f>SUMIF(#REF!,L$151,#REF!)</f>
        <v>#REF!</v>
      </c>
      <c r="M165" s="184" t="e">
        <f>SUMIF(#REF!,M$151,#REF!)</f>
        <v>#REF!</v>
      </c>
      <c r="N165" s="184" t="e">
        <f>SUMIF(#REF!,N$151,#REF!)</f>
        <v>#REF!</v>
      </c>
      <c r="O165" s="184" t="e">
        <f>SUMIF(#REF!,O$151,#REF!)</f>
        <v>#REF!</v>
      </c>
      <c r="P165" s="184" t="e">
        <f>SUMIF(#REF!,P$151,#REF!)</f>
        <v>#REF!</v>
      </c>
      <c r="Q165" s="184" t="e">
        <f>SUMIF(#REF!,Q$151,#REF!)</f>
        <v>#REF!</v>
      </c>
      <c r="R165" s="184" t="e">
        <f>SUMIF(#REF!,R$151,#REF!)</f>
        <v>#REF!</v>
      </c>
      <c r="S165" s="184" t="e">
        <f t="shared" si="19"/>
        <v>#REF!</v>
      </c>
    </row>
    <row r="166" spans="1:19">
      <c r="A166" s="184" t="e">
        <f>#REF!</f>
        <v>#REF!</v>
      </c>
      <c r="B166" s="187">
        <f>Предпосылки!D116</f>
        <v>0</v>
      </c>
      <c r="C166" s="184" t="e">
        <f>SUMIF(#REF!,C$151,#REF!)</f>
        <v>#REF!</v>
      </c>
      <c r="D166" s="184" t="e">
        <f>SUMIF(#REF!,D$151,#REF!)</f>
        <v>#REF!</v>
      </c>
      <c r="E166" s="184" t="e">
        <f>SUMIF(#REF!,E$151,#REF!)</f>
        <v>#REF!</v>
      </c>
      <c r="F166" s="184" t="e">
        <f>SUMIF(#REF!,F$151,#REF!)</f>
        <v>#REF!</v>
      </c>
      <c r="G166" s="184" t="e">
        <f>SUMIF(#REF!,G$151,#REF!)</f>
        <v>#REF!</v>
      </c>
      <c r="H166" s="184" t="e">
        <f>SUMIF(#REF!,H$151,#REF!)</f>
        <v>#REF!</v>
      </c>
      <c r="I166" s="184" t="e">
        <f>SUMIF(#REF!,I$151,#REF!)</f>
        <v>#REF!</v>
      </c>
      <c r="J166" s="184" t="e">
        <f>SUMIF(#REF!,J$151,#REF!)</f>
        <v>#REF!</v>
      </c>
      <c r="K166" s="184" t="e">
        <f>SUMIF(#REF!,K$151,#REF!)</f>
        <v>#REF!</v>
      </c>
      <c r="L166" s="184" t="e">
        <f>SUMIF(#REF!,L$151,#REF!)</f>
        <v>#REF!</v>
      </c>
      <c r="M166" s="184" t="e">
        <f>SUMIF(#REF!,M$151,#REF!)</f>
        <v>#REF!</v>
      </c>
      <c r="N166" s="184" t="e">
        <f>SUMIF(#REF!,N$151,#REF!)</f>
        <v>#REF!</v>
      </c>
      <c r="O166" s="184" t="e">
        <f>SUMIF(#REF!,O$151,#REF!)</f>
        <v>#REF!</v>
      </c>
      <c r="P166" s="184" t="e">
        <f>SUMIF(#REF!,P$151,#REF!)</f>
        <v>#REF!</v>
      </c>
      <c r="Q166" s="184" t="e">
        <f>SUMIF(#REF!,Q$151,#REF!)</f>
        <v>#REF!</v>
      </c>
      <c r="R166" s="184" t="e">
        <f>SUMIF(#REF!,R$151,#REF!)</f>
        <v>#REF!</v>
      </c>
      <c r="S166" s="184" t="e">
        <f t="shared" si="19"/>
        <v>#REF!</v>
      </c>
    </row>
    <row r="167" spans="1:19">
      <c r="A167" s="184" t="e">
        <f>#REF!</f>
        <v>#REF!</v>
      </c>
      <c r="B167" s="187">
        <f>Предпосылки!D117</f>
        <v>0</v>
      </c>
      <c r="C167" s="184" t="e">
        <f>SUMIF(#REF!,C$151,#REF!)</f>
        <v>#REF!</v>
      </c>
      <c r="D167" s="184" t="e">
        <f>SUMIF(#REF!,D$151,#REF!)</f>
        <v>#REF!</v>
      </c>
      <c r="E167" s="184" t="e">
        <f>SUMIF(#REF!,E$151,#REF!)</f>
        <v>#REF!</v>
      </c>
      <c r="F167" s="184" t="e">
        <f>SUMIF(#REF!,F$151,#REF!)</f>
        <v>#REF!</v>
      </c>
      <c r="G167" s="184" t="e">
        <f>SUMIF(#REF!,G$151,#REF!)</f>
        <v>#REF!</v>
      </c>
      <c r="H167" s="184" t="e">
        <f>SUMIF(#REF!,H$151,#REF!)</f>
        <v>#REF!</v>
      </c>
      <c r="I167" s="184" t="e">
        <f>SUMIF(#REF!,I$151,#REF!)</f>
        <v>#REF!</v>
      </c>
      <c r="J167" s="184" t="e">
        <f>SUMIF(#REF!,J$151,#REF!)</f>
        <v>#REF!</v>
      </c>
      <c r="K167" s="184" t="e">
        <f>SUMIF(#REF!,K$151,#REF!)</f>
        <v>#REF!</v>
      </c>
      <c r="L167" s="184" t="e">
        <f>SUMIF(#REF!,L$151,#REF!)</f>
        <v>#REF!</v>
      </c>
      <c r="M167" s="184" t="e">
        <f>SUMIF(#REF!,M$151,#REF!)</f>
        <v>#REF!</v>
      </c>
      <c r="N167" s="184" t="e">
        <f>SUMIF(#REF!,N$151,#REF!)</f>
        <v>#REF!</v>
      </c>
      <c r="O167" s="184" t="e">
        <f>SUMIF(#REF!,O$151,#REF!)</f>
        <v>#REF!</v>
      </c>
      <c r="P167" s="184" t="e">
        <f>SUMIF(#REF!,P$151,#REF!)</f>
        <v>#REF!</v>
      </c>
      <c r="Q167" s="184" t="e">
        <f>SUMIF(#REF!,Q$151,#REF!)</f>
        <v>#REF!</v>
      </c>
      <c r="R167" s="184" t="e">
        <f>SUMIF(#REF!,R$151,#REF!)</f>
        <v>#REF!</v>
      </c>
      <c r="S167" s="184" t="e">
        <f t="shared" si="19"/>
        <v>#REF!</v>
      </c>
    </row>
    <row r="168" spans="1:19">
      <c r="A168" s="184" t="e">
        <f>#REF!</f>
        <v>#REF!</v>
      </c>
      <c r="B168" s="187">
        <f>Предпосылки!D118</f>
        <v>0</v>
      </c>
      <c r="C168" s="184" t="e">
        <f>SUMIF(#REF!,C$151,#REF!)</f>
        <v>#REF!</v>
      </c>
      <c r="D168" s="184" t="e">
        <f>SUMIF(#REF!,D$151,#REF!)</f>
        <v>#REF!</v>
      </c>
      <c r="E168" s="184" t="e">
        <f>SUMIF(#REF!,E$151,#REF!)</f>
        <v>#REF!</v>
      </c>
      <c r="F168" s="184" t="e">
        <f>SUMIF(#REF!,F$151,#REF!)</f>
        <v>#REF!</v>
      </c>
      <c r="G168" s="184" t="e">
        <f>SUMIF(#REF!,G$151,#REF!)</f>
        <v>#REF!</v>
      </c>
      <c r="H168" s="184" t="e">
        <f>SUMIF(#REF!,H$151,#REF!)</f>
        <v>#REF!</v>
      </c>
      <c r="I168" s="184" t="e">
        <f>SUMIF(#REF!,I$151,#REF!)</f>
        <v>#REF!</v>
      </c>
      <c r="J168" s="184" t="e">
        <f>SUMIF(#REF!,J$151,#REF!)</f>
        <v>#REF!</v>
      </c>
      <c r="K168" s="184" t="e">
        <f>SUMIF(#REF!,K$151,#REF!)</f>
        <v>#REF!</v>
      </c>
      <c r="L168" s="184" t="e">
        <f>SUMIF(#REF!,L$151,#REF!)</f>
        <v>#REF!</v>
      </c>
      <c r="M168" s="184" t="e">
        <f>SUMIF(#REF!,M$151,#REF!)</f>
        <v>#REF!</v>
      </c>
      <c r="N168" s="184" t="e">
        <f>SUMIF(#REF!,N$151,#REF!)</f>
        <v>#REF!</v>
      </c>
      <c r="O168" s="184" t="e">
        <f>SUMIF(#REF!,O$151,#REF!)</f>
        <v>#REF!</v>
      </c>
      <c r="P168" s="184" t="e">
        <f>SUMIF(#REF!,P$151,#REF!)</f>
        <v>#REF!</v>
      </c>
      <c r="Q168" s="184" t="e">
        <f>SUMIF(#REF!,Q$151,#REF!)</f>
        <v>#REF!</v>
      </c>
      <c r="R168" s="184" t="e">
        <f>SUMIF(#REF!,R$151,#REF!)</f>
        <v>#REF!</v>
      </c>
      <c r="S168" s="184" t="e">
        <f t="shared" si="19"/>
        <v>#REF!</v>
      </c>
    </row>
    <row r="169" spans="1:19">
      <c r="A169" s="184" t="e">
        <f>#REF!</f>
        <v>#REF!</v>
      </c>
      <c r="B169" s="187">
        <f>Предпосылки!D119</f>
        <v>0</v>
      </c>
      <c r="C169" s="184" t="e">
        <f>SUMIF(#REF!,C$151,#REF!)</f>
        <v>#REF!</v>
      </c>
      <c r="D169" s="184" t="e">
        <f>SUMIF(#REF!,D$151,#REF!)</f>
        <v>#REF!</v>
      </c>
      <c r="E169" s="184" t="e">
        <f>SUMIF(#REF!,E$151,#REF!)</f>
        <v>#REF!</v>
      </c>
      <c r="F169" s="184" t="e">
        <f>SUMIF(#REF!,F$151,#REF!)</f>
        <v>#REF!</v>
      </c>
      <c r="G169" s="184" t="e">
        <f>SUMIF(#REF!,G$151,#REF!)</f>
        <v>#REF!</v>
      </c>
      <c r="H169" s="184" t="e">
        <f>SUMIF(#REF!,H$151,#REF!)</f>
        <v>#REF!</v>
      </c>
      <c r="I169" s="184" t="e">
        <f>SUMIF(#REF!,I$151,#REF!)</f>
        <v>#REF!</v>
      </c>
      <c r="J169" s="184" t="e">
        <f>SUMIF(#REF!,J$151,#REF!)</f>
        <v>#REF!</v>
      </c>
      <c r="K169" s="184" t="e">
        <f>SUMIF(#REF!,K$151,#REF!)</f>
        <v>#REF!</v>
      </c>
      <c r="L169" s="184" t="e">
        <f>SUMIF(#REF!,L$151,#REF!)</f>
        <v>#REF!</v>
      </c>
      <c r="M169" s="184" t="e">
        <f>SUMIF(#REF!,M$151,#REF!)</f>
        <v>#REF!</v>
      </c>
      <c r="N169" s="184" t="e">
        <f>SUMIF(#REF!,N$151,#REF!)</f>
        <v>#REF!</v>
      </c>
      <c r="O169" s="184" t="e">
        <f>SUMIF(#REF!,O$151,#REF!)</f>
        <v>#REF!</v>
      </c>
      <c r="P169" s="184" t="e">
        <f>SUMIF(#REF!,P$151,#REF!)</f>
        <v>#REF!</v>
      </c>
      <c r="Q169" s="184" t="e">
        <f>SUMIF(#REF!,Q$151,#REF!)</f>
        <v>#REF!</v>
      </c>
      <c r="R169" s="184" t="e">
        <f>SUMIF(#REF!,R$151,#REF!)</f>
        <v>#REF!</v>
      </c>
      <c r="S169" s="184" t="e">
        <f t="shared" si="19"/>
        <v>#REF!</v>
      </c>
    </row>
    <row r="170" spans="1:19">
      <c r="A170" s="184" t="e">
        <f>#REF!</f>
        <v>#REF!</v>
      </c>
      <c r="B170" s="187">
        <f>Предпосылки!D120</f>
        <v>0</v>
      </c>
      <c r="C170" s="184" t="e">
        <f>SUMIF(#REF!,C$151,#REF!)</f>
        <v>#REF!</v>
      </c>
      <c r="D170" s="184" t="e">
        <f>SUMIF(#REF!,D$151,#REF!)</f>
        <v>#REF!</v>
      </c>
      <c r="E170" s="184" t="e">
        <f>SUMIF(#REF!,E$151,#REF!)</f>
        <v>#REF!</v>
      </c>
      <c r="F170" s="184" t="e">
        <f>SUMIF(#REF!,F$151,#REF!)</f>
        <v>#REF!</v>
      </c>
      <c r="G170" s="184" t="e">
        <f>SUMIF(#REF!,G$151,#REF!)</f>
        <v>#REF!</v>
      </c>
      <c r="H170" s="184" t="e">
        <f>SUMIF(#REF!,H$151,#REF!)</f>
        <v>#REF!</v>
      </c>
      <c r="I170" s="184" t="e">
        <f>SUMIF(#REF!,I$151,#REF!)</f>
        <v>#REF!</v>
      </c>
      <c r="J170" s="184" t="e">
        <f>SUMIF(#REF!,J$151,#REF!)</f>
        <v>#REF!</v>
      </c>
      <c r="K170" s="184" t="e">
        <f>SUMIF(#REF!,K$151,#REF!)</f>
        <v>#REF!</v>
      </c>
      <c r="L170" s="184" t="e">
        <f>SUMIF(#REF!,L$151,#REF!)</f>
        <v>#REF!</v>
      </c>
      <c r="M170" s="184" t="e">
        <f>SUMIF(#REF!,M$151,#REF!)</f>
        <v>#REF!</v>
      </c>
      <c r="N170" s="184" t="e">
        <f>SUMIF(#REF!,N$151,#REF!)</f>
        <v>#REF!</v>
      </c>
      <c r="O170" s="184" t="e">
        <f>SUMIF(#REF!,O$151,#REF!)</f>
        <v>#REF!</v>
      </c>
      <c r="P170" s="184" t="e">
        <f>SUMIF(#REF!,P$151,#REF!)</f>
        <v>#REF!</v>
      </c>
      <c r="Q170" s="184" t="e">
        <f>SUMIF(#REF!,Q$151,#REF!)</f>
        <v>#REF!</v>
      </c>
      <c r="R170" s="184" t="e">
        <f>SUMIF(#REF!,R$151,#REF!)</f>
        <v>#REF!</v>
      </c>
      <c r="S170" s="184" t="e">
        <f t="shared" si="19"/>
        <v>#REF!</v>
      </c>
    </row>
    <row r="171" spans="1:19">
      <c r="A171" s="184" t="e">
        <f>#REF!</f>
        <v>#REF!</v>
      </c>
      <c r="B171" s="187">
        <f>Предпосылки!D121</f>
        <v>0</v>
      </c>
      <c r="C171" s="184" t="e">
        <f>SUMIF(#REF!,C$151,#REF!)</f>
        <v>#REF!</v>
      </c>
      <c r="D171" s="184" t="e">
        <f>SUMIF(#REF!,D$151,#REF!)</f>
        <v>#REF!</v>
      </c>
      <c r="E171" s="184" t="e">
        <f>SUMIF(#REF!,E$151,#REF!)</f>
        <v>#REF!</v>
      </c>
      <c r="F171" s="184" t="e">
        <f>SUMIF(#REF!,F$151,#REF!)</f>
        <v>#REF!</v>
      </c>
      <c r="G171" s="184" t="e">
        <f>SUMIF(#REF!,G$151,#REF!)</f>
        <v>#REF!</v>
      </c>
      <c r="H171" s="184" t="e">
        <f>SUMIF(#REF!,H$151,#REF!)</f>
        <v>#REF!</v>
      </c>
      <c r="I171" s="184" t="e">
        <f>SUMIF(#REF!,I$151,#REF!)</f>
        <v>#REF!</v>
      </c>
      <c r="J171" s="184" t="e">
        <f>SUMIF(#REF!,J$151,#REF!)</f>
        <v>#REF!</v>
      </c>
      <c r="K171" s="184" t="e">
        <f>SUMIF(#REF!,K$151,#REF!)</f>
        <v>#REF!</v>
      </c>
      <c r="L171" s="184" t="e">
        <f>SUMIF(#REF!,L$151,#REF!)</f>
        <v>#REF!</v>
      </c>
      <c r="M171" s="184" t="e">
        <f>SUMIF(#REF!,M$151,#REF!)</f>
        <v>#REF!</v>
      </c>
      <c r="N171" s="184" t="e">
        <f>SUMIF(#REF!,N$151,#REF!)</f>
        <v>#REF!</v>
      </c>
      <c r="O171" s="184" t="e">
        <f>SUMIF(#REF!,O$151,#REF!)</f>
        <v>#REF!</v>
      </c>
      <c r="P171" s="184" t="e">
        <f>SUMIF(#REF!,P$151,#REF!)</f>
        <v>#REF!</v>
      </c>
      <c r="Q171" s="184" t="e">
        <f>SUMIF(#REF!,Q$151,#REF!)</f>
        <v>#REF!</v>
      </c>
      <c r="R171" s="184" t="e">
        <f>SUMIF(#REF!,R$151,#REF!)</f>
        <v>#REF!</v>
      </c>
      <c r="S171" s="184" t="e">
        <f t="shared" si="19"/>
        <v>#REF!</v>
      </c>
    </row>
    <row r="173" spans="1:19">
      <c r="G173" s="188" t="s">
        <v>483</v>
      </c>
    </row>
    <row r="174" spans="1:19">
      <c r="A174" s="551" t="str">
        <f>A151</f>
        <v>Вид продукции</v>
      </c>
      <c r="B174" s="551"/>
      <c r="C174" s="189" t="e">
        <f t="shared" ref="C174:R174" si="20">C4</f>
        <v>#REF!</v>
      </c>
      <c r="D174" s="189" t="e">
        <f t="shared" si="20"/>
        <v>#REF!</v>
      </c>
      <c r="E174" s="189" t="e">
        <f t="shared" si="20"/>
        <v>#REF!</v>
      </c>
      <c r="F174" s="189" t="e">
        <f t="shared" si="20"/>
        <v>#REF!</v>
      </c>
      <c r="G174" s="189" t="e">
        <f t="shared" si="20"/>
        <v>#REF!</v>
      </c>
      <c r="H174" s="189" t="e">
        <f t="shared" si="20"/>
        <v>#REF!</v>
      </c>
      <c r="I174" s="189" t="e">
        <f t="shared" si="20"/>
        <v>#REF!</v>
      </c>
      <c r="J174" s="189" t="e">
        <f t="shared" si="20"/>
        <v>#REF!</v>
      </c>
      <c r="K174" s="189" t="e">
        <f t="shared" si="20"/>
        <v>#REF!</v>
      </c>
      <c r="L174" s="189" t="e">
        <f t="shared" si="20"/>
        <v>#REF!</v>
      </c>
      <c r="M174" s="189" t="e">
        <f t="shared" si="20"/>
        <v>#REF!</v>
      </c>
      <c r="N174" s="189" t="e">
        <f t="shared" si="20"/>
        <v>#REF!</v>
      </c>
      <c r="O174" s="189" t="e">
        <f t="shared" si="20"/>
        <v>#REF!</v>
      </c>
      <c r="P174" s="189" t="e">
        <f t="shared" si="20"/>
        <v>#REF!</v>
      </c>
      <c r="Q174" s="189" t="e">
        <f t="shared" si="20"/>
        <v>#REF!</v>
      </c>
      <c r="R174" s="189" t="e">
        <f t="shared" si="20"/>
        <v>#REF!</v>
      </c>
      <c r="S174" s="189" t="s">
        <v>12</v>
      </c>
    </row>
    <row r="175" spans="1:19">
      <c r="A175" s="550" t="e">
        <f>#REF!</f>
        <v>#REF!</v>
      </c>
      <c r="B175" s="550"/>
      <c r="C175" s="205" t="e">
        <f>SUMIF(#REF!,tables!C$174,#REF!)</f>
        <v>#REF!</v>
      </c>
      <c r="D175" s="205" t="e">
        <f>SUMIF(#REF!,tables!D$174,#REF!)</f>
        <v>#REF!</v>
      </c>
      <c r="E175" s="205" t="e">
        <f>SUMIF(#REF!,tables!E$174,#REF!)</f>
        <v>#REF!</v>
      </c>
      <c r="F175" s="205" t="e">
        <f>SUMIF(#REF!,tables!F$174,#REF!)</f>
        <v>#REF!</v>
      </c>
      <c r="G175" s="205" t="e">
        <f>SUMIF(#REF!,tables!G$174,#REF!)</f>
        <v>#REF!</v>
      </c>
      <c r="H175" s="205" t="e">
        <f>SUMIF(#REF!,tables!H$174,#REF!)</f>
        <v>#REF!</v>
      </c>
      <c r="I175" s="205" t="e">
        <f>SUMIF(#REF!,tables!I$174,#REF!)</f>
        <v>#REF!</v>
      </c>
      <c r="J175" s="205" t="e">
        <f>SUMIF(#REF!,tables!J$174,#REF!)</f>
        <v>#REF!</v>
      </c>
      <c r="K175" s="205" t="e">
        <f>SUMIF(#REF!,tables!K$174,#REF!)</f>
        <v>#REF!</v>
      </c>
      <c r="L175" s="205" t="e">
        <f>SUMIF(#REF!,tables!L$174,#REF!)</f>
        <v>#REF!</v>
      </c>
      <c r="M175" s="205" t="e">
        <f>SUMIF(#REF!,tables!M$174,#REF!)</f>
        <v>#REF!</v>
      </c>
      <c r="N175" s="205" t="e">
        <f>SUMIF(#REF!,tables!N$174,#REF!)</f>
        <v>#REF!</v>
      </c>
      <c r="O175" s="205" t="e">
        <f>SUMIF(#REF!,tables!O$174,#REF!)</f>
        <v>#REF!</v>
      </c>
      <c r="P175" s="205" t="e">
        <f>SUMIF(#REF!,tables!P$174,#REF!)</f>
        <v>#REF!</v>
      </c>
      <c r="Q175" s="205" t="e">
        <f>SUMIF(#REF!,tables!Q$174,#REF!)</f>
        <v>#REF!</v>
      </c>
      <c r="R175" s="205" t="e">
        <f>SUMIF(#REF!,tables!R$174,#REF!)</f>
        <v>#REF!</v>
      </c>
      <c r="S175" s="205" t="e">
        <f>SUM(C175:R175)</f>
        <v>#REF!</v>
      </c>
    </row>
    <row r="176" spans="1:19">
      <c r="A176" s="550" t="e">
        <f>#REF!</f>
        <v>#REF!</v>
      </c>
      <c r="B176" s="550"/>
      <c r="C176" s="205" t="e">
        <f>SUMIF(#REF!,tables!C$174,#REF!)</f>
        <v>#REF!</v>
      </c>
      <c r="D176" s="205" t="e">
        <f>SUMIF(#REF!,tables!D$174,#REF!)</f>
        <v>#REF!</v>
      </c>
      <c r="E176" s="205" t="e">
        <f>SUMIF(#REF!,tables!E$174,#REF!)</f>
        <v>#REF!</v>
      </c>
      <c r="F176" s="205" t="e">
        <f>SUMIF(#REF!,tables!F$174,#REF!)</f>
        <v>#REF!</v>
      </c>
      <c r="G176" s="205" t="e">
        <f>SUMIF(#REF!,tables!G$174,#REF!)</f>
        <v>#REF!</v>
      </c>
      <c r="H176" s="205" t="e">
        <f>SUMIF(#REF!,tables!H$174,#REF!)</f>
        <v>#REF!</v>
      </c>
      <c r="I176" s="205" t="e">
        <f>SUMIF(#REF!,tables!I$174,#REF!)</f>
        <v>#REF!</v>
      </c>
      <c r="J176" s="205" t="e">
        <f>SUMIF(#REF!,tables!J$174,#REF!)</f>
        <v>#REF!</v>
      </c>
      <c r="K176" s="205" t="e">
        <f>SUMIF(#REF!,tables!K$174,#REF!)</f>
        <v>#REF!</v>
      </c>
      <c r="L176" s="205" t="e">
        <f>SUMIF(#REF!,tables!L$174,#REF!)</f>
        <v>#REF!</v>
      </c>
      <c r="M176" s="205" t="e">
        <f>SUMIF(#REF!,tables!M$174,#REF!)</f>
        <v>#REF!</v>
      </c>
      <c r="N176" s="205" t="e">
        <f>SUMIF(#REF!,tables!N$174,#REF!)</f>
        <v>#REF!</v>
      </c>
      <c r="O176" s="205" t="e">
        <f>SUMIF(#REF!,tables!O$174,#REF!)</f>
        <v>#REF!</v>
      </c>
      <c r="P176" s="205" t="e">
        <f>SUMIF(#REF!,tables!P$174,#REF!)</f>
        <v>#REF!</v>
      </c>
      <c r="Q176" s="205" t="e">
        <f>SUMIF(#REF!,tables!Q$174,#REF!)</f>
        <v>#REF!</v>
      </c>
      <c r="R176" s="205" t="e">
        <f>SUMIF(#REF!,tables!R$174,#REF!)</f>
        <v>#REF!</v>
      </c>
      <c r="S176" s="205" t="e">
        <f t="shared" ref="S176:S194" si="21">SUM(C176:R176)</f>
        <v>#REF!</v>
      </c>
    </row>
    <row r="177" spans="1:19">
      <c r="A177" s="550" t="e">
        <f>#REF!</f>
        <v>#REF!</v>
      </c>
      <c r="B177" s="550"/>
      <c r="C177" s="205" t="e">
        <f>SUMIF(#REF!,tables!C$174,#REF!)</f>
        <v>#REF!</v>
      </c>
      <c r="D177" s="205" t="e">
        <f>SUMIF(#REF!,tables!D$174,#REF!)</f>
        <v>#REF!</v>
      </c>
      <c r="E177" s="205" t="e">
        <f>SUMIF(#REF!,tables!E$174,#REF!)</f>
        <v>#REF!</v>
      </c>
      <c r="F177" s="205" t="e">
        <f>SUMIF(#REF!,tables!F$174,#REF!)</f>
        <v>#REF!</v>
      </c>
      <c r="G177" s="205" t="e">
        <f>SUMIF(#REF!,tables!G$174,#REF!)</f>
        <v>#REF!</v>
      </c>
      <c r="H177" s="205" t="e">
        <f>SUMIF(#REF!,tables!H$174,#REF!)</f>
        <v>#REF!</v>
      </c>
      <c r="I177" s="205" t="e">
        <f>SUMIF(#REF!,tables!I$174,#REF!)</f>
        <v>#REF!</v>
      </c>
      <c r="J177" s="205" t="e">
        <f>SUMIF(#REF!,tables!J$174,#REF!)</f>
        <v>#REF!</v>
      </c>
      <c r="K177" s="205" t="e">
        <f>SUMIF(#REF!,tables!K$174,#REF!)</f>
        <v>#REF!</v>
      </c>
      <c r="L177" s="205" t="e">
        <f>SUMIF(#REF!,tables!L$174,#REF!)</f>
        <v>#REF!</v>
      </c>
      <c r="M177" s="205" t="e">
        <f>SUMIF(#REF!,tables!M$174,#REF!)</f>
        <v>#REF!</v>
      </c>
      <c r="N177" s="205" t="e">
        <f>SUMIF(#REF!,tables!N$174,#REF!)</f>
        <v>#REF!</v>
      </c>
      <c r="O177" s="205" t="e">
        <f>SUMIF(#REF!,tables!O$174,#REF!)</f>
        <v>#REF!</v>
      </c>
      <c r="P177" s="205" t="e">
        <f>SUMIF(#REF!,tables!P$174,#REF!)</f>
        <v>#REF!</v>
      </c>
      <c r="Q177" s="205" t="e">
        <f>SUMIF(#REF!,tables!Q$174,#REF!)</f>
        <v>#REF!</v>
      </c>
      <c r="R177" s="205" t="e">
        <f>SUMIF(#REF!,tables!R$174,#REF!)</f>
        <v>#REF!</v>
      </c>
      <c r="S177" s="205" t="e">
        <f t="shared" si="21"/>
        <v>#REF!</v>
      </c>
    </row>
    <row r="178" spans="1:19">
      <c r="A178" s="550" t="e">
        <f>#REF!</f>
        <v>#REF!</v>
      </c>
      <c r="B178" s="550"/>
      <c r="C178" s="205" t="e">
        <f>SUMIF(#REF!,tables!C$174,#REF!)</f>
        <v>#REF!</v>
      </c>
      <c r="D178" s="205" t="e">
        <f>SUMIF(#REF!,tables!D$174,#REF!)</f>
        <v>#REF!</v>
      </c>
      <c r="E178" s="205" t="e">
        <f>SUMIF(#REF!,tables!E$174,#REF!)</f>
        <v>#REF!</v>
      </c>
      <c r="F178" s="205" t="e">
        <f>SUMIF(#REF!,tables!F$174,#REF!)</f>
        <v>#REF!</v>
      </c>
      <c r="G178" s="205" t="e">
        <f>SUMIF(#REF!,tables!G$174,#REF!)</f>
        <v>#REF!</v>
      </c>
      <c r="H178" s="205" t="e">
        <f>SUMIF(#REF!,tables!H$174,#REF!)</f>
        <v>#REF!</v>
      </c>
      <c r="I178" s="205" t="e">
        <f>SUMIF(#REF!,tables!I$174,#REF!)</f>
        <v>#REF!</v>
      </c>
      <c r="J178" s="205" t="e">
        <f>SUMIF(#REF!,tables!J$174,#REF!)</f>
        <v>#REF!</v>
      </c>
      <c r="K178" s="205" t="e">
        <f>SUMIF(#REF!,tables!K$174,#REF!)</f>
        <v>#REF!</v>
      </c>
      <c r="L178" s="205" t="e">
        <f>SUMIF(#REF!,tables!L$174,#REF!)</f>
        <v>#REF!</v>
      </c>
      <c r="M178" s="205" t="e">
        <f>SUMIF(#REF!,tables!M$174,#REF!)</f>
        <v>#REF!</v>
      </c>
      <c r="N178" s="205" t="e">
        <f>SUMIF(#REF!,tables!N$174,#REF!)</f>
        <v>#REF!</v>
      </c>
      <c r="O178" s="205" t="e">
        <f>SUMIF(#REF!,tables!O$174,#REF!)</f>
        <v>#REF!</v>
      </c>
      <c r="P178" s="205" t="e">
        <f>SUMIF(#REF!,tables!P$174,#REF!)</f>
        <v>#REF!</v>
      </c>
      <c r="Q178" s="205" t="e">
        <f>SUMIF(#REF!,tables!Q$174,#REF!)</f>
        <v>#REF!</v>
      </c>
      <c r="R178" s="205" t="e">
        <f>SUMIF(#REF!,tables!R$174,#REF!)</f>
        <v>#REF!</v>
      </c>
      <c r="S178" s="205" t="e">
        <f t="shared" si="21"/>
        <v>#REF!</v>
      </c>
    </row>
    <row r="179" spans="1:19">
      <c r="A179" s="550" t="e">
        <f>#REF!</f>
        <v>#REF!</v>
      </c>
      <c r="B179" s="550"/>
      <c r="C179" s="205" t="e">
        <f>SUMIF(#REF!,tables!C$174,#REF!)</f>
        <v>#REF!</v>
      </c>
      <c r="D179" s="205" t="e">
        <f>SUMIF(#REF!,tables!D$174,#REF!)</f>
        <v>#REF!</v>
      </c>
      <c r="E179" s="205" t="e">
        <f>SUMIF(#REF!,tables!E$174,#REF!)</f>
        <v>#REF!</v>
      </c>
      <c r="F179" s="205" t="e">
        <f>SUMIF(#REF!,tables!F$174,#REF!)</f>
        <v>#REF!</v>
      </c>
      <c r="G179" s="205" t="e">
        <f>SUMIF(#REF!,tables!G$174,#REF!)</f>
        <v>#REF!</v>
      </c>
      <c r="H179" s="205" t="e">
        <f>SUMIF(#REF!,tables!H$174,#REF!)</f>
        <v>#REF!</v>
      </c>
      <c r="I179" s="205" t="e">
        <f>SUMIF(#REF!,tables!I$174,#REF!)</f>
        <v>#REF!</v>
      </c>
      <c r="J179" s="205" t="e">
        <f>SUMIF(#REF!,tables!J$174,#REF!)</f>
        <v>#REF!</v>
      </c>
      <c r="K179" s="205" t="e">
        <f>SUMIF(#REF!,tables!K$174,#REF!)</f>
        <v>#REF!</v>
      </c>
      <c r="L179" s="205" t="e">
        <f>SUMIF(#REF!,tables!L$174,#REF!)</f>
        <v>#REF!</v>
      </c>
      <c r="M179" s="205" t="e">
        <f>SUMIF(#REF!,tables!M$174,#REF!)</f>
        <v>#REF!</v>
      </c>
      <c r="N179" s="205" t="e">
        <f>SUMIF(#REF!,tables!N$174,#REF!)</f>
        <v>#REF!</v>
      </c>
      <c r="O179" s="205" t="e">
        <f>SUMIF(#REF!,tables!O$174,#REF!)</f>
        <v>#REF!</v>
      </c>
      <c r="P179" s="205" t="e">
        <f>SUMIF(#REF!,tables!P$174,#REF!)</f>
        <v>#REF!</v>
      </c>
      <c r="Q179" s="205" t="e">
        <f>SUMIF(#REF!,tables!Q$174,#REF!)</f>
        <v>#REF!</v>
      </c>
      <c r="R179" s="205" t="e">
        <f>SUMIF(#REF!,tables!R$174,#REF!)</f>
        <v>#REF!</v>
      </c>
      <c r="S179" s="205" t="e">
        <f t="shared" si="21"/>
        <v>#REF!</v>
      </c>
    </row>
    <row r="180" spans="1:19">
      <c r="A180" s="550" t="e">
        <f>#REF!</f>
        <v>#REF!</v>
      </c>
      <c r="B180" s="550"/>
      <c r="C180" s="205" t="e">
        <f>SUMIF(#REF!,tables!C$174,#REF!)</f>
        <v>#REF!</v>
      </c>
      <c r="D180" s="205" t="e">
        <f>SUMIF(#REF!,tables!D$174,#REF!)</f>
        <v>#REF!</v>
      </c>
      <c r="E180" s="205" t="e">
        <f>SUMIF(#REF!,tables!E$174,#REF!)</f>
        <v>#REF!</v>
      </c>
      <c r="F180" s="205" t="e">
        <f>SUMIF(#REF!,tables!F$174,#REF!)</f>
        <v>#REF!</v>
      </c>
      <c r="G180" s="205" t="e">
        <f>SUMIF(#REF!,tables!G$174,#REF!)</f>
        <v>#REF!</v>
      </c>
      <c r="H180" s="205" t="e">
        <f>SUMIF(#REF!,tables!H$174,#REF!)</f>
        <v>#REF!</v>
      </c>
      <c r="I180" s="205" t="e">
        <f>SUMIF(#REF!,tables!I$174,#REF!)</f>
        <v>#REF!</v>
      </c>
      <c r="J180" s="205" t="e">
        <f>SUMIF(#REF!,tables!J$174,#REF!)</f>
        <v>#REF!</v>
      </c>
      <c r="K180" s="205" t="e">
        <f>SUMIF(#REF!,tables!K$174,#REF!)</f>
        <v>#REF!</v>
      </c>
      <c r="L180" s="205" t="e">
        <f>SUMIF(#REF!,tables!L$174,#REF!)</f>
        <v>#REF!</v>
      </c>
      <c r="M180" s="205" t="e">
        <f>SUMIF(#REF!,tables!M$174,#REF!)</f>
        <v>#REF!</v>
      </c>
      <c r="N180" s="205" t="e">
        <f>SUMIF(#REF!,tables!N$174,#REF!)</f>
        <v>#REF!</v>
      </c>
      <c r="O180" s="205" t="e">
        <f>SUMIF(#REF!,tables!O$174,#REF!)</f>
        <v>#REF!</v>
      </c>
      <c r="P180" s="205" t="e">
        <f>SUMIF(#REF!,tables!P$174,#REF!)</f>
        <v>#REF!</v>
      </c>
      <c r="Q180" s="205" t="e">
        <f>SUMIF(#REF!,tables!Q$174,#REF!)</f>
        <v>#REF!</v>
      </c>
      <c r="R180" s="205" t="e">
        <f>SUMIF(#REF!,tables!R$174,#REF!)</f>
        <v>#REF!</v>
      </c>
      <c r="S180" s="205" t="e">
        <f t="shared" si="21"/>
        <v>#REF!</v>
      </c>
    </row>
    <row r="181" spans="1:19">
      <c r="A181" s="550" t="e">
        <f>#REF!</f>
        <v>#REF!</v>
      </c>
      <c r="B181" s="550"/>
      <c r="C181" s="205" t="e">
        <f>SUMIF(#REF!,tables!C$174,#REF!)</f>
        <v>#REF!</v>
      </c>
      <c r="D181" s="205" t="e">
        <f>SUMIF(#REF!,tables!D$174,#REF!)</f>
        <v>#REF!</v>
      </c>
      <c r="E181" s="205" t="e">
        <f>SUMIF(#REF!,tables!E$174,#REF!)</f>
        <v>#REF!</v>
      </c>
      <c r="F181" s="205" t="e">
        <f>SUMIF(#REF!,tables!F$174,#REF!)</f>
        <v>#REF!</v>
      </c>
      <c r="G181" s="205" t="e">
        <f>SUMIF(#REF!,tables!G$174,#REF!)</f>
        <v>#REF!</v>
      </c>
      <c r="H181" s="205" t="e">
        <f>SUMIF(#REF!,tables!H$174,#REF!)</f>
        <v>#REF!</v>
      </c>
      <c r="I181" s="205" t="e">
        <f>SUMIF(#REF!,tables!I$174,#REF!)</f>
        <v>#REF!</v>
      </c>
      <c r="J181" s="205" t="e">
        <f>SUMIF(#REF!,tables!J$174,#REF!)</f>
        <v>#REF!</v>
      </c>
      <c r="K181" s="205" t="e">
        <f>SUMIF(#REF!,tables!K$174,#REF!)</f>
        <v>#REF!</v>
      </c>
      <c r="L181" s="205" t="e">
        <f>SUMIF(#REF!,tables!L$174,#REF!)</f>
        <v>#REF!</v>
      </c>
      <c r="M181" s="205" t="e">
        <f>SUMIF(#REF!,tables!M$174,#REF!)</f>
        <v>#REF!</v>
      </c>
      <c r="N181" s="205" t="e">
        <f>SUMIF(#REF!,tables!N$174,#REF!)</f>
        <v>#REF!</v>
      </c>
      <c r="O181" s="205" t="e">
        <f>SUMIF(#REF!,tables!O$174,#REF!)</f>
        <v>#REF!</v>
      </c>
      <c r="P181" s="205" t="e">
        <f>SUMIF(#REF!,tables!P$174,#REF!)</f>
        <v>#REF!</v>
      </c>
      <c r="Q181" s="205" t="e">
        <f>SUMIF(#REF!,tables!Q$174,#REF!)</f>
        <v>#REF!</v>
      </c>
      <c r="R181" s="205" t="e">
        <f>SUMIF(#REF!,tables!R$174,#REF!)</f>
        <v>#REF!</v>
      </c>
      <c r="S181" s="205" t="e">
        <f t="shared" si="21"/>
        <v>#REF!</v>
      </c>
    </row>
    <row r="182" spans="1:19">
      <c r="A182" s="550" t="e">
        <f>#REF!</f>
        <v>#REF!</v>
      </c>
      <c r="B182" s="550"/>
      <c r="C182" s="205" t="e">
        <f>SUMIF(#REF!,tables!C$174,#REF!)</f>
        <v>#REF!</v>
      </c>
      <c r="D182" s="205" t="e">
        <f>SUMIF(#REF!,tables!D$174,#REF!)</f>
        <v>#REF!</v>
      </c>
      <c r="E182" s="205" t="e">
        <f>SUMIF(#REF!,tables!E$174,#REF!)</f>
        <v>#REF!</v>
      </c>
      <c r="F182" s="205" t="e">
        <f>SUMIF(#REF!,tables!F$174,#REF!)</f>
        <v>#REF!</v>
      </c>
      <c r="G182" s="205" t="e">
        <f>SUMIF(#REF!,tables!G$174,#REF!)</f>
        <v>#REF!</v>
      </c>
      <c r="H182" s="205" t="e">
        <f>SUMIF(#REF!,tables!H$174,#REF!)</f>
        <v>#REF!</v>
      </c>
      <c r="I182" s="205" t="e">
        <f>SUMIF(#REF!,tables!I$174,#REF!)</f>
        <v>#REF!</v>
      </c>
      <c r="J182" s="205" t="e">
        <f>SUMIF(#REF!,tables!J$174,#REF!)</f>
        <v>#REF!</v>
      </c>
      <c r="K182" s="205" t="e">
        <f>SUMIF(#REF!,tables!K$174,#REF!)</f>
        <v>#REF!</v>
      </c>
      <c r="L182" s="205" t="e">
        <f>SUMIF(#REF!,tables!L$174,#REF!)</f>
        <v>#REF!</v>
      </c>
      <c r="M182" s="205" t="e">
        <f>SUMIF(#REF!,tables!M$174,#REF!)</f>
        <v>#REF!</v>
      </c>
      <c r="N182" s="205" t="e">
        <f>SUMIF(#REF!,tables!N$174,#REF!)</f>
        <v>#REF!</v>
      </c>
      <c r="O182" s="205" t="e">
        <f>SUMIF(#REF!,tables!O$174,#REF!)</f>
        <v>#REF!</v>
      </c>
      <c r="P182" s="205" t="e">
        <f>SUMIF(#REF!,tables!P$174,#REF!)</f>
        <v>#REF!</v>
      </c>
      <c r="Q182" s="205" t="e">
        <f>SUMIF(#REF!,tables!Q$174,#REF!)</f>
        <v>#REF!</v>
      </c>
      <c r="R182" s="205" t="e">
        <f>SUMIF(#REF!,tables!R$174,#REF!)</f>
        <v>#REF!</v>
      </c>
      <c r="S182" s="205" t="e">
        <f t="shared" si="21"/>
        <v>#REF!</v>
      </c>
    </row>
    <row r="183" spans="1:19">
      <c r="A183" s="550" t="e">
        <f>#REF!</f>
        <v>#REF!</v>
      </c>
      <c r="B183" s="550"/>
      <c r="C183" s="205" t="e">
        <f>SUMIF(#REF!,tables!C$174,#REF!)</f>
        <v>#REF!</v>
      </c>
      <c r="D183" s="205" t="e">
        <f>SUMIF(#REF!,tables!D$174,#REF!)</f>
        <v>#REF!</v>
      </c>
      <c r="E183" s="205" t="e">
        <f>SUMIF(#REF!,tables!E$174,#REF!)</f>
        <v>#REF!</v>
      </c>
      <c r="F183" s="205" t="e">
        <f>SUMIF(#REF!,tables!F$174,#REF!)</f>
        <v>#REF!</v>
      </c>
      <c r="G183" s="205" t="e">
        <f>SUMIF(#REF!,tables!G$174,#REF!)</f>
        <v>#REF!</v>
      </c>
      <c r="H183" s="205" t="e">
        <f>SUMIF(#REF!,tables!H$174,#REF!)</f>
        <v>#REF!</v>
      </c>
      <c r="I183" s="205" t="e">
        <f>SUMIF(#REF!,tables!I$174,#REF!)</f>
        <v>#REF!</v>
      </c>
      <c r="J183" s="205" t="e">
        <f>SUMIF(#REF!,tables!J$174,#REF!)</f>
        <v>#REF!</v>
      </c>
      <c r="K183" s="205" t="e">
        <f>SUMIF(#REF!,tables!K$174,#REF!)</f>
        <v>#REF!</v>
      </c>
      <c r="L183" s="205" t="e">
        <f>SUMIF(#REF!,tables!L$174,#REF!)</f>
        <v>#REF!</v>
      </c>
      <c r="M183" s="205" t="e">
        <f>SUMIF(#REF!,tables!M$174,#REF!)</f>
        <v>#REF!</v>
      </c>
      <c r="N183" s="205" t="e">
        <f>SUMIF(#REF!,tables!N$174,#REF!)</f>
        <v>#REF!</v>
      </c>
      <c r="O183" s="205" t="e">
        <f>SUMIF(#REF!,tables!O$174,#REF!)</f>
        <v>#REF!</v>
      </c>
      <c r="P183" s="205" t="e">
        <f>SUMIF(#REF!,tables!P$174,#REF!)</f>
        <v>#REF!</v>
      </c>
      <c r="Q183" s="205" t="e">
        <f>SUMIF(#REF!,tables!Q$174,#REF!)</f>
        <v>#REF!</v>
      </c>
      <c r="R183" s="205" t="e">
        <f>SUMIF(#REF!,tables!R$174,#REF!)</f>
        <v>#REF!</v>
      </c>
      <c r="S183" s="205" t="e">
        <f t="shared" si="21"/>
        <v>#REF!</v>
      </c>
    </row>
    <row r="184" spans="1:19">
      <c r="A184" s="550" t="e">
        <f>#REF!</f>
        <v>#REF!</v>
      </c>
      <c r="B184" s="550"/>
      <c r="C184" s="205" t="e">
        <f>SUMIF(#REF!,tables!C$174,#REF!)</f>
        <v>#REF!</v>
      </c>
      <c r="D184" s="205" t="e">
        <f>SUMIF(#REF!,tables!D$174,#REF!)</f>
        <v>#REF!</v>
      </c>
      <c r="E184" s="205" t="e">
        <f>SUMIF(#REF!,tables!E$174,#REF!)</f>
        <v>#REF!</v>
      </c>
      <c r="F184" s="205" t="e">
        <f>SUMIF(#REF!,tables!F$174,#REF!)</f>
        <v>#REF!</v>
      </c>
      <c r="G184" s="205" t="e">
        <f>SUMIF(#REF!,tables!G$174,#REF!)</f>
        <v>#REF!</v>
      </c>
      <c r="H184" s="205" t="e">
        <f>SUMIF(#REF!,tables!H$174,#REF!)</f>
        <v>#REF!</v>
      </c>
      <c r="I184" s="205" t="e">
        <f>SUMIF(#REF!,tables!I$174,#REF!)</f>
        <v>#REF!</v>
      </c>
      <c r="J184" s="205" t="e">
        <f>SUMIF(#REF!,tables!J$174,#REF!)</f>
        <v>#REF!</v>
      </c>
      <c r="K184" s="205" t="e">
        <f>SUMIF(#REF!,tables!K$174,#REF!)</f>
        <v>#REF!</v>
      </c>
      <c r="L184" s="205" t="e">
        <f>SUMIF(#REF!,tables!L$174,#REF!)</f>
        <v>#REF!</v>
      </c>
      <c r="M184" s="205" t="e">
        <f>SUMIF(#REF!,tables!M$174,#REF!)</f>
        <v>#REF!</v>
      </c>
      <c r="N184" s="205" t="e">
        <f>SUMIF(#REF!,tables!N$174,#REF!)</f>
        <v>#REF!</v>
      </c>
      <c r="O184" s="205" t="e">
        <f>SUMIF(#REF!,tables!O$174,#REF!)</f>
        <v>#REF!</v>
      </c>
      <c r="P184" s="205" t="e">
        <f>SUMIF(#REF!,tables!P$174,#REF!)</f>
        <v>#REF!</v>
      </c>
      <c r="Q184" s="205" t="e">
        <f>SUMIF(#REF!,tables!Q$174,#REF!)</f>
        <v>#REF!</v>
      </c>
      <c r="R184" s="205" t="e">
        <f>SUMIF(#REF!,tables!R$174,#REF!)</f>
        <v>#REF!</v>
      </c>
      <c r="S184" s="205" t="e">
        <f t="shared" si="21"/>
        <v>#REF!</v>
      </c>
    </row>
    <row r="185" spans="1:19">
      <c r="A185" s="550" t="e">
        <f>#REF!</f>
        <v>#REF!</v>
      </c>
      <c r="B185" s="550"/>
      <c r="C185" s="205" t="e">
        <f>SUMIF(#REF!,tables!C$174,#REF!)</f>
        <v>#REF!</v>
      </c>
      <c r="D185" s="205" t="e">
        <f>SUMIF(#REF!,tables!D$174,#REF!)</f>
        <v>#REF!</v>
      </c>
      <c r="E185" s="205" t="e">
        <f>SUMIF(#REF!,tables!E$174,#REF!)</f>
        <v>#REF!</v>
      </c>
      <c r="F185" s="205" t="e">
        <f>SUMIF(#REF!,tables!F$174,#REF!)</f>
        <v>#REF!</v>
      </c>
      <c r="G185" s="205" t="e">
        <f>SUMIF(#REF!,tables!G$174,#REF!)</f>
        <v>#REF!</v>
      </c>
      <c r="H185" s="205" t="e">
        <f>SUMIF(#REF!,tables!H$174,#REF!)</f>
        <v>#REF!</v>
      </c>
      <c r="I185" s="205" t="e">
        <f>SUMIF(#REF!,tables!I$174,#REF!)</f>
        <v>#REF!</v>
      </c>
      <c r="J185" s="205" t="e">
        <f>SUMIF(#REF!,tables!J$174,#REF!)</f>
        <v>#REF!</v>
      </c>
      <c r="K185" s="205" t="e">
        <f>SUMIF(#REF!,tables!K$174,#REF!)</f>
        <v>#REF!</v>
      </c>
      <c r="L185" s="205" t="e">
        <f>SUMIF(#REF!,tables!L$174,#REF!)</f>
        <v>#REF!</v>
      </c>
      <c r="M185" s="205" t="e">
        <f>SUMIF(#REF!,tables!M$174,#REF!)</f>
        <v>#REF!</v>
      </c>
      <c r="N185" s="205" t="e">
        <f>SUMIF(#REF!,tables!N$174,#REF!)</f>
        <v>#REF!</v>
      </c>
      <c r="O185" s="205" t="e">
        <f>SUMIF(#REF!,tables!O$174,#REF!)</f>
        <v>#REF!</v>
      </c>
      <c r="P185" s="205" t="e">
        <f>SUMIF(#REF!,tables!P$174,#REF!)</f>
        <v>#REF!</v>
      </c>
      <c r="Q185" s="205" t="e">
        <f>SUMIF(#REF!,tables!Q$174,#REF!)</f>
        <v>#REF!</v>
      </c>
      <c r="R185" s="205" t="e">
        <f>SUMIF(#REF!,tables!R$174,#REF!)</f>
        <v>#REF!</v>
      </c>
      <c r="S185" s="205" t="e">
        <f t="shared" si="21"/>
        <v>#REF!</v>
      </c>
    </row>
    <row r="186" spans="1:19">
      <c r="A186" s="550" t="e">
        <f>#REF!</f>
        <v>#REF!</v>
      </c>
      <c r="B186" s="550"/>
      <c r="C186" s="205" t="e">
        <f>SUMIF(#REF!,tables!C$174,#REF!)</f>
        <v>#REF!</v>
      </c>
      <c r="D186" s="205" t="e">
        <f>SUMIF(#REF!,tables!D$174,#REF!)</f>
        <v>#REF!</v>
      </c>
      <c r="E186" s="205" t="e">
        <f>SUMIF(#REF!,tables!E$174,#REF!)</f>
        <v>#REF!</v>
      </c>
      <c r="F186" s="205" t="e">
        <f>SUMIF(#REF!,tables!F$174,#REF!)</f>
        <v>#REF!</v>
      </c>
      <c r="G186" s="205" t="e">
        <f>SUMIF(#REF!,tables!G$174,#REF!)</f>
        <v>#REF!</v>
      </c>
      <c r="H186" s="205" t="e">
        <f>SUMIF(#REF!,tables!H$174,#REF!)</f>
        <v>#REF!</v>
      </c>
      <c r="I186" s="205" t="e">
        <f>SUMIF(#REF!,tables!I$174,#REF!)</f>
        <v>#REF!</v>
      </c>
      <c r="J186" s="205" t="e">
        <f>SUMIF(#REF!,tables!J$174,#REF!)</f>
        <v>#REF!</v>
      </c>
      <c r="K186" s="205" t="e">
        <f>SUMIF(#REF!,tables!K$174,#REF!)</f>
        <v>#REF!</v>
      </c>
      <c r="L186" s="205" t="e">
        <f>SUMIF(#REF!,tables!L$174,#REF!)</f>
        <v>#REF!</v>
      </c>
      <c r="M186" s="205" t="e">
        <f>SUMIF(#REF!,tables!M$174,#REF!)</f>
        <v>#REF!</v>
      </c>
      <c r="N186" s="205" t="e">
        <f>SUMIF(#REF!,tables!N$174,#REF!)</f>
        <v>#REF!</v>
      </c>
      <c r="O186" s="205" t="e">
        <f>SUMIF(#REF!,tables!O$174,#REF!)</f>
        <v>#REF!</v>
      </c>
      <c r="P186" s="205" t="e">
        <f>SUMIF(#REF!,tables!P$174,#REF!)</f>
        <v>#REF!</v>
      </c>
      <c r="Q186" s="205" t="e">
        <f>SUMIF(#REF!,tables!Q$174,#REF!)</f>
        <v>#REF!</v>
      </c>
      <c r="R186" s="205" t="e">
        <f>SUMIF(#REF!,tables!R$174,#REF!)</f>
        <v>#REF!</v>
      </c>
      <c r="S186" s="205" t="e">
        <f t="shared" si="21"/>
        <v>#REF!</v>
      </c>
    </row>
    <row r="187" spans="1:19">
      <c r="A187" s="550" t="e">
        <f>#REF!</f>
        <v>#REF!</v>
      </c>
      <c r="B187" s="550"/>
      <c r="C187" s="205" t="e">
        <f>SUMIF(#REF!,tables!C$174,#REF!)</f>
        <v>#REF!</v>
      </c>
      <c r="D187" s="205" t="e">
        <f>SUMIF(#REF!,tables!D$174,#REF!)</f>
        <v>#REF!</v>
      </c>
      <c r="E187" s="205" t="e">
        <f>SUMIF(#REF!,tables!E$174,#REF!)</f>
        <v>#REF!</v>
      </c>
      <c r="F187" s="205" t="e">
        <f>SUMIF(#REF!,tables!F$174,#REF!)</f>
        <v>#REF!</v>
      </c>
      <c r="G187" s="205" t="e">
        <f>SUMIF(#REF!,tables!G$174,#REF!)</f>
        <v>#REF!</v>
      </c>
      <c r="H187" s="205" t="e">
        <f>SUMIF(#REF!,tables!H$174,#REF!)</f>
        <v>#REF!</v>
      </c>
      <c r="I187" s="205" t="e">
        <f>SUMIF(#REF!,tables!I$174,#REF!)</f>
        <v>#REF!</v>
      </c>
      <c r="J187" s="205" t="e">
        <f>SUMIF(#REF!,tables!J$174,#REF!)</f>
        <v>#REF!</v>
      </c>
      <c r="K187" s="205" t="e">
        <f>SUMIF(#REF!,tables!K$174,#REF!)</f>
        <v>#REF!</v>
      </c>
      <c r="L187" s="205" t="e">
        <f>SUMIF(#REF!,tables!L$174,#REF!)</f>
        <v>#REF!</v>
      </c>
      <c r="M187" s="205" t="e">
        <f>SUMIF(#REF!,tables!M$174,#REF!)</f>
        <v>#REF!</v>
      </c>
      <c r="N187" s="205" t="e">
        <f>SUMIF(#REF!,tables!N$174,#REF!)</f>
        <v>#REF!</v>
      </c>
      <c r="O187" s="205" t="e">
        <f>SUMIF(#REF!,tables!O$174,#REF!)</f>
        <v>#REF!</v>
      </c>
      <c r="P187" s="205" t="e">
        <f>SUMIF(#REF!,tables!P$174,#REF!)</f>
        <v>#REF!</v>
      </c>
      <c r="Q187" s="205" t="e">
        <f>SUMIF(#REF!,tables!Q$174,#REF!)</f>
        <v>#REF!</v>
      </c>
      <c r="R187" s="205" t="e">
        <f>SUMIF(#REF!,tables!R$174,#REF!)</f>
        <v>#REF!</v>
      </c>
      <c r="S187" s="205" t="e">
        <f t="shared" si="21"/>
        <v>#REF!</v>
      </c>
    </row>
    <row r="188" spans="1:19">
      <c r="A188" s="550" t="e">
        <f>#REF!</f>
        <v>#REF!</v>
      </c>
      <c r="B188" s="550"/>
      <c r="C188" s="205" t="e">
        <f>SUMIF(#REF!,tables!C$174,#REF!)</f>
        <v>#REF!</v>
      </c>
      <c r="D188" s="205" t="e">
        <f>SUMIF(#REF!,tables!D$174,#REF!)</f>
        <v>#REF!</v>
      </c>
      <c r="E188" s="205" t="e">
        <f>SUMIF(#REF!,tables!E$174,#REF!)</f>
        <v>#REF!</v>
      </c>
      <c r="F188" s="205" t="e">
        <f>SUMIF(#REF!,tables!F$174,#REF!)</f>
        <v>#REF!</v>
      </c>
      <c r="G188" s="205" t="e">
        <f>SUMIF(#REF!,tables!G$174,#REF!)</f>
        <v>#REF!</v>
      </c>
      <c r="H188" s="205" t="e">
        <f>SUMIF(#REF!,tables!H$174,#REF!)</f>
        <v>#REF!</v>
      </c>
      <c r="I188" s="205" t="e">
        <f>SUMIF(#REF!,tables!I$174,#REF!)</f>
        <v>#REF!</v>
      </c>
      <c r="J188" s="205" t="e">
        <f>SUMIF(#REF!,tables!J$174,#REF!)</f>
        <v>#REF!</v>
      </c>
      <c r="K188" s="205" t="e">
        <f>SUMIF(#REF!,tables!K$174,#REF!)</f>
        <v>#REF!</v>
      </c>
      <c r="L188" s="205" t="e">
        <f>SUMIF(#REF!,tables!L$174,#REF!)</f>
        <v>#REF!</v>
      </c>
      <c r="M188" s="205" t="e">
        <f>SUMIF(#REF!,tables!M$174,#REF!)</f>
        <v>#REF!</v>
      </c>
      <c r="N188" s="205" t="e">
        <f>SUMIF(#REF!,tables!N$174,#REF!)</f>
        <v>#REF!</v>
      </c>
      <c r="O188" s="205" t="e">
        <f>SUMIF(#REF!,tables!O$174,#REF!)</f>
        <v>#REF!</v>
      </c>
      <c r="P188" s="205" t="e">
        <f>SUMIF(#REF!,tables!P$174,#REF!)</f>
        <v>#REF!</v>
      </c>
      <c r="Q188" s="205" t="e">
        <f>SUMIF(#REF!,tables!Q$174,#REF!)</f>
        <v>#REF!</v>
      </c>
      <c r="R188" s="205" t="e">
        <f>SUMIF(#REF!,tables!R$174,#REF!)</f>
        <v>#REF!</v>
      </c>
      <c r="S188" s="205" t="e">
        <f t="shared" si="21"/>
        <v>#REF!</v>
      </c>
    </row>
    <row r="189" spans="1:19">
      <c r="A189" s="550" t="e">
        <f>#REF!</f>
        <v>#REF!</v>
      </c>
      <c r="B189" s="550"/>
      <c r="C189" s="205" t="e">
        <f>SUMIF(#REF!,tables!C$174,#REF!)</f>
        <v>#REF!</v>
      </c>
      <c r="D189" s="205" t="e">
        <f>SUMIF(#REF!,tables!D$174,#REF!)</f>
        <v>#REF!</v>
      </c>
      <c r="E189" s="205" t="e">
        <f>SUMIF(#REF!,tables!E$174,#REF!)</f>
        <v>#REF!</v>
      </c>
      <c r="F189" s="205" t="e">
        <f>SUMIF(#REF!,tables!F$174,#REF!)</f>
        <v>#REF!</v>
      </c>
      <c r="G189" s="205" t="e">
        <f>SUMIF(#REF!,tables!G$174,#REF!)</f>
        <v>#REF!</v>
      </c>
      <c r="H189" s="205" t="e">
        <f>SUMIF(#REF!,tables!H$174,#REF!)</f>
        <v>#REF!</v>
      </c>
      <c r="I189" s="205" t="e">
        <f>SUMIF(#REF!,tables!I$174,#REF!)</f>
        <v>#REF!</v>
      </c>
      <c r="J189" s="205" t="e">
        <f>SUMIF(#REF!,tables!J$174,#REF!)</f>
        <v>#REF!</v>
      </c>
      <c r="K189" s="205" t="e">
        <f>SUMIF(#REF!,tables!K$174,#REF!)</f>
        <v>#REF!</v>
      </c>
      <c r="L189" s="205" t="e">
        <f>SUMIF(#REF!,tables!L$174,#REF!)</f>
        <v>#REF!</v>
      </c>
      <c r="M189" s="205" t="e">
        <f>SUMIF(#REF!,tables!M$174,#REF!)</f>
        <v>#REF!</v>
      </c>
      <c r="N189" s="205" t="e">
        <f>SUMIF(#REF!,tables!N$174,#REF!)</f>
        <v>#REF!</v>
      </c>
      <c r="O189" s="205" t="e">
        <f>SUMIF(#REF!,tables!O$174,#REF!)</f>
        <v>#REF!</v>
      </c>
      <c r="P189" s="205" t="e">
        <f>SUMIF(#REF!,tables!P$174,#REF!)</f>
        <v>#REF!</v>
      </c>
      <c r="Q189" s="205" t="e">
        <f>SUMIF(#REF!,tables!Q$174,#REF!)</f>
        <v>#REF!</v>
      </c>
      <c r="R189" s="205" t="e">
        <f>SUMIF(#REF!,tables!R$174,#REF!)</f>
        <v>#REF!</v>
      </c>
      <c r="S189" s="205" t="e">
        <f t="shared" si="21"/>
        <v>#REF!</v>
      </c>
    </row>
    <row r="190" spans="1:19">
      <c r="A190" s="550" t="e">
        <f>#REF!</f>
        <v>#REF!</v>
      </c>
      <c r="B190" s="550"/>
      <c r="C190" s="205" t="e">
        <f>SUMIF(#REF!,tables!C$174,#REF!)</f>
        <v>#REF!</v>
      </c>
      <c r="D190" s="205" t="e">
        <f>SUMIF(#REF!,tables!D$174,#REF!)</f>
        <v>#REF!</v>
      </c>
      <c r="E190" s="205" t="e">
        <f>SUMIF(#REF!,tables!E$174,#REF!)</f>
        <v>#REF!</v>
      </c>
      <c r="F190" s="205" t="e">
        <f>SUMIF(#REF!,tables!F$174,#REF!)</f>
        <v>#REF!</v>
      </c>
      <c r="G190" s="205" t="e">
        <f>SUMIF(#REF!,tables!G$174,#REF!)</f>
        <v>#REF!</v>
      </c>
      <c r="H190" s="205" t="e">
        <f>SUMIF(#REF!,tables!H$174,#REF!)</f>
        <v>#REF!</v>
      </c>
      <c r="I190" s="205" t="e">
        <f>SUMIF(#REF!,tables!I$174,#REF!)</f>
        <v>#REF!</v>
      </c>
      <c r="J190" s="205" t="e">
        <f>SUMIF(#REF!,tables!J$174,#REF!)</f>
        <v>#REF!</v>
      </c>
      <c r="K190" s="205" t="e">
        <f>SUMIF(#REF!,tables!K$174,#REF!)</f>
        <v>#REF!</v>
      </c>
      <c r="L190" s="205" t="e">
        <f>SUMIF(#REF!,tables!L$174,#REF!)</f>
        <v>#REF!</v>
      </c>
      <c r="M190" s="205" t="e">
        <f>SUMIF(#REF!,tables!M$174,#REF!)</f>
        <v>#REF!</v>
      </c>
      <c r="N190" s="205" t="e">
        <f>SUMIF(#REF!,tables!N$174,#REF!)</f>
        <v>#REF!</v>
      </c>
      <c r="O190" s="205" t="e">
        <f>SUMIF(#REF!,tables!O$174,#REF!)</f>
        <v>#REF!</v>
      </c>
      <c r="P190" s="205" t="e">
        <f>SUMIF(#REF!,tables!P$174,#REF!)</f>
        <v>#REF!</v>
      </c>
      <c r="Q190" s="205" t="e">
        <f>SUMIF(#REF!,tables!Q$174,#REF!)</f>
        <v>#REF!</v>
      </c>
      <c r="R190" s="205" t="e">
        <f>SUMIF(#REF!,tables!R$174,#REF!)</f>
        <v>#REF!</v>
      </c>
      <c r="S190" s="205" t="e">
        <f t="shared" si="21"/>
        <v>#REF!</v>
      </c>
    </row>
    <row r="191" spans="1:19">
      <c r="A191" s="550" t="e">
        <f>#REF!</f>
        <v>#REF!</v>
      </c>
      <c r="B191" s="550"/>
      <c r="C191" s="205" t="e">
        <f>SUMIF(#REF!,tables!C$174,#REF!)</f>
        <v>#REF!</v>
      </c>
      <c r="D191" s="205" t="e">
        <f>SUMIF(#REF!,tables!D$174,#REF!)</f>
        <v>#REF!</v>
      </c>
      <c r="E191" s="205" t="e">
        <f>SUMIF(#REF!,tables!E$174,#REF!)</f>
        <v>#REF!</v>
      </c>
      <c r="F191" s="205" t="e">
        <f>SUMIF(#REF!,tables!F$174,#REF!)</f>
        <v>#REF!</v>
      </c>
      <c r="G191" s="205" t="e">
        <f>SUMIF(#REF!,tables!G$174,#REF!)</f>
        <v>#REF!</v>
      </c>
      <c r="H191" s="205" t="e">
        <f>SUMIF(#REF!,tables!H$174,#REF!)</f>
        <v>#REF!</v>
      </c>
      <c r="I191" s="205" t="e">
        <f>SUMIF(#REF!,tables!I$174,#REF!)</f>
        <v>#REF!</v>
      </c>
      <c r="J191" s="205" t="e">
        <f>SUMIF(#REF!,tables!J$174,#REF!)</f>
        <v>#REF!</v>
      </c>
      <c r="K191" s="205" t="e">
        <f>SUMIF(#REF!,tables!K$174,#REF!)</f>
        <v>#REF!</v>
      </c>
      <c r="L191" s="205" t="e">
        <f>SUMIF(#REF!,tables!L$174,#REF!)</f>
        <v>#REF!</v>
      </c>
      <c r="M191" s="205" t="e">
        <f>SUMIF(#REF!,tables!M$174,#REF!)</f>
        <v>#REF!</v>
      </c>
      <c r="N191" s="205" t="e">
        <f>SUMIF(#REF!,tables!N$174,#REF!)</f>
        <v>#REF!</v>
      </c>
      <c r="O191" s="205" t="e">
        <f>SUMIF(#REF!,tables!O$174,#REF!)</f>
        <v>#REF!</v>
      </c>
      <c r="P191" s="205" t="e">
        <f>SUMIF(#REF!,tables!P$174,#REF!)</f>
        <v>#REF!</v>
      </c>
      <c r="Q191" s="205" t="e">
        <f>SUMIF(#REF!,tables!Q$174,#REF!)</f>
        <v>#REF!</v>
      </c>
      <c r="R191" s="205" t="e">
        <f>SUMIF(#REF!,tables!R$174,#REF!)</f>
        <v>#REF!</v>
      </c>
      <c r="S191" s="205" t="e">
        <f t="shared" si="21"/>
        <v>#REF!</v>
      </c>
    </row>
    <row r="192" spans="1:19">
      <c r="A192" s="550" t="e">
        <f>#REF!</f>
        <v>#REF!</v>
      </c>
      <c r="B192" s="550"/>
      <c r="C192" s="205" t="e">
        <f>SUMIF(#REF!,tables!C$174,#REF!)</f>
        <v>#REF!</v>
      </c>
      <c r="D192" s="205" t="e">
        <f>SUMIF(#REF!,tables!D$174,#REF!)</f>
        <v>#REF!</v>
      </c>
      <c r="E192" s="205" t="e">
        <f>SUMIF(#REF!,tables!E$174,#REF!)</f>
        <v>#REF!</v>
      </c>
      <c r="F192" s="205" t="e">
        <f>SUMIF(#REF!,tables!F$174,#REF!)</f>
        <v>#REF!</v>
      </c>
      <c r="G192" s="205" t="e">
        <f>SUMIF(#REF!,tables!G$174,#REF!)</f>
        <v>#REF!</v>
      </c>
      <c r="H192" s="205" t="e">
        <f>SUMIF(#REF!,tables!H$174,#REF!)</f>
        <v>#REF!</v>
      </c>
      <c r="I192" s="205" t="e">
        <f>SUMIF(#REF!,tables!I$174,#REF!)</f>
        <v>#REF!</v>
      </c>
      <c r="J192" s="205" t="e">
        <f>SUMIF(#REF!,tables!J$174,#REF!)</f>
        <v>#REF!</v>
      </c>
      <c r="K192" s="205" t="e">
        <f>SUMIF(#REF!,tables!K$174,#REF!)</f>
        <v>#REF!</v>
      </c>
      <c r="L192" s="205" t="e">
        <f>SUMIF(#REF!,tables!L$174,#REF!)</f>
        <v>#REF!</v>
      </c>
      <c r="M192" s="205" t="e">
        <f>SUMIF(#REF!,tables!M$174,#REF!)</f>
        <v>#REF!</v>
      </c>
      <c r="N192" s="205" t="e">
        <f>SUMIF(#REF!,tables!N$174,#REF!)</f>
        <v>#REF!</v>
      </c>
      <c r="O192" s="205" t="e">
        <f>SUMIF(#REF!,tables!O$174,#REF!)</f>
        <v>#REF!</v>
      </c>
      <c r="P192" s="205" t="e">
        <f>SUMIF(#REF!,tables!P$174,#REF!)</f>
        <v>#REF!</v>
      </c>
      <c r="Q192" s="205" t="e">
        <f>SUMIF(#REF!,tables!Q$174,#REF!)</f>
        <v>#REF!</v>
      </c>
      <c r="R192" s="205" t="e">
        <f>SUMIF(#REF!,tables!R$174,#REF!)</f>
        <v>#REF!</v>
      </c>
      <c r="S192" s="205" t="e">
        <f t="shared" si="21"/>
        <v>#REF!</v>
      </c>
    </row>
    <row r="193" spans="1:63">
      <c r="A193" s="550" t="e">
        <f>#REF!</f>
        <v>#REF!</v>
      </c>
      <c r="B193" s="550"/>
      <c r="C193" s="205" t="e">
        <f>SUMIF(#REF!,tables!C$174,#REF!)</f>
        <v>#REF!</v>
      </c>
      <c r="D193" s="205" t="e">
        <f>SUMIF(#REF!,tables!D$174,#REF!)</f>
        <v>#REF!</v>
      </c>
      <c r="E193" s="205" t="e">
        <f>SUMIF(#REF!,tables!E$174,#REF!)</f>
        <v>#REF!</v>
      </c>
      <c r="F193" s="205" t="e">
        <f>SUMIF(#REF!,tables!F$174,#REF!)</f>
        <v>#REF!</v>
      </c>
      <c r="G193" s="205" t="e">
        <f>SUMIF(#REF!,tables!G$174,#REF!)</f>
        <v>#REF!</v>
      </c>
      <c r="H193" s="205" t="e">
        <f>SUMIF(#REF!,tables!H$174,#REF!)</f>
        <v>#REF!</v>
      </c>
      <c r="I193" s="205" t="e">
        <f>SUMIF(#REF!,tables!I$174,#REF!)</f>
        <v>#REF!</v>
      </c>
      <c r="J193" s="205" t="e">
        <f>SUMIF(#REF!,tables!J$174,#REF!)</f>
        <v>#REF!</v>
      </c>
      <c r="K193" s="205" t="e">
        <f>SUMIF(#REF!,tables!K$174,#REF!)</f>
        <v>#REF!</v>
      </c>
      <c r="L193" s="205" t="e">
        <f>SUMIF(#REF!,tables!L$174,#REF!)</f>
        <v>#REF!</v>
      </c>
      <c r="M193" s="205" t="e">
        <f>SUMIF(#REF!,tables!M$174,#REF!)</f>
        <v>#REF!</v>
      </c>
      <c r="N193" s="205" t="e">
        <f>SUMIF(#REF!,tables!N$174,#REF!)</f>
        <v>#REF!</v>
      </c>
      <c r="O193" s="205" t="e">
        <f>SUMIF(#REF!,tables!O$174,#REF!)</f>
        <v>#REF!</v>
      </c>
      <c r="P193" s="205" t="e">
        <f>SUMIF(#REF!,tables!P$174,#REF!)</f>
        <v>#REF!</v>
      </c>
      <c r="Q193" s="205" t="e">
        <f>SUMIF(#REF!,tables!Q$174,#REF!)</f>
        <v>#REF!</v>
      </c>
      <c r="R193" s="205" t="e">
        <f>SUMIF(#REF!,tables!R$174,#REF!)</f>
        <v>#REF!</v>
      </c>
      <c r="S193" s="205" t="e">
        <f t="shared" si="21"/>
        <v>#REF!</v>
      </c>
    </row>
    <row r="194" spans="1:63">
      <c r="A194" s="550" t="e">
        <f>#REF!</f>
        <v>#REF!</v>
      </c>
      <c r="B194" s="550"/>
      <c r="C194" s="205" t="e">
        <f>SUMIF(#REF!,tables!C$174,#REF!)</f>
        <v>#REF!</v>
      </c>
      <c r="D194" s="205" t="e">
        <f>SUMIF(#REF!,tables!D$174,#REF!)</f>
        <v>#REF!</v>
      </c>
      <c r="E194" s="205" t="e">
        <f>SUMIF(#REF!,tables!E$174,#REF!)</f>
        <v>#REF!</v>
      </c>
      <c r="F194" s="205" t="e">
        <f>SUMIF(#REF!,tables!F$174,#REF!)</f>
        <v>#REF!</v>
      </c>
      <c r="G194" s="205" t="e">
        <f>SUMIF(#REF!,tables!G$174,#REF!)</f>
        <v>#REF!</v>
      </c>
      <c r="H194" s="205" t="e">
        <f>SUMIF(#REF!,tables!H$174,#REF!)</f>
        <v>#REF!</v>
      </c>
      <c r="I194" s="205" t="e">
        <f>SUMIF(#REF!,tables!I$174,#REF!)</f>
        <v>#REF!</v>
      </c>
      <c r="J194" s="205" t="e">
        <f>SUMIF(#REF!,tables!J$174,#REF!)</f>
        <v>#REF!</v>
      </c>
      <c r="K194" s="205" t="e">
        <f>SUMIF(#REF!,tables!K$174,#REF!)</f>
        <v>#REF!</v>
      </c>
      <c r="L194" s="205" t="e">
        <f>SUMIF(#REF!,tables!L$174,#REF!)</f>
        <v>#REF!</v>
      </c>
      <c r="M194" s="205" t="e">
        <f>SUMIF(#REF!,tables!M$174,#REF!)</f>
        <v>#REF!</v>
      </c>
      <c r="N194" s="205" t="e">
        <f>SUMIF(#REF!,tables!N$174,#REF!)</f>
        <v>#REF!</v>
      </c>
      <c r="O194" s="205" t="e">
        <f>SUMIF(#REF!,tables!O$174,#REF!)</f>
        <v>#REF!</v>
      </c>
      <c r="P194" s="205" t="e">
        <f>SUMIF(#REF!,tables!P$174,#REF!)</f>
        <v>#REF!</v>
      </c>
      <c r="Q194" s="205" t="e">
        <f>SUMIF(#REF!,tables!Q$174,#REF!)</f>
        <v>#REF!</v>
      </c>
      <c r="R194" s="205" t="e">
        <f>SUMIF(#REF!,tables!R$174,#REF!)</f>
        <v>#REF!</v>
      </c>
      <c r="S194" s="205" t="e">
        <f t="shared" si="21"/>
        <v>#REF!</v>
      </c>
    </row>
    <row r="197" spans="1:63">
      <c r="G197" s="188" t="s">
        <v>484</v>
      </c>
    </row>
    <row r="199" spans="1:63" ht="13.5">
      <c r="B199" s="175" t="s">
        <v>255</v>
      </c>
      <c r="C199" s="196" t="e">
        <f>#REF!</f>
        <v>#REF!</v>
      </c>
      <c r="D199" s="196" t="e">
        <f>#REF!</f>
        <v>#REF!</v>
      </c>
      <c r="E199" s="196" t="e">
        <f>#REF!</f>
        <v>#REF!</v>
      </c>
      <c r="F199" s="196" t="e">
        <f>#REF!</f>
        <v>#REF!</v>
      </c>
      <c r="G199" s="196" t="e">
        <f>#REF!</f>
        <v>#REF!</v>
      </c>
      <c r="H199" s="196" t="e">
        <f>#REF!</f>
        <v>#REF!</v>
      </c>
      <c r="I199" s="196" t="e">
        <f>#REF!</f>
        <v>#REF!</v>
      </c>
      <c r="J199" s="196" t="e">
        <f>#REF!</f>
        <v>#REF!</v>
      </c>
      <c r="K199" s="196" t="e">
        <f>#REF!</f>
        <v>#REF!</v>
      </c>
      <c r="L199" s="196" t="e">
        <f>#REF!</f>
        <v>#REF!</v>
      </c>
      <c r="M199" s="196" t="e">
        <f>#REF!</f>
        <v>#REF!</v>
      </c>
      <c r="N199" s="196" t="e">
        <f>#REF!</f>
        <v>#REF!</v>
      </c>
      <c r="O199" s="196" t="e">
        <f>#REF!</f>
        <v>#REF!</v>
      </c>
      <c r="P199" s="196" t="e">
        <f>#REF!</f>
        <v>#REF!</v>
      </c>
      <c r="Q199" s="196" t="e">
        <f>#REF!</f>
        <v>#REF!</v>
      </c>
      <c r="R199" s="196" t="e">
        <f>#REF!</f>
        <v>#REF!</v>
      </c>
      <c r="S199" s="196" t="e">
        <f>#REF!</f>
        <v>#REF!</v>
      </c>
      <c r="T199" s="196" t="e">
        <f>#REF!</f>
        <v>#REF!</v>
      </c>
      <c r="U199" s="196" t="e">
        <f>#REF!</f>
        <v>#REF!</v>
      </c>
      <c r="V199" s="196" t="e">
        <f>#REF!</f>
        <v>#REF!</v>
      </c>
      <c r="W199" s="196" t="e">
        <f>#REF!</f>
        <v>#REF!</v>
      </c>
      <c r="X199" s="196" t="e">
        <f>#REF!</f>
        <v>#REF!</v>
      </c>
      <c r="Y199" s="196" t="e">
        <f>#REF!</f>
        <v>#REF!</v>
      </c>
      <c r="Z199" s="196" t="e">
        <f>#REF!</f>
        <v>#REF!</v>
      </c>
      <c r="AA199" s="196" t="e">
        <f>#REF!</f>
        <v>#REF!</v>
      </c>
      <c r="AB199" s="196" t="e">
        <f>#REF!</f>
        <v>#REF!</v>
      </c>
      <c r="AC199" s="196" t="e">
        <f>#REF!</f>
        <v>#REF!</v>
      </c>
      <c r="AD199" s="196" t="e">
        <f>#REF!</f>
        <v>#REF!</v>
      </c>
      <c r="AE199" s="196" t="e">
        <f>#REF!</f>
        <v>#REF!</v>
      </c>
      <c r="AF199" s="196" t="e">
        <f>#REF!</f>
        <v>#REF!</v>
      </c>
      <c r="AG199" s="196" t="e">
        <f>#REF!</f>
        <v>#REF!</v>
      </c>
      <c r="AH199" s="196" t="e">
        <f>#REF!</f>
        <v>#REF!</v>
      </c>
      <c r="AI199" s="196" t="e">
        <f>#REF!</f>
        <v>#REF!</v>
      </c>
      <c r="AJ199" s="196" t="e">
        <f>#REF!</f>
        <v>#REF!</v>
      </c>
      <c r="AK199" s="196" t="e">
        <f>#REF!</f>
        <v>#REF!</v>
      </c>
      <c r="AL199" s="196" t="e">
        <f>#REF!</f>
        <v>#REF!</v>
      </c>
      <c r="AM199" s="196" t="e">
        <f>#REF!</f>
        <v>#REF!</v>
      </c>
      <c r="AN199" s="196" t="e">
        <f>#REF!</f>
        <v>#REF!</v>
      </c>
      <c r="AO199" s="196" t="e">
        <f>#REF!</f>
        <v>#REF!</v>
      </c>
      <c r="AP199" s="196" t="e">
        <f>#REF!</f>
        <v>#REF!</v>
      </c>
      <c r="AQ199" s="196" t="e">
        <f>#REF!</f>
        <v>#REF!</v>
      </c>
      <c r="AR199" s="196" t="e">
        <f>#REF!</f>
        <v>#REF!</v>
      </c>
      <c r="AS199" s="196" t="e">
        <f>#REF!</f>
        <v>#REF!</v>
      </c>
      <c r="AT199" s="196" t="e">
        <f>#REF!</f>
        <v>#REF!</v>
      </c>
      <c r="AU199" s="196" t="e">
        <f>#REF!</f>
        <v>#REF!</v>
      </c>
      <c r="AV199" s="196" t="e">
        <f>#REF!</f>
        <v>#REF!</v>
      </c>
      <c r="AW199" s="196" t="e">
        <f>#REF!</f>
        <v>#REF!</v>
      </c>
      <c r="AX199" s="196" t="e">
        <f>#REF!</f>
        <v>#REF!</v>
      </c>
      <c r="AY199" s="196" t="e">
        <f>#REF!</f>
        <v>#REF!</v>
      </c>
      <c r="AZ199" s="196" t="e">
        <f>#REF!</f>
        <v>#REF!</v>
      </c>
      <c r="BA199" s="196" t="e">
        <f>#REF!</f>
        <v>#REF!</v>
      </c>
      <c r="BB199" s="196" t="e">
        <f>#REF!</f>
        <v>#REF!</v>
      </c>
      <c r="BC199" s="196" t="e">
        <f>#REF!</f>
        <v>#REF!</v>
      </c>
      <c r="BD199" s="196" t="e">
        <f>#REF!</f>
        <v>#REF!</v>
      </c>
      <c r="BE199" s="196" t="e">
        <f>#REF!</f>
        <v>#REF!</v>
      </c>
      <c r="BF199" s="196" t="e">
        <f>#REF!</f>
        <v>#REF!</v>
      </c>
      <c r="BG199" s="196" t="e">
        <f>#REF!</f>
        <v>#REF!</v>
      </c>
      <c r="BH199" s="196" t="e">
        <f>#REF!</f>
        <v>#REF!</v>
      </c>
      <c r="BI199" s="196" t="e">
        <f>#REF!</f>
        <v>#REF!</v>
      </c>
      <c r="BJ199" s="196" t="e">
        <f>#REF!</f>
        <v>#REF!</v>
      </c>
      <c r="BK199" s="196" t="e">
        <f>#REF!</f>
        <v>#REF!</v>
      </c>
    </row>
    <row r="200" spans="1:63" ht="13.5">
      <c r="B200" s="175" t="s">
        <v>485</v>
      </c>
      <c r="C200" s="204" t="e">
        <f>#REF!</f>
        <v>#REF!</v>
      </c>
      <c r="D200" s="204" t="e">
        <f>#REF!</f>
        <v>#REF!</v>
      </c>
      <c r="E200" s="204" t="e">
        <f>#REF!</f>
        <v>#REF!</v>
      </c>
      <c r="F200" s="204" t="e">
        <f>#REF!</f>
        <v>#REF!</v>
      </c>
      <c r="G200" s="204" t="e">
        <f>#REF!</f>
        <v>#REF!</v>
      </c>
      <c r="H200" s="204" t="e">
        <f>#REF!</f>
        <v>#REF!</v>
      </c>
      <c r="I200" s="204" t="e">
        <f>#REF!</f>
        <v>#REF!</v>
      </c>
      <c r="J200" s="204" t="e">
        <f>#REF!</f>
        <v>#REF!</v>
      </c>
      <c r="K200" s="204" t="e">
        <f>#REF!</f>
        <v>#REF!</v>
      </c>
      <c r="L200" s="204" t="e">
        <f>#REF!</f>
        <v>#REF!</v>
      </c>
      <c r="M200" s="204" t="e">
        <f>#REF!</f>
        <v>#REF!</v>
      </c>
      <c r="N200" s="204" t="e">
        <f>#REF!</f>
        <v>#REF!</v>
      </c>
      <c r="O200" s="204" t="e">
        <f>#REF!</f>
        <v>#REF!</v>
      </c>
      <c r="P200" s="204" t="e">
        <f>#REF!</f>
        <v>#REF!</v>
      </c>
      <c r="Q200" s="204" t="e">
        <f>#REF!</f>
        <v>#REF!</v>
      </c>
      <c r="R200" s="204" t="e">
        <f>#REF!</f>
        <v>#REF!</v>
      </c>
      <c r="S200" s="204" t="e">
        <f>#REF!</f>
        <v>#REF!</v>
      </c>
      <c r="T200" s="204" t="e">
        <f>#REF!</f>
        <v>#REF!</v>
      </c>
      <c r="U200" s="204" t="e">
        <f>#REF!</f>
        <v>#REF!</v>
      </c>
      <c r="V200" s="204" t="e">
        <f>#REF!</f>
        <v>#REF!</v>
      </c>
      <c r="W200" s="204" t="e">
        <f>#REF!</f>
        <v>#REF!</v>
      </c>
      <c r="X200" s="204" t="e">
        <f>#REF!</f>
        <v>#REF!</v>
      </c>
      <c r="Y200" s="204" t="e">
        <f>#REF!</f>
        <v>#REF!</v>
      </c>
      <c r="Z200" s="204" t="e">
        <f>#REF!</f>
        <v>#REF!</v>
      </c>
      <c r="AA200" s="204" t="e">
        <f>#REF!</f>
        <v>#REF!</v>
      </c>
      <c r="AB200" s="204" t="e">
        <f>#REF!</f>
        <v>#REF!</v>
      </c>
      <c r="AC200" s="204" t="e">
        <f>#REF!</f>
        <v>#REF!</v>
      </c>
      <c r="AD200" s="204" t="e">
        <f>#REF!</f>
        <v>#REF!</v>
      </c>
      <c r="AE200" s="204" t="e">
        <f>#REF!</f>
        <v>#REF!</v>
      </c>
      <c r="AF200" s="204" t="e">
        <f>#REF!</f>
        <v>#REF!</v>
      </c>
      <c r="AG200" s="204" t="e">
        <f>#REF!</f>
        <v>#REF!</v>
      </c>
      <c r="AH200" s="204" t="e">
        <f>#REF!</f>
        <v>#REF!</v>
      </c>
      <c r="AI200" s="204" t="e">
        <f>#REF!</f>
        <v>#REF!</v>
      </c>
      <c r="AJ200" s="204" t="e">
        <f>#REF!</f>
        <v>#REF!</v>
      </c>
      <c r="AK200" s="204" t="e">
        <f>#REF!</f>
        <v>#REF!</v>
      </c>
      <c r="AL200" s="204" t="e">
        <f>#REF!</f>
        <v>#REF!</v>
      </c>
      <c r="AM200" s="204" t="e">
        <f>#REF!</f>
        <v>#REF!</v>
      </c>
      <c r="AN200" s="204" t="e">
        <f>#REF!</f>
        <v>#REF!</v>
      </c>
      <c r="AO200" s="204" t="e">
        <f>#REF!</f>
        <v>#REF!</v>
      </c>
      <c r="AP200" s="204" t="e">
        <f>#REF!</f>
        <v>#REF!</v>
      </c>
      <c r="AQ200" s="204" t="e">
        <f>#REF!</f>
        <v>#REF!</v>
      </c>
      <c r="AR200" s="204" t="e">
        <f>#REF!</f>
        <v>#REF!</v>
      </c>
      <c r="AS200" s="204" t="e">
        <f>#REF!</f>
        <v>#REF!</v>
      </c>
      <c r="AT200" s="204" t="e">
        <f>#REF!</f>
        <v>#REF!</v>
      </c>
      <c r="AU200" s="204" t="e">
        <f>#REF!</f>
        <v>#REF!</v>
      </c>
      <c r="AV200" s="204" t="e">
        <f>#REF!</f>
        <v>#REF!</v>
      </c>
      <c r="AW200" s="204" t="e">
        <f>#REF!</f>
        <v>#REF!</v>
      </c>
      <c r="AX200" s="204" t="e">
        <f>#REF!</f>
        <v>#REF!</v>
      </c>
      <c r="AY200" s="204" t="e">
        <f>#REF!</f>
        <v>#REF!</v>
      </c>
      <c r="AZ200" s="204" t="e">
        <f>#REF!</f>
        <v>#REF!</v>
      </c>
      <c r="BA200" s="204" t="e">
        <f>#REF!</f>
        <v>#REF!</v>
      </c>
      <c r="BB200" s="204" t="e">
        <f>#REF!</f>
        <v>#REF!</v>
      </c>
      <c r="BC200" s="204" t="e">
        <f>#REF!</f>
        <v>#REF!</v>
      </c>
      <c r="BD200" s="204" t="e">
        <f>#REF!</f>
        <v>#REF!</v>
      </c>
      <c r="BE200" s="204" t="e">
        <f>#REF!</f>
        <v>#REF!</v>
      </c>
      <c r="BF200" s="204" t="e">
        <f>#REF!</f>
        <v>#REF!</v>
      </c>
      <c r="BG200" s="204" t="e">
        <f>#REF!</f>
        <v>#REF!</v>
      </c>
      <c r="BH200" s="204" t="e">
        <f>#REF!</f>
        <v>#REF!</v>
      </c>
      <c r="BI200" s="204" t="e">
        <f>#REF!</f>
        <v>#REF!</v>
      </c>
      <c r="BJ200" s="204" t="e">
        <f>#REF!</f>
        <v>#REF!</v>
      </c>
      <c r="BK200" s="204" t="e">
        <f>#REF!</f>
        <v>#REF!</v>
      </c>
    </row>
    <row r="201" spans="1:63" ht="25.5">
      <c r="B201" s="175" t="str">
        <f>Предпосылки!B186</f>
        <v>График привлечения собственных средств в проект, тыс. руб.</v>
      </c>
      <c r="C201" s="204">
        <f>SUMIF(Предпосылки!$D$189:$BL$189,tables!C199,Предпосылки!$D$190:$BL$190)</f>
        <v>0</v>
      </c>
      <c r="D201" s="204">
        <f>SUMIF(Предпосылки!$D$189:$BL$189,tables!D199,Предпосылки!$D$190:$BL$190)</f>
        <v>0</v>
      </c>
      <c r="E201" s="204">
        <f>SUMIF(Предпосылки!$D$189:$BL$189,tables!E199,Предпосылки!$D$190:$BL$190)</f>
        <v>0</v>
      </c>
      <c r="F201" s="204">
        <f>SUMIF(Предпосылки!$D$189:$BL$189,tables!F199,Предпосылки!$D$190:$BL$190)</f>
        <v>0</v>
      </c>
      <c r="G201" s="204">
        <f>SUMIF(Предпосылки!$D$189:$BL$189,tables!G199,Предпосылки!$D$190:$BL$190)</f>
        <v>0</v>
      </c>
      <c r="H201" s="204">
        <f>SUMIF(Предпосылки!$D$189:$BL$189,tables!H199,Предпосылки!$D$190:$BL$190)</f>
        <v>0</v>
      </c>
      <c r="I201" s="204">
        <f>SUMIF(Предпосылки!$D$189:$BL$189,tables!I199,Предпосылки!$D$190:$BL$190)</f>
        <v>0</v>
      </c>
      <c r="J201" s="204">
        <f>SUMIF(Предпосылки!$D$189:$BL$189,tables!J199,Предпосылки!$D$190:$BL$190)</f>
        <v>0</v>
      </c>
      <c r="K201" s="204">
        <f>SUMIF(Предпосылки!$D$189:$BL$189,tables!K199,Предпосылки!$D$190:$BL$190)</f>
        <v>0</v>
      </c>
      <c r="L201" s="204">
        <f>SUMIF(Предпосылки!$D$189:$BL$189,tables!L199,Предпосылки!$D$190:$BL$190)</f>
        <v>0</v>
      </c>
      <c r="M201" s="204">
        <f>SUMIF(Предпосылки!$D$189:$BL$189,tables!M199,Предпосылки!$D$190:$BL$190)</f>
        <v>0</v>
      </c>
      <c r="N201" s="204">
        <f>SUMIF(Предпосылки!$D$189:$BL$189,tables!N199,Предпосылки!$D$190:$BL$190)</f>
        <v>0</v>
      </c>
      <c r="O201" s="204">
        <f>SUMIF(Предпосылки!$D$189:$BL$189,tables!O199,Предпосылки!$D$190:$BL$190)</f>
        <v>0</v>
      </c>
      <c r="P201" s="204">
        <f>SUMIF(Предпосылки!$D$189:$BL$189,tables!P199,Предпосылки!$D$190:$BL$190)</f>
        <v>0</v>
      </c>
      <c r="Q201" s="204">
        <f>SUMIF(Предпосылки!$D$189:$BL$189,tables!Q199,Предпосылки!$D$190:$BL$190)</f>
        <v>0</v>
      </c>
      <c r="R201" s="204">
        <f>SUMIF(Предпосылки!$D$189:$BL$189,tables!R199,Предпосылки!$D$190:$BL$190)</f>
        <v>0</v>
      </c>
      <c r="S201" s="204">
        <f>SUMIF(Предпосылки!$D$189:$BL$189,tables!S199,Предпосылки!$D$190:$BL$190)</f>
        <v>0</v>
      </c>
      <c r="T201" s="204">
        <f>SUMIF(Предпосылки!$D$189:$BL$189,tables!T199,Предпосылки!$D$190:$BL$190)</f>
        <v>0</v>
      </c>
      <c r="U201" s="204">
        <f>SUMIF(Предпосылки!$D$189:$BL$189,tables!U199,Предпосылки!$D$190:$BL$190)</f>
        <v>0</v>
      </c>
      <c r="V201" s="204">
        <f>SUMIF(Предпосылки!$D$189:$BL$189,tables!V199,Предпосылки!$D$190:$BL$190)</f>
        <v>0</v>
      </c>
      <c r="W201" s="204">
        <f>SUMIF(Предпосылки!$D$189:$BL$189,tables!W199,Предпосылки!$D$190:$BL$190)</f>
        <v>0</v>
      </c>
      <c r="X201" s="204">
        <f>SUMIF(Предпосылки!$D$189:$BL$189,tables!X199,Предпосылки!$D$190:$BL$190)</f>
        <v>0</v>
      </c>
      <c r="Y201" s="204">
        <f>SUMIF(Предпосылки!$D$189:$BL$189,tables!Y199,Предпосылки!$D$190:$BL$190)</f>
        <v>0</v>
      </c>
      <c r="Z201" s="204">
        <f>SUMIF(Предпосылки!$D$189:$BL$189,tables!Z199,Предпосылки!$D$190:$BL$190)</f>
        <v>0</v>
      </c>
      <c r="AA201" s="204">
        <f>SUMIF(Предпосылки!$D$189:$BL$189,tables!AA199,Предпосылки!$D$190:$BL$190)</f>
        <v>0</v>
      </c>
      <c r="AB201" s="204">
        <f>SUMIF(Предпосылки!$D$189:$BL$189,tables!AB199,Предпосылки!$D$190:$BL$190)</f>
        <v>0</v>
      </c>
      <c r="AC201" s="204">
        <f>SUMIF(Предпосылки!$D$189:$BL$189,tables!AC199,Предпосылки!$D$190:$BL$190)</f>
        <v>0</v>
      </c>
      <c r="AD201" s="204">
        <f>SUMIF(Предпосылки!$D$189:$BL$189,tables!AD199,Предпосылки!$D$190:$BL$190)</f>
        <v>0</v>
      </c>
      <c r="AE201" s="204">
        <f>SUMIF(Предпосылки!$D$189:$BL$189,tables!AE199,Предпосылки!$D$190:$BL$190)</f>
        <v>0</v>
      </c>
      <c r="AF201" s="204">
        <f>SUMIF(Предпосылки!$D$189:$BL$189,tables!AF199,Предпосылки!$D$190:$BL$190)</f>
        <v>0</v>
      </c>
      <c r="AG201" s="204">
        <f>SUMIF(Предпосылки!$D$189:$BL$189,tables!AG199,Предпосылки!$D$190:$BL$190)</f>
        <v>0</v>
      </c>
      <c r="AH201" s="204">
        <f>SUMIF(Предпосылки!$D$189:$BL$189,tables!AH199,Предпосылки!$D$190:$BL$190)</f>
        <v>0</v>
      </c>
      <c r="AI201" s="204">
        <f>SUMIF(Предпосылки!$D$189:$BL$189,tables!AI199,Предпосылки!$D$190:$BL$190)</f>
        <v>0</v>
      </c>
      <c r="AJ201" s="204">
        <f>SUMIF(Предпосылки!$D$189:$BL$189,tables!AJ199,Предпосылки!$D$190:$BL$190)</f>
        <v>0</v>
      </c>
      <c r="AK201" s="204">
        <f>SUMIF(Предпосылки!$D$189:$BL$189,tables!AK199,Предпосылки!$D$190:$BL$190)</f>
        <v>0</v>
      </c>
      <c r="AL201" s="204">
        <f>SUMIF(Предпосылки!$D$189:$BL$189,tables!AL199,Предпосылки!$D$190:$BL$190)</f>
        <v>0</v>
      </c>
      <c r="AM201" s="204">
        <f>SUMIF(Предпосылки!$D$189:$BL$189,tables!AM199,Предпосылки!$D$190:$BL$190)</f>
        <v>0</v>
      </c>
      <c r="AN201" s="204">
        <f>SUMIF(Предпосылки!$D$189:$BL$189,tables!AN199,Предпосылки!$D$190:$BL$190)</f>
        <v>0</v>
      </c>
      <c r="AO201" s="204">
        <f>SUMIF(Предпосылки!$D$189:$BL$189,tables!AO199,Предпосылки!$D$190:$BL$190)</f>
        <v>0</v>
      </c>
      <c r="AP201" s="204">
        <f>SUMIF(Предпосылки!$D$189:$BL$189,tables!AP199,Предпосылки!$D$190:$BL$190)</f>
        <v>0</v>
      </c>
      <c r="AQ201" s="204">
        <f>SUMIF(Предпосылки!$D$189:$BL$189,tables!AQ199,Предпосылки!$D$190:$BL$190)</f>
        <v>0</v>
      </c>
      <c r="AR201" s="204">
        <f>SUMIF(Предпосылки!$D$189:$BL$189,tables!AR199,Предпосылки!$D$190:$BL$190)</f>
        <v>0</v>
      </c>
      <c r="AS201" s="204">
        <f>SUMIF(Предпосылки!$D$189:$BL$189,tables!AS199,Предпосылки!$D$190:$BL$190)</f>
        <v>0</v>
      </c>
      <c r="AT201" s="204">
        <f>SUMIF(Предпосылки!$D$189:$BL$189,tables!AT199,Предпосылки!$D$190:$BL$190)</f>
        <v>0</v>
      </c>
      <c r="AU201" s="204">
        <f>SUMIF(Предпосылки!$D$189:$BL$189,tables!AU199,Предпосылки!$D$190:$BL$190)</f>
        <v>0</v>
      </c>
      <c r="AV201" s="204">
        <f>SUMIF(Предпосылки!$D$189:$BL$189,tables!AV199,Предпосылки!$D$190:$BL$190)</f>
        <v>0</v>
      </c>
      <c r="AW201" s="204">
        <f>SUMIF(Предпосылки!$D$189:$BL$189,tables!AW199,Предпосылки!$D$190:$BL$190)</f>
        <v>0</v>
      </c>
      <c r="AX201" s="204">
        <f>SUMIF(Предпосылки!$D$189:$BL$189,tables!AX199,Предпосылки!$D$190:$BL$190)</f>
        <v>0</v>
      </c>
      <c r="AY201" s="204">
        <f>SUMIF(Предпосылки!$D$189:$BL$189,tables!AY199,Предпосылки!$D$190:$BL$190)</f>
        <v>0</v>
      </c>
      <c r="AZ201" s="204">
        <f>SUMIF(Предпосылки!$D$189:$BL$189,tables!AZ199,Предпосылки!$D$190:$BL$190)</f>
        <v>0</v>
      </c>
      <c r="BA201" s="204">
        <f>SUMIF(Предпосылки!$D$189:$BL$189,tables!BA199,Предпосылки!$D$190:$BL$190)</f>
        <v>0</v>
      </c>
      <c r="BB201" s="204">
        <f>SUMIF(Предпосылки!$D$189:$BL$189,tables!BB199,Предпосылки!$D$190:$BL$190)</f>
        <v>0</v>
      </c>
      <c r="BC201" s="204">
        <f>SUMIF(Предпосылки!$D$189:$BL$189,tables!BC199,Предпосылки!$D$190:$BL$190)</f>
        <v>0</v>
      </c>
      <c r="BD201" s="204">
        <f>SUMIF(Предпосылки!$D$189:$BL$189,tables!BD199,Предпосылки!$D$190:$BL$190)</f>
        <v>0</v>
      </c>
      <c r="BE201" s="204">
        <f>SUMIF(Предпосылки!$D$189:$BL$189,tables!BE199,Предпосылки!$D$190:$BL$190)</f>
        <v>0</v>
      </c>
      <c r="BF201" s="204">
        <f>SUMIF(Предпосылки!$D$189:$BL$189,tables!BF199,Предпосылки!$D$190:$BL$190)</f>
        <v>0</v>
      </c>
      <c r="BG201" s="204">
        <f>SUMIF(Предпосылки!$D$189:$BL$189,tables!BG199,Предпосылки!$D$190:$BL$190)</f>
        <v>0</v>
      </c>
      <c r="BH201" s="204">
        <f>SUMIF(Предпосылки!$D$189:$BL$189,tables!BH199,Предпосылки!$D$190:$BL$190)</f>
        <v>0</v>
      </c>
      <c r="BI201" s="204">
        <f>SUMIF(Предпосылки!$D$189:$BL$189,tables!BI199,Предпосылки!$D$190:$BL$190)</f>
        <v>0</v>
      </c>
      <c r="BJ201" s="204">
        <f>SUMIF(Предпосылки!$D$189:$BL$189,tables!BJ199,Предпосылки!$D$190:$BL$190)</f>
        <v>0</v>
      </c>
      <c r="BK201" s="204">
        <f>SUMIF(Предпосылки!$D$189:$BL$189,tables!BK199,Предпосылки!$D$190:$BL$190)</f>
        <v>0</v>
      </c>
    </row>
    <row r="202" spans="1:63" ht="25.5">
      <c r="B202" s="175" t="str">
        <f>Предпосылки!B192</f>
        <v>Заёмное финансирование: заём бенефициара/аффилированных лиц</v>
      </c>
      <c r="C202" s="204">
        <f>SUMIF(Предпосылки!$D$201:$BL$201,tables!C199,Предпосылки!$D$202:$BL$202)</f>
        <v>0</v>
      </c>
      <c r="D202" s="204">
        <f>SUMIF(Предпосылки!$D$201:$BL$201,tables!D199,Предпосылки!$D$202:$BL$202)</f>
        <v>0</v>
      </c>
      <c r="E202" s="204">
        <f>SUMIF(Предпосылки!$D$201:$BL$201,tables!E199,Предпосылки!$D$202:$BL$202)</f>
        <v>0</v>
      </c>
      <c r="F202" s="204">
        <f>SUMIF(Предпосылки!$D$201:$BL$201,tables!F199,Предпосылки!$D$202:$BL$202)</f>
        <v>0</v>
      </c>
      <c r="G202" s="204">
        <f>SUMIF(Предпосылки!$D$201:$BL$201,tables!G199,Предпосылки!$D$202:$BL$202)</f>
        <v>0</v>
      </c>
      <c r="H202" s="204">
        <f>SUMIF(Предпосылки!$D$201:$BL$201,tables!H199,Предпосылки!$D$202:$BL$202)</f>
        <v>0</v>
      </c>
      <c r="I202" s="204">
        <f>SUMIF(Предпосылки!$D$201:$BL$201,tables!I199,Предпосылки!$D$202:$BL$202)</f>
        <v>0</v>
      </c>
      <c r="J202" s="204">
        <f>SUMIF(Предпосылки!$D$201:$BL$201,tables!J199,Предпосылки!$D$202:$BL$202)</f>
        <v>0</v>
      </c>
      <c r="K202" s="204">
        <f>SUMIF(Предпосылки!$D$201:$BL$201,tables!K199,Предпосылки!$D$202:$BL$202)</f>
        <v>0</v>
      </c>
      <c r="L202" s="204">
        <f>SUMIF(Предпосылки!$D$201:$BL$201,tables!L199,Предпосылки!$D$202:$BL$202)</f>
        <v>0</v>
      </c>
      <c r="M202" s="204">
        <f>SUMIF(Предпосылки!$D$201:$BL$201,tables!M199,Предпосылки!$D$202:$BL$202)</f>
        <v>0</v>
      </c>
      <c r="N202" s="204">
        <f>SUMIF(Предпосылки!$D$201:$BL$201,tables!N199,Предпосылки!$D$202:$BL$202)</f>
        <v>0</v>
      </c>
      <c r="O202" s="204">
        <f>SUMIF(Предпосылки!$D$201:$BL$201,tables!O199,Предпосылки!$D$202:$BL$202)</f>
        <v>0</v>
      </c>
      <c r="P202" s="204">
        <f>SUMIF(Предпосылки!$D$201:$BL$201,tables!P199,Предпосылки!$D$202:$BL$202)</f>
        <v>0</v>
      </c>
      <c r="Q202" s="204">
        <f>SUMIF(Предпосылки!$D$201:$BL$201,tables!Q199,Предпосылки!$D$202:$BL$202)</f>
        <v>0</v>
      </c>
      <c r="R202" s="204">
        <f>SUMIF(Предпосылки!$D$201:$BL$201,tables!R199,Предпосылки!$D$202:$BL$202)</f>
        <v>0</v>
      </c>
      <c r="S202" s="204">
        <f>SUMIF(Предпосылки!$D$201:$BL$201,tables!S199,Предпосылки!$D$202:$BL$202)</f>
        <v>0</v>
      </c>
      <c r="T202" s="204">
        <f>SUMIF(Предпосылки!$D$201:$BL$201,tables!T199,Предпосылки!$D$202:$BL$202)</f>
        <v>0</v>
      </c>
      <c r="U202" s="204">
        <f>SUMIF(Предпосылки!$D$201:$BL$201,tables!U199,Предпосылки!$D$202:$BL$202)</f>
        <v>0</v>
      </c>
      <c r="V202" s="204">
        <f>SUMIF(Предпосылки!$D$201:$BL$201,tables!V199,Предпосылки!$D$202:$BL$202)</f>
        <v>0</v>
      </c>
      <c r="W202" s="204">
        <f>SUMIF(Предпосылки!$D$201:$BL$201,tables!W199,Предпосылки!$D$202:$BL$202)</f>
        <v>0</v>
      </c>
      <c r="X202" s="204">
        <f>SUMIF(Предпосылки!$D$201:$BL$201,tables!X199,Предпосылки!$D$202:$BL$202)</f>
        <v>0</v>
      </c>
      <c r="Y202" s="204">
        <f>SUMIF(Предпосылки!$D$201:$BL$201,tables!Y199,Предпосылки!$D$202:$BL$202)</f>
        <v>0</v>
      </c>
      <c r="Z202" s="204">
        <f>SUMIF(Предпосылки!$D$201:$BL$201,tables!Z199,Предпосылки!$D$202:$BL$202)</f>
        <v>0</v>
      </c>
      <c r="AA202" s="204">
        <f>SUMIF(Предпосылки!$D$201:$BL$201,tables!AA199,Предпосылки!$D$202:$BL$202)</f>
        <v>0</v>
      </c>
      <c r="AB202" s="204">
        <f>SUMIF(Предпосылки!$D$201:$BL$201,tables!AB199,Предпосылки!$D$202:$BL$202)</f>
        <v>0</v>
      </c>
      <c r="AC202" s="204">
        <f>SUMIF(Предпосылки!$D$201:$BL$201,tables!AC199,Предпосылки!$D$202:$BL$202)</f>
        <v>0</v>
      </c>
      <c r="AD202" s="204">
        <f>SUMIF(Предпосылки!$D$201:$BL$201,tables!AD199,Предпосылки!$D$202:$BL$202)</f>
        <v>0</v>
      </c>
      <c r="AE202" s="204">
        <f>SUMIF(Предпосылки!$D$201:$BL$201,tables!AE199,Предпосылки!$D$202:$BL$202)</f>
        <v>0</v>
      </c>
      <c r="AF202" s="204">
        <f>SUMIF(Предпосылки!$D$201:$BL$201,tables!AF199,Предпосылки!$D$202:$BL$202)</f>
        <v>0</v>
      </c>
      <c r="AG202" s="204">
        <f>SUMIF(Предпосылки!$D$201:$BL$201,tables!AG199,Предпосылки!$D$202:$BL$202)</f>
        <v>0</v>
      </c>
      <c r="AH202" s="204">
        <f>SUMIF(Предпосылки!$D$201:$BL$201,tables!AH199,Предпосылки!$D$202:$BL$202)</f>
        <v>0</v>
      </c>
      <c r="AI202" s="204">
        <f>SUMIF(Предпосылки!$D$201:$BL$201,tables!AI199,Предпосылки!$D$202:$BL$202)</f>
        <v>0</v>
      </c>
      <c r="AJ202" s="204">
        <f>SUMIF(Предпосылки!$D$201:$BL$201,tables!AJ199,Предпосылки!$D$202:$BL$202)</f>
        <v>0</v>
      </c>
      <c r="AK202" s="204">
        <f>SUMIF(Предпосылки!$D$201:$BL$201,tables!AK199,Предпосылки!$D$202:$BL$202)</f>
        <v>0</v>
      </c>
      <c r="AL202" s="204">
        <f>SUMIF(Предпосылки!$D$201:$BL$201,tables!AL199,Предпосылки!$D$202:$BL$202)</f>
        <v>0</v>
      </c>
      <c r="AM202" s="204">
        <f>SUMIF(Предпосылки!$D$201:$BL$201,tables!AM199,Предпосылки!$D$202:$BL$202)</f>
        <v>0</v>
      </c>
      <c r="AN202" s="204">
        <f>SUMIF(Предпосылки!$D$201:$BL$201,tables!AN199,Предпосылки!$D$202:$BL$202)</f>
        <v>0</v>
      </c>
      <c r="AO202" s="204">
        <f>SUMIF(Предпосылки!$D$201:$BL$201,tables!AO199,Предпосылки!$D$202:$BL$202)</f>
        <v>0</v>
      </c>
      <c r="AP202" s="204">
        <f>SUMIF(Предпосылки!$D$201:$BL$201,tables!AP199,Предпосылки!$D$202:$BL$202)</f>
        <v>0</v>
      </c>
      <c r="AQ202" s="204">
        <f>SUMIF(Предпосылки!$D$201:$BL$201,tables!AQ199,Предпосылки!$D$202:$BL$202)</f>
        <v>0</v>
      </c>
      <c r="AR202" s="204">
        <f>SUMIF(Предпосылки!$D$201:$BL$201,tables!AR199,Предпосылки!$D$202:$BL$202)</f>
        <v>0</v>
      </c>
      <c r="AS202" s="204">
        <f>SUMIF(Предпосылки!$D$201:$BL$201,tables!AS199,Предпосылки!$D$202:$BL$202)</f>
        <v>0</v>
      </c>
      <c r="AT202" s="204">
        <f>SUMIF(Предпосылки!$D$201:$BL$201,tables!AT199,Предпосылки!$D$202:$BL$202)</f>
        <v>0</v>
      </c>
      <c r="AU202" s="204">
        <f>SUMIF(Предпосылки!$D$201:$BL$201,tables!AU199,Предпосылки!$D$202:$BL$202)</f>
        <v>0</v>
      </c>
      <c r="AV202" s="204">
        <f>SUMIF(Предпосылки!$D$201:$BL$201,tables!AV199,Предпосылки!$D$202:$BL$202)</f>
        <v>0</v>
      </c>
      <c r="AW202" s="204">
        <f>SUMIF(Предпосылки!$D$201:$BL$201,tables!AW199,Предпосылки!$D$202:$BL$202)</f>
        <v>0</v>
      </c>
      <c r="AX202" s="204">
        <f>SUMIF(Предпосылки!$D$201:$BL$201,tables!AX199,Предпосылки!$D$202:$BL$202)</f>
        <v>0</v>
      </c>
      <c r="AY202" s="204">
        <f>SUMIF(Предпосылки!$D$201:$BL$201,tables!AY199,Предпосылки!$D$202:$BL$202)</f>
        <v>0</v>
      </c>
      <c r="AZ202" s="204">
        <f>SUMIF(Предпосылки!$D$201:$BL$201,tables!AZ199,Предпосылки!$D$202:$BL$202)</f>
        <v>0</v>
      </c>
      <c r="BA202" s="204">
        <f>SUMIF(Предпосылки!$D$201:$BL$201,tables!BA199,Предпосылки!$D$202:$BL$202)</f>
        <v>0</v>
      </c>
      <c r="BB202" s="204">
        <f>SUMIF(Предпосылки!$D$201:$BL$201,tables!BB199,Предпосылки!$D$202:$BL$202)</f>
        <v>0</v>
      </c>
      <c r="BC202" s="204">
        <f>SUMIF(Предпосылки!$D$201:$BL$201,tables!BC199,Предпосылки!$D$202:$BL$202)</f>
        <v>0</v>
      </c>
      <c r="BD202" s="204">
        <f>SUMIF(Предпосылки!$D$201:$BL$201,tables!BD199,Предпосылки!$D$202:$BL$202)</f>
        <v>0</v>
      </c>
      <c r="BE202" s="204">
        <f>SUMIF(Предпосылки!$D$201:$BL$201,tables!BE199,Предпосылки!$D$202:$BL$202)</f>
        <v>0</v>
      </c>
      <c r="BF202" s="204">
        <f>SUMIF(Предпосылки!$D$201:$BL$201,tables!BF199,Предпосылки!$D$202:$BL$202)</f>
        <v>0</v>
      </c>
      <c r="BG202" s="204">
        <f>SUMIF(Предпосылки!$D$201:$BL$201,tables!BG199,Предпосылки!$D$202:$BL$202)</f>
        <v>0</v>
      </c>
      <c r="BH202" s="204">
        <f>SUMIF(Предпосылки!$D$201:$BL$201,tables!BH199,Предпосылки!$D$202:$BL$202)</f>
        <v>0</v>
      </c>
      <c r="BI202" s="204">
        <f>SUMIF(Предпосылки!$D$201:$BL$201,tables!BI199,Предпосылки!$D$202:$BL$202)</f>
        <v>0</v>
      </c>
      <c r="BJ202" s="204">
        <f>SUMIF(Предпосылки!$D$201:$BL$201,tables!BJ199,Предпосылки!$D$202:$BL$202)</f>
        <v>0</v>
      </c>
      <c r="BK202" s="204">
        <f>SUMIF(Предпосылки!$D$201:$BL$201,tables!BK199,Предпосылки!$D$202:$BL$202)</f>
        <v>0</v>
      </c>
    </row>
    <row r="203" spans="1:63" ht="13.5">
      <c r="B203" s="175" t="str">
        <f>Предпосылки!B207</f>
        <v>Заёмное финансирование: кредит/заём</v>
      </c>
      <c r="C203" s="204">
        <f>SUMIF(Предпосылки!$D$216:$BL$216,tables!C199,Предпосылки!$D$217:$BL$217)</f>
        <v>0</v>
      </c>
      <c r="D203" s="204">
        <f>SUMIF(Предпосылки!$D$216:$BL$216,tables!D199,Предпосылки!$D$217:$BL$217)</f>
        <v>0</v>
      </c>
      <c r="E203" s="204">
        <f>SUMIF(Предпосылки!$D$216:$BL$216,tables!E199,Предпосылки!$D$217:$BL$217)</f>
        <v>0</v>
      </c>
      <c r="F203" s="204">
        <f>SUMIF(Предпосылки!$D$216:$BL$216,tables!F199,Предпосылки!$D$217:$BL$217)</f>
        <v>0</v>
      </c>
      <c r="G203" s="204">
        <f>SUMIF(Предпосылки!$D$216:$BL$216,tables!G199,Предпосылки!$D$217:$BL$217)</f>
        <v>0</v>
      </c>
      <c r="H203" s="204">
        <f>SUMIF(Предпосылки!$D$216:$BL$216,tables!H199,Предпосылки!$D$217:$BL$217)</f>
        <v>0</v>
      </c>
      <c r="I203" s="204">
        <f>SUMIF(Предпосылки!$D$216:$BL$216,tables!I199,Предпосылки!$D$217:$BL$217)</f>
        <v>0</v>
      </c>
      <c r="J203" s="204">
        <f>SUMIF(Предпосылки!$D$216:$BL$216,tables!J199,Предпосылки!$D$217:$BL$217)</f>
        <v>0</v>
      </c>
      <c r="K203" s="204">
        <f>SUMIF(Предпосылки!$D$216:$BL$216,tables!K199,Предпосылки!$D$217:$BL$217)</f>
        <v>0</v>
      </c>
      <c r="L203" s="204">
        <f>SUMIF(Предпосылки!$D$216:$BL$216,tables!L199,Предпосылки!$D$217:$BL$217)</f>
        <v>0</v>
      </c>
      <c r="M203" s="204">
        <f>SUMIF(Предпосылки!$D$216:$BL$216,tables!M199,Предпосылки!$D$217:$BL$217)</f>
        <v>0</v>
      </c>
      <c r="N203" s="204">
        <f>SUMIF(Предпосылки!$D$216:$BL$216,tables!N199,Предпосылки!$D$217:$BL$217)</f>
        <v>0</v>
      </c>
      <c r="O203" s="204">
        <f>SUMIF(Предпосылки!$D$216:$BL$216,tables!O199,Предпосылки!$D$217:$BL$217)</f>
        <v>0</v>
      </c>
      <c r="P203" s="204">
        <f>SUMIF(Предпосылки!$D$216:$BL$216,tables!P199,Предпосылки!$D$217:$BL$217)</f>
        <v>0</v>
      </c>
      <c r="Q203" s="204">
        <f>SUMIF(Предпосылки!$D$216:$BL$216,tables!Q199,Предпосылки!$D$217:$BL$217)</f>
        <v>0</v>
      </c>
      <c r="R203" s="204">
        <f>SUMIF(Предпосылки!$D$216:$BL$216,tables!R199,Предпосылки!$D$217:$BL$217)</f>
        <v>0</v>
      </c>
      <c r="S203" s="204">
        <f>SUMIF(Предпосылки!$D$216:$BL$216,tables!S199,Предпосылки!$D$217:$BL$217)</f>
        <v>0</v>
      </c>
      <c r="T203" s="204">
        <f>SUMIF(Предпосылки!$D$216:$BL$216,tables!T199,Предпосылки!$D$217:$BL$217)</f>
        <v>0</v>
      </c>
      <c r="U203" s="204">
        <f>SUMIF(Предпосылки!$D$216:$BL$216,tables!U199,Предпосылки!$D$217:$BL$217)</f>
        <v>0</v>
      </c>
      <c r="V203" s="204">
        <f>SUMIF(Предпосылки!$D$216:$BL$216,tables!V199,Предпосылки!$D$217:$BL$217)</f>
        <v>0</v>
      </c>
      <c r="W203" s="204">
        <f>SUMIF(Предпосылки!$D$216:$BL$216,tables!W199,Предпосылки!$D$217:$BL$217)</f>
        <v>0</v>
      </c>
      <c r="X203" s="204">
        <f>SUMIF(Предпосылки!$D$216:$BL$216,tables!X199,Предпосылки!$D$217:$BL$217)</f>
        <v>0</v>
      </c>
      <c r="Y203" s="204">
        <f>SUMIF(Предпосылки!$D$216:$BL$216,tables!Y199,Предпосылки!$D$217:$BL$217)</f>
        <v>0</v>
      </c>
      <c r="Z203" s="204">
        <f>SUMIF(Предпосылки!$D$216:$BL$216,tables!Z199,Предпосылки!$D$217:$BL$217)</f>
        <v>0</v>
      </c>
      <c r="AA203" s="204">
        <f>SUMIF(Предпосылки!$D$216:$BL$216,tables!AA199,Предпосылки!$D$217:$BL$217)</f>
        <v>0</v>
      </c>
      <c r="AB203" s="204">
        <f>SUMIF(Предпосылки!$D$216:$BL$216,tables!AB199,Предпосылки!$D$217:$BL$217)</f>
        <v>0</v>
      </c>
      <c r="AC203" s="204">
        <f>SUMIF(Предпосылки!$D$216:$BL$216,tables!AC199,Предпосылки!$D$217:$BL$217)</f>
        <v>0</v>
      </c>
      <c r="AD203" s="204">
        <f>SUMIF(Предпосылки!$D$216:$BL$216,tables!AD199,Предпосылки!$D$217:$BL$217)</f>
        <v>0</v>
      </c>
      <c r="AE203" s="204">
        <f>SUMIF(Предпосылки!$D$216:$BL$216,tables!AE199,Предпосылки!$D$217:$BL$217)</f>
        <v>0</v>
      </c>
      <c r="AF203" s="204">
        <f>SUMIF(Предпосылки!$D$216:$BL$216,tables!AF199,Предпосылки!$D$217:$BL$217)</f>
        <v>0</v>
      </c>
      <c r="AG203" s="204">
        <f>SUMIF(Предпосылки!$D$216:$BL$216,tables!AG199,Предпосылки!$D$217:$BL$217)</f>
        <v>0</v>
      </c>
      <c r="AH203" s="204">
        <f>SUMIF(Предпосылки!$D$216:$BL$216,tables!AH199,Предпосылки!$D$217:$BL$217)</f>
        <v>0</v>
      </c>
      <c r="AI203" s="204">
        <f>SUMIF(Предпосылки!$D$216:$BL$216,tables!AI199,Предпосылки!$D$217:$BL$217)</f>
        <v>0</v>
      </c>
      <c r="AJ203" s="204">
        <f>SUMIF(Предпосылки!$D$216:$BL$216,tables!AJ199,Предпосылки!$D$217:$BL$217)</f>
        <v>0</v>
      </c>
      <c r="AK203" s="204">
        <f>SUMIF(Предпосылки!$D$216:$BL$216,tables!AK199,Предпосылки!$D$217:$BL$217)</f>
        <v>0</v>
      </c>
      <c r="AL203" s="204">
        <f>SUMIF(Предпосылки!$D$216:$BL$216,tables!AL199,Предпосылки!$D$217:$BL$217)</f>
        <v>0</v>
      </c>
      <c r="AM203" s="204">
        <f>SUMIF(Предпосылки!$D$216:$BL$216,tables!AM199,Предпосылки!$D$217:$BL$217)</f>
        <v>0</v>
      </c>
      <c r="AN203" s="204">
        <f>SUMIF(Предпосылки!$D$216:$BL$216,tables!AN199,Предпосылки!$D$217:$BL$217)</f>
        <v>0</v>
      </c>
      <c r="AO203" s="204">
        <f>SUMIF(Предпосылки!$D$216:$BL$216,tables!AO199,Предпосылки!$D$217:$BL$217)</f>
        <v>0</v>
      </c>
      <c r="AP203" s="204">
        <f>SUMIF(Предпосылки!$D$216:$BL$216,tables!AP199,Предпосылки!$D$217:$BL$217)</f>
        <v>0</v>
      </c>
      <c r="AQ203" s="204">
        <f>SUMIF(Предпосылки!$D$216:$BL$216,tables!AQ199,Предпосылки!$D$217:$BL$217)</f>
        <v>0</v>
      </c>
      <c r="AR203" s="204">
        <f>SUMIF(Предпосылки!$D$216:$BL$216,tables!AR199,Предпосылки!$D$217:$BL$217)</f>
        <v>0</v>
      </c>
      <c r="AS203" s="204">
        <f>SUMIF(Предпосылки!$D$216:$BL$216,tables!AS199,Предпосылки!$D$217:$BL$217)</f>
        <v>0</v>
      </c>
      <c r="AT203" s="204">
        <f>SUMIF(Предпосылки!$D$216:$BL$216,tables!AT199,Предпосылки!$D$217:$BL$217)</f>
        <v>0</v>
      </c>
      <c r="AU203" s="204">
        <f>SUMIF(Предпосылки!$D$216:$BL$216,tables!AU199,Предпосылки!$D$217:$BL$217)</f>
        <v>0</v>
      </c>
      <c r="AV203" s="204">
        <f>SUMIF(Предпосылки!$D$216:$BL$216,tables!AV199,Предпосылки!$D$217:$BL$217)</f>
        <v>0</v>
      </c>
      <c r="AW203" s="204">
        <f>SUMIF(Предпосылки!$D$216:$BL$216,tables!AW199,Предпосылки!$D$217:$BL$217)</f>
        <v>0</v>
      </c>
      <c r="AX203" s="204">
        <f>SUMIF(Предпосылки!$D$216:$BL$216,tables!AX199,Предпосылки!$D$217:$BL$217)</f>
        <v>0</v>
      </c>
      <c r="AY203" s="204">
        <f>SUMIF(Предпосылки!$D$216:$BL$216,tables!AY199,Предпосылки!$D$217:$BL$217)</f>
        <v>0</v>
      </c>
      <c r="AZ203" s="204">
        <f>SUMIF(Предпосылки!$D$216:$BL$216,tables!AZ199,Предпосылки!$D$217:$BL$217)</f>
        <v>0</v>
      </c>
      <c r="BA203" s="204">
        <f>SUMIF(Предпосылки!$D$216:$BL$216,tables!BA199,Предпосылки!$D$217:$BL$217)</f>
        <v>0</v>
      </c>
      <c r="BB203" s="204">
        <f>SUMIF(Предпосылки!$D$216:$BL$216,tables!BB199,Предпосылки!$D$217:$BL$217)</f>
        <v>0</v>
      </c>
      <c r="BC203" s="204">
        <f>SUMIF(Предпосылки!$D$216:$BL$216,tables!BC199,Предпосылки!$D$217:$BL$217)</f>
        <v>0</v>
      </c>
      <c r="BD203" s="204">
        <f>SUMIF(Предпосылки!$D$216:$BL$216,tables!BD199,Предпосылки!$D$217:$BL$217)</f>
        <v>0</v>
      </c>
      <c r="BE203" s="204">
        <f>SUMIF(Предпосылки!$D$216:$BL$216,tables!BE199,Предпосылки!$D$217:$BL$217)</f>
        <v>0</v>
      </c>
      <c r="BF203" s="204">
        <f>SUMIF(Предпосылки!$D$216:$BL$216,tables!BF199,Предпосылки!$D$217:$BL$217)</f>
        <v>0</v>
      </c>
      <c r="BG203" s="204">
        <f>SUMIF(Предпосылки!$D$216:$BL$216,tables!BG199,Предпосылки!$D$217:$BL$217)</f>
        <v>0</v>
      </c>
      <c r="BH203" s="204">
        <f>SUMIF(Предпосылки!$D$216:$BL$216,tables!BH199,Предпосылки!$D$217:$BL$217)</f>
        <v>0</v>
      </c>
      <c r="BI203" s="204">
        <f>SUMIF(Предпосылки!$D$216:$BL$216,tables!BI199,Предпосылки!$D$217:$BL$217)</f>
        <v>0</v>
      </c>
      <c r="BJ203" s="204">
        <f>SUMIF(Предпосылки!$D$216:$BL$216,tables!BJ199,Предпосылки!$D$217:$BL$217)</f>
        <v>0</v>
      </c>
      <c r="BK203" s="204">
        <f>SUMIF(Предпосылки!$D$216:$BL$216,tables!BK199,Предпосылки!$D$217:$BL$217)</f>
        <v>0</v>
      </c>
    </row>
    <row r="204" spans="1:63" ht="13.5">
      <c r="B204" s="175" t="s">
        <v>486</v>
      </c>
      <c r="C204" s="204">
        <f>SUMIF(Предпосылки!$D$240:$BL$240,tables!C199,Предпосылки!$D$241:$BL$241)</f>
        <v>0</v>
      </c>
      <c r="D204" s="204">
        <f>SUMIF(Предпосылки!$D$240:$BL$240,tables!D199,Предпосылки!$D$241:$BL$241)</f>
        <v>0</v>
      </c>
      <c r="E204" s="204">
        <f>SUMIF(Предпосылки!$D$240:$BL$240,tables!E199,Предпосылки!$D$241:$BL$241)</f>
        <v>0</v>
      </c>
      <c r="F204" s="204">
        <f>SUMIF(Предпосылки!$D$240:$BL$240,tables!F199,Предпосылки!$D$241:$BL$241)</f>
        <v>0</v>
      </c>
      <c r="G204" s="204">
        <f>SUMIF(Предпосылки!$D$240:$BL$240,tables!G199,Предпосылки!$D$241:$BL$241)</f>
        <v>0</v>
      </c>
      <c r="H204" s="204">
        <f>SUMIF(Предпосылки!$D$240:$BL$240,tables!H199,Предпосылки!$D$241:$BL$241)</f>
        <v>0</v>
      </c>
      <c r="I204" s="204">
        <f>SUMIF(Предпосылки!$D$240:$BL$240,tables!I199,Предпосылки!$D$241:$BL$241)</f>
        <v>0</v>
      </c>
      <c r="J204" s="204">
        <f>SUMIF(Предпосылки!$D$240:$BL$240,tables!J199,Предпосылки!$D$241:$BL$241)</f>
        <v>0</v>
      </c>
      <c r="K204" s="204">
        <f>SUMIF(Предпосылки!$D$240:$BL$240,tables!K199,Предпосылки!$D$241:$BL$241)</f>
        <v>0</v>
      </c>
      <c r="L204" s="204">
        <f>SUMIF(Предпосылки!$D$240:$BL$240,tables!L199,Предпосылки!$D$241:$BL$241)</f>
        <v>0</v>
      </c>
      <c r="M204" s="204">
        <f>SUMIF(Предпосылки!$D$240:$BL$240,tables!M199,Предпосылки!$D$241:$BL$241)</f>
        <v>0</v>
      </c>
      <c r="N204" s="204">
        <f>SUMIF(Предпосылки!$D$240:$BL$240,tables!N199,Предпосылки!$D$241:$BL$241)</f>
        <v>0</v>
      </c>
      <c r="O204" s="204">
        <f>SUMIF(Предпосылки!$D$240:$BL$240,tables!O199,Предпосылки!$D$241:$BL$241)</f>
        <v>0</v>
      </c>
      <c r="P204" s="204">
        <f>SUMIF(Предпосылки!$D$240:$BL$240,tables!P199,Предпосылки!$D$241:$BL$241)</f>
        <v>0</v>
      </c>
      <c r="Q204" s="204">
        <f>SUMIF(Предпосылки!$D$240:$BL$240,tables!Q199,Предпосылки!$D$241:$BL$241)</f>
        <v>0</v>
      </c>
      <c r="R204" s="204">
        <f>SUMIF(Предпосылки!$D$240:$BL$240,tables!R199,Предпосылки!$D$241:$BL$241)</f>
        <v>0</v>
      </c>
      <c r="S204" s="204">
        <f>SUMIF(Предпосылки!$D$240:$BL$240,tables!S199,Предпосылки!$D$241:$BL$241)</f>
        <v>0</v>
      </c>
      <c r="T204" s="204">
        <f>SUMIF(Предпосылки!$D$240:$BL$240,tables!T199,Предпосылки!$D$241:$BL$241)</f>
        <v>0</v>
      </c>
      <c r="U204" s="204">
        <f>SUMIF(Предпосылки!$D$240:$BL$240,tables!U199,Предпосылки!$D$241:$BL$241)</f>
        <v>0</v>
      </c>
      <c r="V204" s="204">
        <f>SUMIF(Предпосылки!$D$240:$BL$240,tables!V199,Предпосылки!$D$241:$BL$241)</f>
        <v>0</v>
      </c>
      <c r="W204" s="204">
        <f>SUMIF(Предпосылки!$D$240:$BL$240,tables!W199,Предпосылки!$D$241:$BL$241)</f>
        <v>0</v>
      </c>
      <c r="X204" s="204">
        <f>SUMIF(Предпосылки!$D$240:$BL$240,tables!X199,Предпосылки!$D$241:$BL$241)</f>
        <v>0</v>
      </c>
      <c r="Y204" s="204">
        <f>SUMIF(Предпосылки!$D$240:$BL$240,tables!Y199,Предпосылки!$D$241:$BL$241)</f>
        <v>0</v>
      </c>
      <c r="Z204" s="204">
        <f>SUMIF(Предпосылки!$D$240:$BL$240,tables!Z199,Предпосылки!$D$241:$BL$241)</f>
        <v>0</v>
      </c>
      <c r="AA204" s="204">
        <f>SUMIF(Предпосылки!$D$240:$BL$240,tables!AA199,Предпосылки!$D$241:$BL$241)</f>
        <v>0</v>
      </c>
      <c r="AB204" s="204">
        <f>SUMIF(Предпосылки!$D$240:$BL$240,tables!AB199,Предпосылки!$D$241:$BL$241)</f>
        <v>0</v>
      </c>
      <c r="AC204" s="204">
        <f>SUMIF(Предпосылки!$D$240:$BL$240,tables!AC199,Предпосылки!$D$241:$BL$241)</f>
        <v>0</v>
      </c>
      <c r="AD204" s="204">
        <f>SUMIF(Предпосылки!$D$240:$BL$240,tables!AD199,Предпосылки!$D$241:$BL$241)</f>
        <v>0</v>
      </c>
      <c r="AE204" s="204">
        <f>SUMIF(Предпосылки!$D$240:$BL$240,tables!AE199,Предпосылки!$D$241:$BL$241)</f>
        <v>0</v>
      </c>
      <c r="AF204" s="204">
        <f>SUMIF(Предпосылки!$D$240:$BL$240,tables!AF199,Предпосылки!$D$241:$BL$241)</f>
        <v>0</v>
      </c>
      <c r="AG204" s="204">
        <f>SUMIF(Предпосылки!$D$240:$BL$240,tables!AG199,Предпосылки!$D$241:$BL$241)</f>
        <v>0</v>
      </c>
      <c r="AH204" s="204">
        <f>SUMIF(Предпосылки!$D$240:$BL$240,tables!AH199,Предпосылки!$D$241:$BL$241)</f>
        <v>0</v>
      </c>
      <c r="AI204" s="204">
        <f>SUMIF(Предпосылки!$D$240:$BL$240,tables!AI199,Предпосылки!$D$241:$BL$241)</f>
        <v>0</v>
      </c>
      <c r="AJ204" s="204">
        <f>SUMIF(Предпосылки!$D$240:$BL$240,tables!AJ199,Предпосылки!$D$241:$BL$241)</f>
        <v>0</v>
      </c>
      <c r="AK204" s="204">
        <f>SUMIF(Предпосылки!$D$240:$BL$240,tables!AK199,Предпосылки!$D$241:$BL$241)</f>
        <v>0</v>
      </c>
      <c r="AL204" s="204">
        <f>SUMIF(Предпосылки!$D$240:$BL$240,tables!AL199,Предпосылки!$D$241:$BL$241)</f>
        <v>0</v>
      </c>
      <c r="AM204" s="204">
        <f>SUMIF(Предпосылки!$D$240:$BL$240,tables!AM199,Предпосылки!$D$241:$BL$241)</f>
        <v>0</v>
      </c>
      <c r="AN204" s="204">
        <f>SUMIF(Предпосылки!$D$240:$BL$240,tables!AN199,Предпосылки!$D$241:$BL$241)</f>
        <v>0</v>
      </c>
      <c r="AO204" s="204">
        <f>SUMIF(Предпосылки!$D$240:$BL$240,tables!AO199,Предпосылки!$D$241:$BL$241)</f>
        <v>0</v>
      </c>
      <c r="AP204" s="204">
        <f>SUMIF(Предпосылки!$D$240:$BL$240,tables!AP199,Предпосылки!$D$241:$BL$241)</f>
        <v>0</v>
      </c>
      <c r="AQ204" s="204">
        <f>SUMIF(Предпосылки!$D$240:$BL$240,tables!AQ199,Предпосылки!$D$241:$BL$241)</f>
        <v>0</v>
      </c>
      <c r="AR204" s="204">
        <f>SUMIF(Предпосылки!$D$240:$BL$240,tables!AR199,Предпосылки!$D$241:$BL$241)</f>
        <v>0</v>
      </c>
      <c r="AS204" s="204">
        <f>SUMIF(Предпосылки!$D$240:$BL$240,tables!AS199,Предпосылки!$D$241:$BL$241)</f>
        <v>0</v>
      </c>
      <c r="AT204" s="204">
        <f>SUMIF(Предпосылки!$D$240:$BL$240,tables!AT199,Предпосылки!$D$241:$BL$241)</f>
        <v>0</v>
      </c>
      <c r="AU204" s="204">
        <f>SUMIF(Предпосылки!$D$240:$BL$240,tables!AU199,Предпосылки!$D$241:$BL$241)</f>
        <v>0</v>
      </c>
      <c r="AV204" s="204">
        <f>SUMIF(Предпосылки!$D$240:$BL$240,tables!AV199,Предпосылки!$D$241:$BL$241)</f>
        <v>0</v>
      </c>
      <c r="AW204" s="204">
        <f>SUMIF(Предпосылки!$D$240:$BL$240,tables!AW199,Предпосылки!$D$241:$BL$241)</f>
        <v>0</v>
      </c>
      <c r="AX204" s="204">
        <f>SUMIF(Предпосылки!$D$240:$BL$240,tables!AX199,Предпосылки!$D$241:$BL$241)</f>
        <v>0</v>
      </c>
      <c r="AY204" s="204">
        <f>SUMIF(Предпосылки!$D$240:$BL$240,tables!AY199,Предпосылки!$D$241:$BL$241)</f>
        <v>0</v>
      </c>
      <c r="AZ204" s="204">
        <f>SUMIF(Предпосылки!$D$240:$BL$240,tables!AZ199,Предпосылки!$D$241:$BL$241)</f>
        <v>0</v>
      </c>
      <c r="BA204" s="204">
        <f>SUMIF(Предпосылки!$D$240:$BL$240,tables!BA199,Предпосылки!$D$241:$BL$241)</f>
        <v>0</v>
      </c>
      <c r="BB204" s="204">
        <f>SUMIF(Предпосылки!$D$240:$BL$240,tables!BB199,Предпосылки!$D$241:$BL$241)</f>
        <v>0</v>
      </c>
      <c r="BC204" s="204">
        <f>SUMIF(Предпосылки!$D$240:$BL$240,tables!BC199,Предпосылки!$D$241:$BL$241)</f>
        <v>0</v>
      </c>
      <c r="BD204" s="204">
        <f>SUMIF(Предпосылки!$D$240:$BL$240,tables!BD199,Предпосылки!$D$241:$BL$241)</f>
        <v>0</v>
      </c>
      <c r="BE204" s="204">
        <f>SUMIF(Предпосылки!$D$240:$BL$240,tables!BE199,Предпосылки!$D$241:$BL$241)</f>
        <v>0</v>
      </c>
      <c r="BF204" s="204">
        <f>SUMIF(Предпосылки!$D$240:$BL$240,tables!BF199,Предпосылки!$D$241:$BL$241)</f>
        <v>0</v>
      </c>
      <c r="BG204" s="204">
        <f>SUMIF(Предпосылки!$D$240:$BL$240,tables!BG199,Предпосылки!$D$241:$BL$241)</f>
        <v>0</v>
      </c>
      <c r="BH204" s="204">
        <f>SUMIF(Предпосылки!$D$240:$BL$240,tables!BH199,Предпосылки!$D$241:$BL$241)</f>
        <v>0</v>
      </c>
      <c r="BI204" s="204">
        <f>SUMIF(Предпосылки!$D$240:$BL$240,tables!BI199,Предпосылки!$D$241:$BL$241)</f>
        <v>0</v>
      </c>
      <c r="BJ204" s="204">
        <f>SUMIF(Предпосылки!$D$240:$BL$240,tables!BJ199,Предпосылки!$D$241:$BL$241)</f>
        <v>0</v>
      </c>
      <c r="BK204" s="204">
        <f>SUMIF(Предпосылки!$D$240:$BL$240,tables!BK199,Предпосылки!$D$241:$BL$241)</f>
        <v>0</v>
      </c>
    </row>
    <row r="205" spans="1:63" ht="13.5">
      <c r="B205" s="175" t="s">
        <v>487</v>
      </c>
      <c r="C205" s="204" t="e">
        <f>C204+C203+C202+C201-C200</f>
        <v>#REF!</v>
      </c>
      <c r="D205" s="204" t="e">
        <f>D204+D203+D202+D201-D200+C205</f>
        <v>#REF!</v>
      </c>
      <c r="E205" s="204" t="e">
        <f t="shared" ref="E205:BK205" si="22">E204+E203+E202+E201-E200+D205</f>
        <v>#REF!</v>
      </c>
      <c r="F205" s="204" t="e">
        <f t="shared" si="22"/>
        <v>#REF!</v>
      </c>
      <c r="G205" s="204" t="e">
        <f t="shared" si="22"/>
        <v>#REF!</v>
      </c>
      <c r="H205" s="204" t="e">
        <f t="shared" si="22"/>
        <v>#REF!</v>
      </c>
      <c r="I205" s="204" t="e">
        <f t="shared" si="22"/>
        <v>#REF!</v>
      </c>
      <c r="J205" s="204" t="e">
        <f t="shared" si="22"/>
        <v>#REF!</v>
      </c>
      <c r="K205" s="204" t="e">
        <f t="shared" si="22"/>
        <v>#REF!</v>
      </c>
      <c r="L205" s="204" t="e">
        <f t="shared" si="22"/>
        <v>#REF!</v>
      </c>
      <c r="M205" s="204" t="e">
        <f t="shared" si="22"/>
        <v>#REF!</v>
      </c>
      <c r="N205" s="204" t="e">
        <f t="shared" si="22"/>
        <v>#REF!</v>
      </c>
      <c r="O205" s="204" t="e">
        <f t="shared" si="22"/>
        <v>#REF!</v>
      </c>
      <c r="P205" s="204" t="e">
        <f t="shared" si="22"/>
        <v>#REF!</v>
      </c>
      <c r="Q205" s="204" t="e">
        <f t="shared" si="22"/>
        <v>#REF!</v>
      </c>
      <c r="R205" s="204" t="e">
        <f t="shared" si="22"/>
        <v>#REF!</v>
      </c>
      <c r="S205" s="204" t="e">
        <f t="shared" si="22"/>
        <v>#REF!</v>
      </c>
      <c r="T205" s="204" t="e">
        <f t="shared" si="22"/>
        <v>#REF!</v>
      </c>
      <c r="U205" s="204" t="e">
        <f t="shared" si="22"/>
        <v>#REF!</v>
      </c>
      <c r="V205" s="204" t="e">
        <f t="shared" si="22"/>
        <v>#REF!</v>
      </c>
      <c r="W205" s="204" t="e">
        <f t="shared" si="22"/>
        <v>#REF!</v>
      </c>
      <c r="X205" s="204" t="e">
        <f t="shared" si="22"/>
        <v>#REF!</v>
      </c>
      <c r="Y205" s="204" t="e">
        <f t="shared" si="22"/>
        <v>#REF!</v>
      </c>
      <c r="Z205" s="204" t="e">
        <f t="shared" si="22"/>
        <v>#REF!</v>
      </c>
      <c r="AA205" s="204" t="e">
        <f t="shared" si="22"/>
        <v>#REF!</v>
      </c>
      <c r="AB205" s="204" t="e">
        <f t="shared" si="22"/>
        <v>#REF!</v>
      </c>
      <c r="AC205" s="204" t="e">
        <f t="shared" si="22"/>
        <v>#REF!</v>
      </c>
      <c r="AD205" s="204" t="e">
        <f t="shared" si="22"/>
        <v>#REF!</v>
      </c>
      <c r="AE205" s="204" t="e">
        <f t="shared" si="22"/>
        <v>#REF!</v>
      </c>
      <c r="AF205" s="204" t="e">
        <f t="shared" si="22"/>
        <v>#REF!</v>
      </c>
      <c r="AG205" s="204" t="e">
        <f t="shared" si="22"/>
        <v>#REF!</v>
      </c>
      <c r="AH205" s="204" t="e">
        <f t="shared" si="22"/>
        <v>#REF!</v>
      </c>
      <c r="AI205" s="204" t="e">
        <f t="shared" si="22"/>
        <v>#REF!</v>
      </c>
      <c r="AJ205" s="204" t="e">
        <f t="shared" si="22"/>
        <v>#REF!</v>
      </c>
      <c r="AK205" s="204" t="e">
        <f t="shared" si="22"/>
        <v>#REF!</v>
      </c>
      <c r="AL205" s="204" t="e">
        <f t="shared" si="22"/>
        <v>#REF!</v>
      </c>
      <c r="AM205" s="204" t="e">
        <f t="shared" si="22"/>
        <v>#REF!</v>
      </c>
      <c r="AN205" s="204" t="e">
        <f t="shared" si="22"/>
        <v>#REF!</v>
      </c>
      <c r="AO205" s="204" t="e">
        <f t="shared" si="22"/>
        <v>#REF!</v>
      </c>
      <c r="AP205" s="204" t="e">
        <f t="shared" si="22"/>
        <v>#REF!</v>
      </c>
      <c r="AQ205" s="204" t="e">
        <f t="shared" si="22"/>
        <v>#REF!</v>
      </c>
      <c r="AR205" s="204" t="e">
        <f t="shared" si="22"/>
        <v>#REF!</v>
      </c>
      <c r="AS205" s="204" t="e">
        <f t="shared" si="22"/>
        <v>#REF!</v>
      </c>
      <c r="AT205" s="204" t="e">
        <f t="shared" si="22"/>
        <v>#REF!</v>
      </c>
      <c r="AU205" s="204" t="e">
        <f t="shared" si="22"/>
        <v>#REF!</v>
      </c>
      <c r="AV205" s="204" t="e">
        <f t="shared" si="22"/>
        <v>#REF!</v>
      </c>
      <c r="AW205" s="204" t="e">
        <f t="shared" si="22"/>
        <v>#REF!</v>
      </c>
      <c r="AX205" s="204" t="e">
        <f t="shared" si="22"/>
        <v>#REF!</v>
      </c>
      <c r="AY205" s="204" t="e">
        <f t="shared" si="22"/>
        <v>#REF!</v>
      </c>
      <c r="AZ205" s="204" t="e">
        <f t="shared" si="22"/>
        <v>#REF!</v>
      </c>
      <c r="BA205" s="204" t="e">
        <f t="shared" si="22"/>
        <v>#REF!</v>
      </c>
      <c r="BB205" s="204" t="e">
        <f t="shared" si="22"/>
        <v>#REF!</v>
      </c>
      <c r="BC205" s="204" t="e">
        <f t="shared" si="22"/>
        <v>#REF!</v>
      </c>
      <c r="BD205" s="204" t="e">
        <f t="shared" si="22"/>
        <v>#REF!</v>
      </c>
      <c r="BE205" s="204" t="e">
        <f t="shared" si="22"/>
        <v>#REF!</v>
      </c>
      <c r="BF205" s="204" t="e">
        <f t="shared" si="22"/>
        <v>#REF!</v>
      </c>
      <c r="BG205" s="204" t="e">
        <f t="shared" si="22"/>
        <v>#REF!</v>
      </c>
      <c r="BH205" s="204" t="e">
        <f t="shared" si="22"/>
        <v>#REF!</v>
      </c>
      <c r="BI205" s="204" t="e">
        <f t="shared" si="22"/>
        <v>#REF!</v>
      </c>
      <c r="BJ205" s="204" t="e">
        <f t="shared" si="22"/>
        <v>#REF!</v>
      </c>
      <c r="BK205" s="204" t="e">
        <f t="shared" si="22"/>
        <v>#REF!</v>
      </c>
    </row>
    <row r="208" spans="1:63">
      <c r="G208" s="188" t="s">
        <v>509</v>
      </c>
    </row>
    <row r="209" spans="2:63" ht="13.5">
      <c r="B209" s="175" t="s">
        <v>508</v>
      </c>
      <c r="C209" s="196" t="e">
        <f>#REF!</f>
        <v>#REF!</v>
      </c>
      <c r="D209" s="196" t="e">
        <f>#REF!</f>
        <v>#REF!</v>
      </c>
      <c r="E209" s="196" t="e">
        <f>#REF!</f>
        <v>#REF!</v>
      </c>
      <c r="F209" s="196" t="e">
        <f>#REF!</f>
        <v>#REF!</v>
      </c>
      <c r="G209" s="196" t="e">
        <f>#REF!</f>
        <v>#REF!</v>
      </c>
      <c r="H209" s="196" t="e">
        <f>#REF!</f>
        <v>#REF!</v>
      </c>
      <c r="I209" s="196" t="e">
        <f>#REF!</f>
        <v>#REF!</v>
      </c>
      <c r="J209" s="196" t="e">
        <f>#REF!</f>
        <v>#REF!</v>
      </c>
      <c r="K209" s="196" t="e">
        <f>#REF!</f>
        <v>#REF!</v>
      </c>
      <c r="L209" s="196" t="e">
        <f>#REF!</f>
        <v>#REF!</v>
      </c>
      <c r="M209" s="196" t="e">
        <f>#REF!</f>
        <v>#REF!</v>
      </c>
      <c r="N209" s="196" t="e">
        <f>#REF!</f>
        <v>#REF!</v>
      </c>
      <c r="O209" s="196" t="e">
        <f>#REF!</f>
        <v>#REF!</v>
      </c>
      <c r="P209" s="196" t="e">
        <f>#REF!</f>
        <v>#REF!</v>
      </c>
      <c r="Q209" s="196" t="e">
        <f>#REF!</f>
        <v>#REF!</v>
      </c>
      <c r="R209" s="196" t="e">
        <f>#REF!</f>
        <v>#REF!</v>
      </c>
      <c r="S209" s="196" t="e">
        <f>#REF!</f>
        <v>#REF!</v>
      </c>
      <c r="T209" s="196" t="e">
        <f>#REF!</f>
        <v>#REF!</v>
      </c>
      <c r="U209" s="196" t="e">
        <f>#REF!</f>
        <v>#REF!</v>
      </c>
      <c r="V209" s="196" t="e">
        <f>#REF!</f>
        <v>#REF!</v>
      </c>
      <c r="W209" s="196" t="e">
        <f>#REF!</f>
        <v>#REF!</v>
      </c>
      <c r="X209" s="196" t="e">
        <f>#REF!</f>
        <v>#REF!</v>
      </c>
      <c r="Y209" s="196" t="e">
        <f>#REF!</f>
        <v>#REF!</v>
      </c>
      <c r="Z209" s="196" t="e">
        <f>#REF!</f>
        <v>#REF!</v>
      </c>
      <c r="AA209" s="196" t="e">
        <f>#REF!</f>
        <v>#REF!</v>
      </c>
      <c r="AB209" s="196" t="e">
        <f>#REF!</f>
        <v>#REF!</v>
      </c>
      <c r="AC209" s="196" t="e">
        <f>#REF!</f>
        <v>#REF!</v>
      </c>
      <c r="AD209" s="196" t="e">
        <f>#REF!</f>
        <v>#REF!</v>
      </c>
      <c r="AE209" s="196" t="e">
        <f>#REF!</f>
        <v>#REF!</v>
      </c>
      <c r="AF209" s="196" t="e">
        <f>#REF!</f>
        <v>#REF!</v>
      </c>
      <c r="AG209" s="196" t="e">
        <f>#REF!</f>
        <v>#REF!</v>
      </c>
      <c r="AH209" s="196" t="e">
        <f>#REF!</f>
        <v>#REF!</v>
      </c>
      <c r="AI209" s="196" t="e">
        <f>#REF!</f>
        <v>#REF!</v>
      </c>
      <c r="AJ209" s="196" t="e">
        <f>#REF!</f>
        <v>#REF!</v>
      </c>
      <c r="AK209" s="196" t="e">
        <f>#REF!</f>
        <v>#REF!</v>
      </c>
      <c r="AL209" s="196" t="e">
        <f>#REF!</f>
        <v>#REF!</v>
      </c>
      <c r="AM209" s="196" t="e">
        <f>#REF!</f>
        <v>#REF!</v>
      </c>
      <c r="AN209" s="196" t="e">
        <f>#REF!</f>
        <v>#REF!</v>
      </c>
      <c r="AO209" s="196" t="e">
        <f>#REF!</f>
        <v>#REF!</v>
      </c>
      <c r="AP209" s="196" t="e">
        <f>#REF!</f>
        <v>#REF!</v>
      </c>
      <c r="AQ209" s="196" t="e">
        <f>#REF!</f>
        <v>#REF!</v>
      </c>
      <c r="AR209" s="196" t="e">
        <f>#REF!</f>
        <v>#REF!</v>
      </c>
      <c r="AS209" s="196" t="e">
        <f>#REF!</f>
        <v>#REF!</v>
      </c>
      <c r="AT209" s="196" t="e">
        <f>#REF!</f>
        <v>#REF!</v>
      </c>
      <c r="AU209" s="196" t="e">
        <f>#REF!</f>
        <v>#REF!</v>
      </c>
      <c r="AV209" s="196" t="e">
        <f>#REF!</f>
        <v>#REF!</v>
      </c>
      <c r="AW209" s="196" t="e">
        <f>#REF!</f>
        <v>#REF!</v>
      </c>
      <c r="AX209" s="196" t="e">
        <f>#REF!</f>
        <v>#REF!</v>
      </c>
      <c r="AY209" s="196" t="e">
        <f>#REF!</f>
        <v>#REF!</v>
      </c>
      <c r="AZ209" s="196" t="e">
        <f>#REF!</f>
        <v>#REF!</v>
      </c>
      <c r="BA209" s="196" t="e">
        <f>#REF!</f>
        <v>#REF!</v>
      </c>
      <c r="BB209" s="196" t="e">
        <f>#REF!</f>
        <v>#REF!</v>
      </c>
      <c r="BC209" s="196" t="e">
        <f>#REF!</f>
        <v>#REF!</v>
      </c>
      <c r="BD209" s="196" t="e">
        <f>#REF!</f>
        <v>#REF!</v>
      </c>
      <c r="BE209" s="196" t="e">
        <f>#REF!</f>
        <v>#REF!</v>
      </c>
      <c r="BF209" s="196" t="e">
        <f>#REF!</f>
        <v>#REF!</v>
      </c>
      <c r="BG209" s="196" t="e">
        <f>#REF!</f>
        <v>#REF!</v>
      </c>
      <c r="BH209" s="196" t="e">
        <f>#REF!</f>
        <v>#REF!</v>
      </c>
      <c r="BI209" s="196" t="e">
        <f>#REF!</f>
        <v>#REF!</v>
      </c>
      <c r="BJ209" s="196" t="e">
        <f>#REF!</f>
        <v>#REF!</v>
      </c>
      <c r="BK209" s="196" t="e">
        <f>#REF!</f>
        <v>#REF!</v>
      </c>
    </row>
    <row r="210" spans="2:63">
      <c r="B210" s="207" t="str">
        <f>'Квартальная отчетность'!B16</f>
        <v>Выручка</v>
      </c>
      <c r="C210" s="209">
        <f>'Квартальная отчетность'!E16</f>
        <v>0</v>
      </c>
      <c r="D210" s="209">
        <f>'Квартальная отчетность'!F16</f>
        <v>0</v>
      </c>
      <c r="E210" s="209">
        <f>'Квартальная отчетность'!G16</f>
        <v>0</v>
      </c>
      <c r="F210" s="209">
        <f>'Квартальная отчетность'!H16</f>
        <v>0</v>
      </c>
      <c r="G210" s="209">
        <f>'Квартальная отчетность'!I16</f>
        <v>0</v>
      </c>
      <c r="H210" s="209">
        <f>'Квартальная отчетность'!J16</f>
        <v>0</v>
      </c>
      <c r="I210" s="209">
        <f>'Квартальная отчетность'!K16</f>
        <v>0</v>
      </c>
      <c r="J210" s="209">
        <f>'Квартальная отчетность'!L16</f>
        <v>0</v>
      </c>
      <c r="K210" s="209">
        <f>'Квартальная отчетность'!M16</f>
        <v>0</v>
      </c>
      <c r="L210" s="209">
        <f>'Квартальная отчетность'!N16</f>
        <v>0</v>
      </c>
      <c r="M210" s="209">
        <f>'Квартальная отчетность'!O16</f>
        <v>0</v>
      </c>
      <c r="N210" s="209">
        <f>'Квартальная отчетность'!P16</f>
        <v>0</v>
      </c>
      <c r="O210" s="209">
        <f>'Квартальная отчетность'!Q16</f>
        <v>0</v>
      </c>
      <c r="P210" s="209">
        <f>'Квартальная отчетность'!R16</f>
        <v>0</v>
      </c>
      <c r="Q210" s="209">
        <f>'Квартальная отчетность'!S16</f>
        <v>0</v>
      </c>
      <c r="R210" s="209">
        <f>'Квартальная отчетность'!T16</f>
        <v>0</v>
      </c>
      <c r="S210" s="209">
        <f>'Квартальная отчетность'!U16</f>
        <v>0</v>
      </c>
      <c r="T210" s="209">
        <f>'Квартальная отчетность'!V16</f>
        <v>0</v>
      </c>
      <c r="U210" s="209">
        <f>'Квартальная отчетность'!W16</f>
        <v>0</v>
      </c>
      <c r="V210" s="209">
        <f>'Квартальная отчетность'!X16</f>
        <v>0</v>
      </c>
      <c r="W210" s="209">
        <f>'Квартальная отчетность'!Y16</f>
        <v>0</v>
      </c>
      <c r="X210" s="209">
        <f>'Квартальная отчетность'!Z16</f>
        <v>0</v>
      </c>
      <c r="Y210" s="209">
        <f>'Квартальная отчетность'!AA16</f>
        <v>0</v>
      </c>
      <c r="Z210" s="209">
        <f>'Квартальная отчетность'!AB16</f>
        <v>0</v>
      </c>
      <c r="AA210" s="209">
        <f>'Квартальная отчетность'!AC16</f>
        <v>0</v>
      </c>
      <c r="AB210" s="209">
        <f>'Квартальная отчетность'!AD16</f>
        <v>0</v>
      </c>
      <c r="AC210" s="209">
        <f>'Квартальная отчетность'!AE16</f>
        <v>0</v>
      </c>
      <c r="AD210" s="209">
        <f>'Квартальная отчетность'!AF16</f>
        <v>0</v>
      </c>
      <c r="AE210" s="209">
        <f>'Квартальная отчетность'!AG16</f>
        <v>0</v>
      </c>
      <c r="AF210" s="209">
        <f>'Квартальная отчетность'!AH16</f>
        <v>0</v>
      </c>
      <c r="AG210" s="209">
        <f>'Квартальная отчетность'!AI16</f>
        <v>0</v>
      </c>
      <c r="AH210" s="209">
        <f>'Квартальная отчетность'!AJ16</f>
        <v>0</v>
      </c>
      <c r="AI210" s="209">
        <f>'Квартальная отчетность'!AK16</f>
        <v>0</v>
      </c>
      <c r="AJ210" s="209">
        <f>'Квартальная отчетность'!AL16</f>
        <v>0</v>
      </c>
      <c r="AK210" s="209">
        <f>'Квартальная отчетность'!AM16</f>
        <v>0</v>
      </c>
      <c r="AL210" s="209">
        <f>'Квартальная отчетность'!AN16</f>
        <v>0</v>
      </c>
      <c r="AM210" s="209">
        <f>'Квартальная отчетность'!AO16</f>
        <v>0</v>
      </c>
      <c r="AN210" s="209">
        <f>'Квартальная отчетность'!AP16</f>
        <v>0</v>
      </c>
      <c r="AO210" s="209">
        <f>'Квартальная отчетность'!AQ16</f>
        <v>0</v>
      </c>
      <c r="AP210" s="209">
        <f>'Квартальная отчетность'!AR16</f>
        <v>0</v>
      </c>
      <c r="AQ210" s="209">
        <f>'Квартальная отчетность'!AS16</f>
        <v>0</v>
      </c>
      <c r="AR210" s="209">
        <f>'Квартальная отчетность'!AT16</f>
        <v>0</v>
      </c>
      <c r="AS210" s="209">
        <f>'Квартальная отчетность'!AU16</f>
        <v>0</v>
      </c>
      <c r="AT210" s="209">
        <f>'Квартальная отчетность'!AV16</f>
        <v>0</v>
      </c>
      <c r="AU210" s="209">
        <f>'Квартальная отчетность'!AW16</f>
        <v>0</v>
      </c>
      <c r="AV210" s="209">
        <f>'Квартальная отчетность'!AX16</f>
        <v>0</v>
      </c>
      <c r="AW210" s="209">
        <f>'Квартальная отчетность'!AY16</f>
        <v>0</v>
      </c>
      <c r="AX210" s="209">
        <f>'Квартальная отчетность'!AZ16</f>
        <v>0</v>
      </c>
      <c r="AY210" s="209">
        <f>'Квартальная отчетность'!BA16</f>
        <v>0</v>
      </c>
      <c r="AZ210" s="209">
        <f>'Квартальная отчетность'!BB16</f>
        <v>0</v>
      </c>
      <c r="BA210" s="209">
        <f>'Квартальная отчетность'!BC16</f>
        <v>0</v>
      </c>
      <c r="BB210" s="209">
        <f>'Квартальная отчетность'!BD16</f>
        <v>0</v>
      </c>
      <c r="BC210" s="209">
        <f>'Квартальная отчетность'!BE16</f>
        <v>0</v>
      </c>
      <c r="BD210" s="209">
        <f>'Квартальная отчетность'!BF16</f>
        <v>0</v>
      </c>
      <c r="BE210" s="209">
        <f>'Квартальная отчетность'!BG16</f>
        <v>0</v>
      </c>
      <c r="BF210" s="209">
        <f>'Квартальная отчетность'!BH16</f>
        <v>0</v>
      </c>
      <c r="BG210" s="209">
        <f>'Квартальная отчетность'!BI16</f>
        <v>0</v>
      </c>
      <c r="BH210" s="209">
        <f>'Квартальная отчетность'!BJ16</f>
        <v>0</v>
      </c>
      <c r="BI210" s="209">
        <f>'Квартальная отчетность'!BK16</f>
        <v>0</v>
      </c>
      <c r="BJ210" s="209">
        <f>'Квартальная отчетность'!BL16</f>
        <v>0</v>
      </c>
      <c r="BK210" s="209">
        <f>'Квартальная отчетность'!BM16</f>
        <v>0</v>
      </c>
    </row>
    <row r="211" spans="2:63">
      <c r="B211" s="175" t="s">
        <v>433</v>
      </c>
      <c r="C211" s="210" t="s">
        <v>412</v>
      </c>
      <c r="D211" s="211" t="e">
        <f>D210/C210-1</f>
        <v>#DIV/0!</v>
      </c>
      <c r="E211" s="211" t="e">
        <f t="shared" ref="E211:BK211" si="23">E210/D210-1</f>
        <v>#DIV/0!</v>
      </c>
      <c r="F211" s="211" t="e">
        <f t="shared" si="23"/>
        <v>#DIV/0!</v>
      </c>
      <c r="G211" s="211" t="e">
        <f t="shared" si="23"/>
        <v>#DIV/0!</v>
      </c>
      <c r="H211" s="211" t="e">
        <f t="shared" si="23"/>
        <v>#DIV/0!</v>
      </c>
      <c r="I211" s="211" t="e">
        <f t="shared" si="23"/>
        <v>#DIV/0!</v>
      </c>
      <c r="J211" s="211" t="e">
        <f t="shared" si="23"/>
        <v>#DIV/0!</v>
      </c>
      <c r="K211" s="211" t="e">
        <f t="shared" si="23"/>
        <v>#DIV/0!</v>
      </c>
      <c r="L211" s="211" t="e">
        <f t="shared" si="23"/>
        <v>#DIV/0!</v>
      </c>
      <c r="M211" s="211" t="e">
        <f t="shared" si="23"/>
        <v>#DIV/0!</v>
      </c>
      <c r="N211" s="211" t="e">
        <f t="shared" si="23"/>
        <v>#DIV/0!</v>
      </c>
      <c r="O211" s="211" t="e">
        <f t="shared" si="23"/>
        <v>#DIV/0!</v>
      </c>
      <c r="P211" s="211" t="e">
        <f t="shared" si="23"/>
        <v>#DIV/0!</v>
      </c>
      <c r="Q211" s="211" t="e">
        <f t="shared" si="23"/>
        <v>#DIV/0!</v>
      </c>
      <c r="R211" s="211" t="e">
        <f t="shared" si="23"/>
        <v>#DIV/0!</v>
      </c>
      <c r="S211" s="211" t="e">
        <f t="shared" si="23"/>
        <v>#DIV/0!</v>
      </c>
      <c r="T211" s="211" t="e">
        <f t="shared" si="23"/>
        <v>#DIV/0!</v>
      </c>
      <c r="U211" s="211" t="e">
        <f t="shared" si="23"/>
        <v>#DIV/0!</v>
      </c>
      <c r="V211" s="211" t="e">
        <f t="shared" si="23"/>
        <v>#DIV/0!</v>
      </c>
      <c r="W211" s="211" t="e">
        <f t="shared" si="23"/>
        <v>#DIV/0!</v>
      </c>
      <c r="X211" s="211" t="e">
        <f t="shared" si="23"/>
        <v>#DIV/0!</v>
      </c>
      <c r="Y211" s="211" t="e">
        <f t="shared" si="23"/>
        <v>#DIV/0!</v>
      </c>
      <c r="Z211" s="211" t="e">
        <f t="shared" si="23"/>
        <v>#DIV/0!</v>
      </c>
      <c r="AA211" s="211" t="e">
        <f t="shared" si="23"/>
        <v>#DIV/0!</v>
      </c>
      <c r="AB211" s="211" t="e">
        <f t="shared" si="23"/>
        <v>#DIV/0!</v>
      </c>
      <c r="AC211" s="211" t="e">
        <f t="shared" si="23"/>
        <v>#DIV/0!</v>
      </c>
      <c r="AD211" s="211" t="e">
        <f t="shared" si="23"/>
        <v>#DIV/0!</v>
      </c>
      <c r="AE211" s="211" t="e">
        <f t="shared" si="23"/>
        <v>#DIV/0!</v>
      </c>
      <c r="AF211" s="211" t="e">
        <f t="shared" si="23"/>
        <v>#DIV/0!</v>
      </c>
      <c r="AG211" s="211" t="e">
        <f t="shared" si="23"/>
        <v>#DIV/0!</v>
      </c>
      <c r="AH211" s="211" t="e">
        <f t="shared" si="23"/>
        <v>#DIV/0!</v>
      </c>
      <c r="AI211" s="211" t="e">
        <f t="shared" si="23"/>
        <v>#DIV/0!</v>
      </c>
      <c r="AJ211" s="211" t="e">
        <f t="shared" si="23"/>
        <v>#DIV/0!</v>
      </c>
      <c r="AK211" s="211" t="e">
        <f t="shared" si="23"/>
        <v>#DIV/0!</v>
      </c>
      <c r="AL211" s="211" t="e">
        <f t="shared" si="23"/>
        <v>#DIV/0!</v>
      </c>
      <c r="AM211" s="211" t="e">
        <f t="shared" si="23"/>
        <v>#DIV/0!</v>
      </c>
      <c r="AN211" s="211" t="e">
        <f t="shared" si="23"/>
        <v>#DIV/0!</v>
      </c>
      <c r="AO211" s="211" t="e">
        <f t="shared" si="23"/>
        <v>#DIV/0!</v>
      </c>
      <c r="AP211" s="211" t="e">
        <f t="shared" si="23"/>
        <v>#DIV/0!</v>
      </c>
      <c r="AQ211" s="211" t="e">
        <f t="shared" si="23"/>
        <v>#DIV/0!</v>
      </c>
      <c r="AR211" s="211" t="e">
        <f t="shared" si="23"/>
        <v>#DIV/0!</v>
      </c>
      <c r="AS211" s="211" t="e">
        <f t="shared" si="23"/>
        <v>#DIV/0!</v>
      </c>
      <c r="AT211" s="211" t="e">
        <f t="shared" si="23"/>
        <v>#DIV/0!</v>
      </c>
      <c r="AU211" s="211" t="e">
        <f t="shared" si="23"/>
        <v>#DIV/0!</v>
      </c>
      <c r="AV211" s="211" t="e">
        <f t="shared" si="23"/>
        <v>#DIV/0!</v>
      </c>
      <c r="AW211" s="211" t="e">
        <f t="shared" si="23"/>
        <v>#DIV/0!</v>
      </c>
      <c r="AX211" s="211" t="e">
        <f t="shared" si="23"/>
        <v>#DIV/0!</v>
      </c>
      <c r="AY211" s="211" t="e">
        <f t="shared" si="23"/>
        <v>#DIV/0!</v>
      </c>
      <c r="AZ211" s="211" t="e">
        <f t="shared" si="23"/>
        <v>#DIV/0!</v>
      </c>
      <c r="BA211" s="211" t="e">
        <f t="shared" si="23"/>
        <v>#DIV/0!</v>
      </c>
      <c r="BB211" s="211" t="e">
        <f t="shared" si="23"/>
        <v>#DIV/0!</v>
      </c>
      <c r="BC211" s="211" t="e">
        <f t="shared" si="23"/>
        <v>#DIV/0!</v>
      </c>
      <c r="BD211" s="211" t="e">
        <f t="shared" si="23"/>
        <v>#DIV/0!</v>
      </c>
      <c r="BE211" s="211" t="e">
        <f t="shared" si="23"/>
        <v>#DIV/0!</v>
      </c>
      <c r="BF211" s="211" t="e">
        <f t="shared" si="23"/>
        <v>#DIV/0!</v>
      </c>
      <c r="BG211" s="211" t="e">
        <f t="shared" si="23"/>
        <v>#DIV/0!</v>
      </c>
      <c r="BH211" s="211" t="e">
        <f t="shared" si="23"/>
        <v>#DIV/0!</v>
      </c>
      <c r="BI211" s="211" t="e">
        <f t="shared" si="23"/>
        <v>#DIV/0!</v>
      </c>
      <c r="BJ211" s="211" t="e">
        <f t="shared" si="23"/>
        <v>#DIV/0!</v>
      </c>
      <c r="BK211" s="211" t="e">
        <f t="shared" si="23"/>
        <v>#DIV/0!</v>
      </c>
    </row>
    <row r="212" spans="2:63">
      <c r="B212" s="207" t="str">
        <f>'Квартальная отчетность'!B17</f>
        <v>Себестоимость продаж (-)</v>
      </c>
      <c r="C212" s="209">
        <f>'Квартальная отчетность'!E17</f>
        <v>0</v>
      </c>
      <c r="D212" s="209">
        <f>'Квартальная отчетность'!F17</f>
        <v>0</v>
      </c>
      <c r="E212" s="209">
        <f>'Квартальная отчетность'!G17</f>
        <v>0</v>
      </c>
      <c r="F212" s="209">
        <f>'Квартальная отчетность'!H17</f>
        <v>0</v>
      </c>
      <c r="G212" s="209">
        <f>'Квартальная отчетность'!I17</f>
        <v>0</v>
      </c>
      <c r="H212" s="209">
        <f>'Квартальная отчетность'!J17</f>
        <v>0</v>
      </c>
      <c r="I212" s="209">
        <f>'Квартальная отчетность'!K17</f>
        <v>0</v>
      </c>
      <c r="J212" s="209">
        <f>'Квартальная отчетность'!L17</f>
        <v>0</v>
      </c>
      <c r="K212" s="209">
        <f>'Квартальная отчетность'!M17</f>
        <v>0</v>
      </c>
      <c r="L212" s="209">
        <f>'Квартальная отчетность'!N17</f>
        <v>0</v>
      </c>
      <c r="M212" s="209">
        <f>'Квартальная отчетность'!O17</f>
        <v>0</v>
      </c>
      <c r="N212" s="209">
        <f>'Квартальная отчетность'!P17</f>
        <v>0</v>
      </c>
      <c r="O212" s="209">
        <f>'Квартальная отчетность'!Q17</f>
        <v>0</v>
      </c>
      <c r="P212" s="209">
        <f>'Квартальная отчетность'!R17</f>
        <v>0</v>
      </c>
      <c r="Q212" s="209">
        <f>'Квартальная отчетность'!S17</f>
        <v>0</v>
      </c>
      <c r="R212" s="209">
        <f>'Квартальная отчетность'!T17</f>
        <v>0</v>
      </c>
      <c r="S212" s="209">
        <f>'Квартальная отчетность'!U17</f>
        <v>0</v>
      </c>
      <c r="T212" s="209">
        <f>'Квартальная отчетность'!V17</f>
        <v>0</v>
      </c>
      <c r="U212" s="209">
        <f>'Квартальная отчетность'!W17</f>
        <v>0</v>
      </c>
      <c r="V212" s="209">
        <f>'Квартальная отчетность'!X17</f>
        <v>0</v>
      </c>
      <c r="W212" s="209">
        <f>'Квартальная отчетность'!Y17</f>
        <v>0</v>
      </c>
      <c r="X212" s="209">
        <f>'Квартальная отчетность'!Z17</f>
        <v>0</v>
      </c>
      <c r="Y212" s="209">
        <f>'Квартальная отчетность'!AA17</f>
        <v>0</v>
      </c>
      <c r="Z212" s="209">
        <f>'Квартальная отчетность'!AB17</f>
        <v>0</v>
      </c>
      <c r="AA212" s="209">
        <f>'Квартальная отчетность'!AC17</f>
        <v>0</v>
      </c>
      <c r="AB212" s="209">
        <f>'Квартальная отчетность'!AD17</f>
        <v>0</v>
      </c>
      <c r="AC212" s="209">
        <f>'Квартальная отчетность'!AE17</f>
        <v>0</v>
      </c>
      <c r="AD212" s="209">
        <f>'Квартальная отчетность'!AF17</f>
        <v>0</v>
      </c>
      <c r="AE212" s="209">
        <f>'Квартальная отчетность'!AG17</f>
        <v>0</v>
      </c>
      <c r="AF212" s="209">
        <f>'Квартальная отчетность'!AH17</f>
        <v>0</v>
      </c>
      <c r="AG212" s="209">
        <f>'Квартальная отчетность'!AI17</f>
        <v>0</v>
      </c>
      <c r="AH212" s="209">
        <f>'Квартальная отчетность'!AJ17</f>
        <v>0</v>
      </c>
      <c r="AI212" s="209">
        <f>'Квартальная отчетность'!AK17</f>
        <v>0</v>
      </c>
      <c r="AJ212" s="209">
        <f>'Квартальная отчетность'!AL17</f>
        <v>0</v>
      </c>
      <c r="AK212" s="209">
        <f>'Квартальная отчетность'!AM17</f>
        <v>0</v>
      </c>
      <c r="AL212" s="209">
        <f>'Квартальная отчетность'!AN17</f>
        <v>0</v>
      </c>
      <c r="AM212" s="209">
        <f>'Квартальная отчетность'!AO17</f>
        <v>0</v>
      </c>
      <c r="AN212" s="209">
        <f>'Квартальная отчетность'!AP17</f>
        <v>0</v>
      </c>
      <c r="AO212" s="209">
        <f>'Квартальная отчетность'!AQ17</f>
        <v>0</v>
      </c>
      <c r="AP212" s="209">
        <f>'Квартальная отчетность'!AR17</f>
        <v>0</v>
      </c>
      <c r="AQ212" s="209">
        <f>'Квартальная отчетность'!AS17</f>
        <v>0</v>
      </c>
      <c r="AR212" s="209">
        <f>'Квартальная отчетность'!AT17</f>
        <v>0</v>
      </c>
      <c r="AS212" s="209">
        <f>'Квартальная отчетность'!AU17</f>
        <v>0</v>
      </c>
      <c r="AT212" s="209">
        <f>'Квартальная отчетность'!AV17</f>
        <v>0</v>
      </c>
      <c r="AU212" s="209">
        <f>'Квартальная отчетность'!AW17</f>
        <v>0</v>
      </c>
      <c r="AV212" s="209">
        <f>'Квартальная отчетность'!AX17</f>
        <v>0</v>
      </c>
      <c r="AW212" s="209">
        <f>'Квартальная отчетность'!AY17</f>
        <v>0</v>
      </c>
      <c r="AX212" s="209">
        <f>'Квартальная отчетность'!AZ17</f>
        <v>0</v>
      </c>
      <c r="AY212" s="209">
        <f>'Квартальная отчетность'!BA17</f>
        <v>0</v>
      </c>
      <c r="AZ212" s="209">
        <f>'Квартальная отчетность'!BB17</f>
        <v>0</v>
      </c>
      <c r="BA212" s="209">
        <f>'Квартальная отчетность'!BC17</f>
        <v>0</v>
      </c>
      <c r="BB212" s="209">
        <f>'Квартальная отчетность'!BD17</f>
        <v>0</v>
      </c>
      <c r="BC212" s="209">
        <f>'Квартальная отчетность'!BE17</f>
        <v>0</v>
      </c>
      <c r="BD212" s="209">
        <f>'Квартальная отчетность'!BF17</f>
        <v>0</v>
      </c>
      <c r="BE212" s="209">
        <f>'Квартальная отчетность'!BG17</f>
        <v>0</v>
      </c>
      <c r="BF212" s="209">
        <f>'Квартальная отчетность'!BH17</f>
        <v>0</v>
      </c>
      <c r="BG212" s="209">
        <f>'Квартальная отчетность'!BI17</f>
        <v>0</v>
      </c>
      <c r="BH212" s="209">
        <f>'Квартальная отчетность'!BJ17</f>
        <v>0</v>
      </c>
      <c r="BI212" s="209">
        <f>'Квартальная отчетность'!BK17</f>
        <v>0</v>
      </c>
      <c r="BJ212" s="209">
        <f>'Квартальная отчетность'!BL17</f>
        <v>0</v>
      </c>
      <c r="BK212" s="209">
        <f>'Квартальная отчетность'!BM17</f>
        <v>0</v>
      </c>
    </row>
    <row r="213" spans="2:63">
      <c r="B213" s="207" t="str">
        <f>'Квартальная отчетность'!B18</f>
        <v>Валовая прибыль (убыток)</v>
      </c>
      <c r="C213" s="209">
        <f>'Квартальная отчетность'!E18</f>
        <v>0</v>
      </c>
      <c r="D213" s="209">
        <f>'Квартальная отчетность'!F18</f>
        <v>0</v>
      </c>
      <c r="E213" s="209">
        <f>'Квартальная отчетность'!G18</f>
        <v>0</v>
      </c>
      <c r="F213" s="209">
        <f>'Квартальная отчетность'!H18</f>
        <v>0</v>
      </c>
      <c r="G213" s="209">
        <f>'Квартальная отчетность'!I18</f>
        <v>0</v>
      </c>
      <c r="H213" s="209">
        <f>'Квартальная отчетность'!J18</f>
        <v>0</v>
      </c>
      <c r="I213" s="209">
        <f>'Квартальная отчетность'!K18</f>
        <v>0</v>
      </c>
      <c r="J213" s="209">
        <f>'Квартальная отчетность'!L18</f>
        <v>0</v>
      </c>
      <c r="K213" s="209">
        <f>'Квартальная отчетность'!M18</f>
        <v>0</v>
      </c>
      <c r="L213" s="209">
        <f>'Квартальная отчетность'!N18</f>
        <v>0</v>
      </c>
      <c r="M213" s="209">
        <f>'Квартальная отчетность'!O18</f>
        <v>0</v>
      </c>
      <c r="N213" s="209">
        <f>'Квартальная отчетность'!P18</f>
        <v>0</v>
      </c>
      <c r="O213" s="209">
        <f>'Квартальная отчетность'!Q18</f>
        <v>0</v>
      </c>
      <c r="P213" s="209">
        <f>'Квартальная отчетность'!R18</f>
        <v>0</v>
      </c>
      <c r="Q213" s="209">
        <f>'Квартальная отчетность'!S18</f>
        <v>0</v>
      </c>
      <c r="R213" s="209">
        <f>'Квартальная отчетность'!T18</f>
        <v>0</v>
      </c>
      <c r="S213" s="209">
        <f>'Квартальная отчетность'!U18</f>
        <v>0</v>
      </c>
      <c r="T213" s="209">
        <f>'Квартальная отчетность'!V18</f>
        <v>0</v>
      </c>
      <c r="U213" s="209">
        <f>'Квартальная отчетность'!W18</f>
        <v>0</v>
      </c>
      <c r="V213" s="209">
        <f>'Квартальная отчетность'!X18</f>
        <v>0</v>
      </c>
      <c r="W213" s="209">
        <f>'Квартальная отчетность'!Y18</f>
        <v>0</v>
      </c>
      <c r="X213" s="209">
        <f>'Квартальная отчетность'!Z18</f>
        <v>0</v>
      </c>
      <c r="Y213" s="209">
        <f>'Квартальная отчетность'!AA18</f>
        <v>0</v>
      </c>
      <c r="Z213" s="209">
        <f>'Квартальная отчетность'!AB18</f>
        <v>0</v>
      </c>
      <c r="AA213" s="209">
        <f>'Квартальная отчетность'!AC18</f>
        <v>0</v>
      </c>
      <c r="AB213" s="209">
        <f>'Квартальная отчетность'!AD18</f>
        <v>0</v>
      </c>
      <c r="AC213" s="209">
        <f>'Квартальная отчетность'!AE18</f>
        <v>0</v>
      </c>
      <c r="AD213" s="209">
        <f>'Квартальная отчетность'!AF18</f>
        <v>0</v>
      </c>
      <c r="AE213" s="209">
        <f>'Квартальная отчетность'!AG18</f>
        <v>0</v>
      </c>
      <c r="AF213" s="209">
        <f>'Квартальная отчетность'!AH18</f>
        <v>0</v>
      </c>
      <c r="AG213" s="209">
        <f>'Квартальная отчетность'!AI18</f>
        <v>0</v>
      </c>
      <c r="AH213" s="209">
        <f>'Квартальная отчетность'!AJ18</f>
        <v>0</v>
      </c>
      <c r="AI213" s="209">
        <f>'Квартальная отчетность'!AK18</f>
        <v>0</v>
      </c>
      <c r="AJ213" s="209">
        <f>'Квартальная отчетность'!AL18</f>
        <v>0</v>
      </c>
      <c r="AK213" s="209">
        <f>'Квартальная отчетность'!AM18</f>
        <v>0</v>
      </c>
      <c r="AL213" s="209">
        <f>'Квартальная отчетность'!AN18</f>
        <v>0</v>
      </c>
      <c r="AM213" s="209">
        <f>'Квартальная отчетность'!AO18</f>
        <v>0</v>
      </c>
      <c r="AN213" s="209">
        <f>'Квартальная отчетность'!AP18</f>
        <v>0</v>
      </c>
      <c r="AO213" s="209">
        <f>'Квартальная отчетность'!AQ18</f>
        <v>0</v>
      </c>
      <c r="AP213" s="209">
        <f>'Квартальная отчетность'!AR18</f>
        <v>0</v>
      </c>
      <c r="AQ213" s="209">
        <f>'Квартальная отчетность'!AS18</f>
        <v>0</v>
      </c>
      <c r="AR213" s="209">
        <f>'Квартальная отчетность'!AT18</f>
        <v>0</v>
      </c>
      <c r="AS213" s="209">
        <f>'Квартальная отчетность'!AU18</f>
        <v>0</v>
      </c>
      <c r="AT213" s="209">
        <f>'Квартальная отчетность'!AV18</f>
        <v>0</v>
      </c>
      <c r="AU213" s="209">
        <f>'Квартальная отчетность'!AW18</f>
        <v>0</v>
      </c>
      <c r="AV213" s="209">
        <f>'Квартальная отчетность'!AX18</f>
        <v>0</v>
      </c>
      <c r="AW213" s="209">
        <f>'Квартальная отчетность'!AY18</f>
        <v>0</v>
      </c>
      <c r="AX213" s="209">
        <f>'Квартальная отчетность'!AZ18</f>
        <v>0</v>
      </c>
      <c r="AY213" s="209">
        <f>'Квартальная отчетность'!BA18</f>
        <v>0</v>
      </c>
      <c r="AZ213" s="209">
        <f>'Квартальная отчетность'!BB18</f>
        <v>0</v>
      </c>
      <c r="BA213" s="209">
        <f>'Квартальная отчетность'!BC18</f>
        <v>0</v>
      </c>
      <c r="BB213" s="209">
        <f>'Квартальная отчетность'!BD18</f>
        <v>0</v>
      </c>
      <c r="BC213" s="209">
        <f>'Квартальная отчетность'!BE18</f>
        <v>0</v>
      </c>
      <c r="BD213" s="209">
        <f>'Квартальная отчетность'!BF18</f>
        <v>0</v>
      </c>
      <c r="BE213" s="209">
        <f>'Квартальная отчетность'!BG18</f>
        <v>0</v>
      </c>
      <c r="BF213" s="209">
        <f>'Квартальная отчетность'!BH18</f>
        <v>0</v>
      </c>
      <c r="BG213" s="209">
        <f>'Квартальная отчетность'!BI18</f>
        <v>0</v>
      </c>
      <c r="BH213" s="209">
        <f>'Квартальная отчетность'!BJ18</f>
        <v>0</v>
      </c>
      <c r="BI213" s="209">
        <f>'Квартальная отчетность'!BK18</f>
        <v>0</v>
      </c>
      <c r="BJ213" s="209">
        <f>'Квартальная отчетность'!BL18</f>
        <v>0</v>
      </c>
      <c r="BK213" s="209">
        <f>'Квартальная отчетность'!BM18</f>
        <v>0</v>
      </c>
    </row>
    <row r="214" spans="2:63">
      <c r="B214" s="175" t="s">
        <v>145</v>
      </c>
      <c r="C214" s="211" t="e">
        <f>C213/C210</f>
        <v>#DIV/0!</v>
      </c>
      <c r="D214" s="211" t="e">
        <f t="shared" ref="D214:BK214" si="24">D213/D210</f>
        <v>#DIV/0!</v>
      </c>
      <c r="E214" s="211" t="e">
        <f t="shared" si="24"/>
        <v>#DIV/0!</v>
      </c>
      <c r="F214" s="211" t="e">
        <f t="shared" si="24"/>
        <v>#DIV/0!</v>
      </c>
      <c r="G214" s="211" t="e">
        <f t="shared" si="24"/>
        <v>#DIV/0!</v>
      </c>
      <c r="H214" s="211" t="e">
        <f t="shared" si="24"/>
        <v>#DIV/0!</v>
      </c>
      <c r="I214" s="211" t="e">
        <f t="shared" si="24"/>
        <v>#DIV/0!</v>
      </c>
      <c r="J214" s="211" t="e">
        <f t="shared" si="24"/>
        <v>#DIV/0!</v>
      </c>
      <c r="K214" s="211" t="e">
        <f t="shared" si="24"/>
        <v>#DIV/0!</v>
      </c>
      <c r="L214" s="211" t="e">
        <f t="shared" si="24"/>
        <v>#DIV/0!</v>
      </c>
      <c r="M214" s="211" t="e">
        <f t="shared" si="24"/>
        <v>#DIV/0!</v>
      </c>
      <c r="N214" s="211" t="e">
        <f t="shared" si="24"/>
        <v>#DIV/0!</v>
      </c>
      <c r="O214" s="211" t="e">
        <f t="shared" si="24"/>
        <v>#DIV/0!</v>
      </c>
      <c r="P214" s="211" t="e">
        <f t="shared" si="24"/>
        <v>#DIV/0!</v>
      </c>
      <c r="Q214" s="211" t="e">
        <f t="shared" si="24"/>
        <v>#DIV/0!</v>
      </c>
      <c r="R214" s="211" t="e">
        <f t="shared" si="24"/>
        <v>#DIV/0!</v>
      </c>
      <c r="S214" s="211" t="e">
        <f t="shared" si="24"/>
        <v>#DIV/0!</v>
      </c>
      <c r="T214" s="211" t="e">
        <f t="shared" si="24"/>
        <v>#DIV/0!</v>
      </c>
      <c r="U214" s="211" t="e">
        <f t="shared" si="24"/>
        <v>#DIV/0!</v>
      </c>
      <c r="V214" s="211" t="e">
        <f t="shared" si="24"/>
        <v>#DIV/0!</v>
      </c>
      <c r="W214" s="211" t="e">
        <f t="shared" si="24"/>
        <v>#DIV/0!</v>
      </c>
      <c r="X214" s="211" t="e">
        <f t="shared" si="24"/>
        <v>#DIV/0!</v>
      </c>
      <c r="Y214" s="211" t="e">
        <f t="shared" si="24"/>
        <v>#DIV/0!</v>
      </c>
      <c r="Z214" s="211" t="e">
        <f t="shared" si="24"/>
        <v>#DIV/0!</v>
      </c>
      <c r="AA214" s="211" t="e">
        <f t="shared" si="24"/>
        <v>#DIV/0!</v>
      </c>
      <c r="AB214" s="211" t="e">
        <f t="shared" si="24"/>
        <v>#DIV/0!</v>
      </c>
      <c r="AC214" s="211" t="e">
        <f t="shared" si="24"/>
        <v>#DIV/0!</v>
      </c>
      <c r="AD214" s="211" t="e">
        <f t="shared" si="24"/>
        <v>#DIV/0!</v>
      </c>
      <c r="AE214" s="211" t="e">
        <f t="shared" si="24"/>
        <v>#DIV/0!</v>
      </c>
      <c r="AF214" s="211" t="e">
        <f t="shared" si="24"/>
        <v>#DIV/0!</v>
      </c>
      <c r="AG214" s="211" t="e">
        <f t="shared" si="24"/>
        <v>#DIV/0!</v>
      </c>
      <c r="AH214" s="211" t="e">
        <f t="shared" si="24"/>
        <v>#DIV/0!</v>
      </c>
      <c r="AI214" s="211" t="e">
        <f t="shared" si="24"/>
        <v>#DIV/0!</v>
      </c>
      <c r="AJ214" s="211" t="e">
        <f t="shared" si="24"/>
        <v>#DIV/0!</v>
      </c>
      <c r="AK214" s="211" t="e">
        <f t="shared" si="24"/>
        <v>#DIV/0!</v>
      </c>
      <c r="AL214" s="211" t="e">
        <f t="shared" si="24"/>
        <v>#DIV/0!</v>
      </c>
      <c r="AM214" s="211" t="e">
        <f t="shared" si="24"/>
        <v>#DIV/0!</v>
      </c>
      <c r="AN214" s="211" t="e">
        <f t="shared" si="24"/>
        <v>#DIV/0!</v>
      </c>
      <c r="AO214" s="211" t="e">
        <f t="shared" si="24"/>
        <v>#DIV/0!</v>
      </c>
      <c r="AP214" s="211" t="e">
        <f t="shared" si="24"/>
        <v>#DIV/0!</v>
      </c>
      <c r="AQ214" s="211" t="e">
        <f t="shared" si="24"/>
        <v>#DIV/0!</v>
      </c>
      <c r="AR214" s="211" t="e">
        <f t="shared" si="24"/>
        <v>#DIV/0!</v>
      </c>
      <c r="AS214" s="211" t="e">
        <f t="shared" si="24"/>
        <v>#DIV/0!</v>
      </c>
      <c r="AT214" s="211" t="e">
        <f t="shared" si="24"/>
        <v>#DIV/0!</v>
      </c>
      <c r="AU214" s="211" t="e">
        <f t="shared" si="24"/>
        <v>#DIV/0!</v>
      </c>
      <c r="AV214" s="211" t="e">
        <f t="shared" si="24"/>
        <v>#DIV/0!</v>
      </c>
      <c r="AW214" s="211" t="e">
        <f t="shared" si="24"/>
        <v>#DIV/0!</v>
      </c>
      <c r="AX214" s="211" t="e">
        <f t="shared" si="24"/>
        <v>#DIV/0!</v>
      </c>
      <c r="AY214" s="211" t="e">
        <f t="shared" si="24"/>
        <v>#DIV/0!</v>
      </c>
      <c r="AZ214" s="211" t="e">
        <f t="shared" si="24"/>
        <v>#DIV/0!</v>
      </c>
      <c r="BA214" s="211" t="e">
        <f t="shared" si="24"/>
        <v>#DIV/0!</v>
      </c>
      <c r="BB214" s="211" t="e">
        <f t="shared" si="24"/>
        <v>#DIV/0!</v>
      </c>
      <c r="BC214" s="211" t="e">
        <f t="shared" si="24"/>
        <v>#DIV/0!</v>
      </c>
      <c r="BD214" s="211" t="e">
        <f t="shared" si="24"/>
        <v>#DIV/0!</v>
      </c>
      <c r="BE214" s="211" t="e">
        <f t="shared" si="24"/>
        <v>#DIV/0!</v>
      </c>
      <c r="BF214" s="211" t="e">
        <f t="shared" si="24"/>
        <v>#DIV/0!</v>
      </c>
      <c r="BG214" s="211" t="e">
        <f t="shared" si="24"/>
        <v>#DIV/0!</v>
      </c>
      <c r="BH214" s="211" t="e">
        <f t="shared" si="24"/>
        <v>#DIV/0!</v>
      </c>
      <c r="BI214" s="211" t="e">
        <f t="shared" si="24"/>
        <v>#DIV/0!</v>
      </c>
      <c r="BJ214" s="211" t="e">
        <f t="shared" si="24"/>
        <v>#DIV/0!</v>
      </c>
      <c r="BK214" s="211" t="e">
        <f t="shared" si="24"/>
        <v>#DIV/0!</v>
      </c>
    </row>
    <row r="215" spans="2:63">
      <c r="B215" s="207" t="str">
        <f>'Квартальная отчетность'!B20</f>
        <v>Коммерческие расходы (-)</v>
      </c>
      <c r="C215" s="209">
        <f>'Квартальная отчетность'!E20</f>
        <v>0</v>
      </c>
      <c r="D215" s="209">
        <f>'Квартальная отчетность'!F20</f>
        <v>0</v>
      </c>
      <c r="E215" s="209">
        <f>'Квартальная отчетность'!G20</f>
        <v>0</v>
      </c>
      <c r="F215" s="209">
        <f>'Квартальная отчетность'!H20</f>
        <v>0</v>
      </c>
      <c r="G215" s="209">
        <f>'Квартальная отчетность'!I20</f>
        <v>0</v>
      </c>
      <c r="H215" s="209">
        <f>'Квартальная отчетность'!J20</f>
        <v>0</v>
      </c>
      <c r="I215" s="209">
        <f>'Квартальная отчетность'!K20</f>
        <v>0</v>
      </c>
      <c r="J215" s="209">
        <f>'Квартальная отчетность'!L20</f>
        <v>0</v>
      </c>
      <c r="K215" s="209">
        <f>'Квартальная отчетность'!M20</f>
        <v>0</v>
      </c>
      <c r="L215" s="209">
        <f>'Квартальная отчетность'!N20</f>
        <v>0</v>
      </c>
      <c r="M215" s="209">
        <f>'Квартальная отчетность'!O20</f>
        <v>0</v>
      </c>
      <c r="N215" s="209">
        <f>'Квартальная отчетность'!P20</f>
        <v>0</v>
      </c>
      <c r="O215" s="209">
        <f>'Квартальная отчетность'!Q20</f>
        <v>0</v>
      </c>
      <c r="P215" s="209">
        <f>'Квартальная отчетность'!R20</f>
        <v>0</v>
      </c>
      <c r="Q215" s="209">
        <f>'Квартальная отчетность'!S20</f>
        <v>0</v>
      </c>
      <c r="R215" s="209">
        <f>'Квартальная отчетность'!T20</f>
        <v>0</v>
      </c>
      <c r="S215" s="209">
        <f>'Квартальная отчетность'!U20</f>
        <v>0</v>
      </c>
      <c r="T215" s="209">
        <f>'Квартальная отчетность'!V20</f>
        <v>0</v>
      </c>
      <c r="U215" s="209">
        <f>'Квартальная отчетность'!W20</f>
        <v>0</v>
      </c>
      <c r="V215" s="209">
        <f>'Квартальная отчетность'!X20</f>
        <v>0</v>
      </c>
      <c r="W215" s="209">
        <f>'Квартальная отчетность'!Y20</f>
        <v>0</v>
      </c>
      <c r="X215" s="209">
        <f>'Квартальная отчетность'!Z20</f>
        <v>0</v>
      </c>
      <c r="Y215" s="209">
        <f>'Квартальная отчетность'!AA20</f>
        <v>0</v>
      </c>
      <c r="Z215" s="209">
        <f>'Квартальная отчетность'!AB20</f>
        <v>0</v>
      </c>
      <c r="AA215" s="209">
        <f>'Квартальная отчетность'!AC20</f>
        <v>0</v>
      </c>
      <c r="AB215" s="209">
        <f>'Квартальная отчетность'!AD20</f>
        <v>0</v>
      </c>
      <c r="AC215" s="209">
        <f>'Квартальная отчетность'!AE20</f>
        <v>0</v>
      </c>
      <c r="AD215" s="209">
        <f>'Квартальная отчетность'!AF20</f>
        <v>0</v>
      </c>
      <c r="AE215" s="209">
        <f>'Квартальная отчетность'!AG20</f>
        <v>0</v>
      </c>
      <c r="AF215" s="209">
        <f>'Квартальная отчетность'!AH20</f>
        <v>0</v>
      </c>
      <c r="AG215" s="209">
        <f>'Квартальная отчетность'!AI20</f>
        <v>0</v>
      </c>
      <c r="AH215" s="209">
        <f>'Квартальная отчетность'!AJ20</f>
        <v>0</v>
      </c>
      <c r="AI215" s="209">
        <f>'Квартальная отчетность'!AK20</f>
        <v>0</v>
      </c>
      <c r="AJ215" s="209">
        <f>'Квартальная отчетность'!AL20</f>
        <v>0</v>
      </c>
      <c r="AK215" s="209">
        <f>'Квартальная отчетность'!AM20</f>
        <v>0</v>
      </c>
      <c r="AL215" s="209">
        <f>'Квартальная отчетность'!AN20</f>
        <v>0</v>
      </c>
      <c r="AM215" s="209">
        <f>'Квартальная отчетность'!AO20</f>
        <v>0</v>
      </c>
      <c r="AN215" s="209">
        <f>'Квартальная отчетность'!AP20</f>
        <v>0</v>
      </c>
      <c r="AO215" s="209">
        <f>'Квартальная отчетность'!AQ20</f>
        <v>0</v>
      </c>
      <c r="AP215" s="209">
        <f>'Квартальная отчетность'!AR20</f>
        <v>0</v>
      </c>
      <c r="AQ215" s="209">
        <f>'Квартальная отчетность'!AS20</f>
        <v>0</v>
      </c>
      <c r="AR215" s="209">
        <f>'Квартальная отчетность'!AT20</f>
        <v>0</v>
      </c>
      <c r="AS215" s="209">
        <f>'Квартальная отчетность'!AU20</f>
        <v>0</v>
      </c>
      <c r="AT215" s="209">
        <f>'Квартальная отчетность'!AV20</f>
        <v>0</v>
      </c>
      <c r="AU215" s="209">
        <f>'Квартальная отчетность'!AW20</f>
        <v>0</v>
      </c>
      <c r="AV215" s="209">
        <f>'Квартальная отчетность'!AX20</f>
        <v>0</v>
      </c>
      <c r="AW215" s="209">
        <f>'Квартальная отчетность'!AY20</f>
        <v>0</v>
      </c>
      <c r="AX215" s="209">
        <f>'Квартальная отчетность'!AZ20</f>
        <v>0</v>
      </c>
      <c r="AY215" s="209">
        <f>'Квартальная отчетность'!BA20</f>
        <v>0</v>
      </c>
      <c r="AZ215" s="209">
        <f>'Квартальная отчетность'!BB20</f>
        <v>0</v>
      </c>
      <c r="BA215" s="209">
        <f>'Квартальная отчетность'!BC20</f>
        <v>0</v>
      </c>
      <c r="BB215" s="209">
        <f>'Квартальная отчетность'!BD20</f>
        <v>0</v>
      </c>
      <c r="BC215" s="209">
        <f>'Квартальная отчетность'!BE20</f>
        <v>0</v>
      </c>
      <c r="BD215" s="209">
        <f>'Квартальная отчетность'!BF20</f>
        <v>0</v>
      </c>
      <c r="BE215" s="209">
        <f>'Квартальная отчетность'!BG20</f>
        <v>0</v>
      </c>
      <c r="BF215" s="209">
        <f>'Квартальная отчетность'!BH20</f>
        <v>0</v>
      </c>
      <c r="BG215" s="209">
        <f>'Квартальная отчетность'!BI20</f>
        <v>0</v>
      </c>
      <c r="BH215" s="209">
        <f>'Квартальная отчетность'!BJ20</f>
        <v>0</v>
      </c>
      <c r="BI215" s="209">
        <f>'Квартальная отчетность'!BK20</f>
        <v>0</v>
      </c>
      <c r="BJ215" s="209">
        <f>'Квартальная отчетность'!BL20</f>
        <v>0</v>
      </c>
      <c r="BK215" s="209">
        <f>'Квартальная отчетность'!BM20</f>
        <v>0</v>
      </c>
    </row>
    <row r="216" spans="2:63">
      <c r="B216" s="207" t="str">
        <f>'Квартальная отчетность'!B21</f>
        <v>Управленческие расходы (-)</v>
      </c>
      <c r="C216" s="209">
        <f>'Квартальная отчетность'!E21</f>
        <v>0</v>
      </c>
      <c r="D216" s="209">
        <f>'Квартальная отчетность'!F21</f>
        <v>0</v>
      </c>
      <c r="E216" s="209">
        <f>'Квартальная отчетность'!G21</f>
        <v>0</v>
      </c>
      <c r="F216" s="209">
        <f>'Квартальная отчетность'!H21</f>
        <v>0</v>
      </c>
      <c r="G216" s="209">
        <f>'Квартальная отчетность'!I21</f>
        <v>0</v>
      </c>
      <c r="H216" s="209">
        <f>'Квартальная отчетность'!J21</f>
        <v>0</v>
      </c>
      <c r="I216" s="209">
        <f>'Квартальная отчетность'!K21</f>
        <v>0</v>
      </c>
      <c r="J216" s="209">
        <f>'Квартальная отчетность'!L21</f>
        <v>0</v>
      </c>
      <c r="K216" s="209">
        <f>'Квартальная отчетность'!M21</f>
        <v>0</v>
      </c>
      <c r="L216" s="209">
        <f>'Квартальная отчетность'!N21</f>
        <v>0</v>
      </c>
      <c r="M216" s="209">
        <f>'Квартальная отчетность'!O21</f>
        <v>0</v>
      </c>
      <c r="N216" s="209">
        <f>'Квартальная отчетность'!P21</f>
        <v>0</v>
      </c>
      <c r="O216" s="209">
        <f>'Квартальная отчетность'!Q21</f>
        <v>0</v>
      </c>
      <c r="P216" s="209">
        <f>'Квартальная отчетность'!R21</f>
        <v>0</v>
      </c>
      <c r="Q216" s="209">
        <f>'Квартальная отчетность'!S21</f>
        <v>0</v>
      </c>
      <c r="R216" s="209">
        <f>'Квартальная отчетность'!T21</f>
        <v>0</v>
      </c>
      <c r="S216" s="209">
        <f>'Квартальная отчетность'!U21</f>
        <v>0</v>
      </c>
      <c r="T216" s="209">
        <f>'Квартальная отчетность'!V21</f>
        <v>0</v>
      </c>
      <c r="U216" s="209">
        <f>'Квартальная отчетность'!W21</f>
        <v>0</v>
      </c>
      <c r="V216" s="209">
        <f>'Квартальная отчетность'!X21</f>
        <v>0</v>
      </c>
      <c r="W216" s="209">
        <f>'Квартальная отчетность'!Y21</f>
        <v>0</v>
      </c>
      <c r="X216" s="209">
        <f>'Квартальная отчетность'!Z21</f>
        <v>0</v>
      </c>
      <c r="Y216" s="209">
        <f>'Квартальная отчетность'!AA21</f>
        <v>0</v>
      </c>
      <c r="Z216" s="209">
        <f>'Квартальная отчетность'!AB21</f>
        <v>0</v>
      </c>
      <c r="AA216" s="209">
        <f>'Квартальная отчетность'!AC21</f>
        <v>0</v>
      </c>
      <c r="AB216" s="209">
        <f>'Квартальная отчетность'!AD21</f>
        <v>0</v>
      </c>
      <c r="AC216" s="209">
        <f>'Квартальная отчетность'!AE21</f>
        <v>0</v>
      </c>
      <c r="AD216" s="209">
        <f>'Квартальная отчетность'!AF21</f>
        <v>0</v>
      </c>
      <c r="AE216" s="209">
        <f>'Квартальная отчетность'!AG21</f>
        <v>0</v>
      </c>
      <c r="AF216" s="209">
        <f>'Квартальная отчетность'!AH21</f>
        <v>0</v>
      </c>
      <c r="AG216" s="209">
        <f>'Квартальная отчетность'!AI21</f>
        <v>0</v>
      </c>
      <c r="AH216" s="209">
        <f>'Квартальная отчетность'!AJ21</f>
        <v>0</v>
      </c>
      <c r="AI216" s="209">
        <f>'Квартальная отчетность'!AK21</f>
        <v>0</v>
      </c>
      <c r="AJ216" s="209">
        <f>'Квартальная отчетность'!AL21</f>
        <v>0</v>
      </c>
      <c r="AK216" s="209">
        <f>'Квартальная отчетность'!AM21</f>
        <v>0</v>
      </c>
      <c r="AL216" s="209">
        <f>'Квартальная отчетность'!AN21</f>
        <v>0</v>
      </c>
      <c r="AM216" s="209">
        <f>'Квартальная отчетность'!AO21</f>
        <v>0</v>
      </c>
      <c r="AN216" s="209">
        <f>'Квартальная отчетность'!AP21</f>
        <v>0</v>
      </c>
      <c r="AO216" s="209">
        <f>'Квартальная отчетность'!AQ21</f>
        <v>0</v>
      </c>
      <c r="AP216" s="209">
        <f>'Квартальная отчетность'!AR21</f>
        <v>0</v>
      </c>
      <c r="AQ216" s="209">
        <f>'Квартальная отчетность'!AS21</f>
        <v>0</v>
      </c>
      <c r="AR216" s="209">
        <f>'Квартальная отчетность'!AT21</f>
        <v>0</v>
      </c>
      <c r="AS216" s="209">
        <f>'Квартальная отчетность'!AU21</f>
        <v>0</v>
      </c>
      <c r="AT216" s="209">
        <f>'Квартальная отчетность'!AV21</f>
        <v>0</v>
      </c>
      <c r="AU216" s="209">
        <f>'Квартальная отчетность'!AW21</f>
        <v>0</v>
      </c>
      <c r="AV216" s="209">
        <f>'Квартальная отчетность'!AX21</f>
        <v>0</v>
      </c>
      <c r="AW216" s="209">
        <f>'Квартальная отчетность'!AY21</f>
        <v>0</v>
      </c>
      <c r="AX216" s="209">
        <f>'Квартальная отчетность'!AZ21</f>
        <v>0</v>
      </c>
      <c r="AY216" s="209">
        <f>'Квартальная отчетность'!BA21</f>
        <v>0</v>
      </c>
      <c r="AZ216" s="209">
        <f>'Квартальная отчетность'!BB21</f>
        <v>0</v>
      </c>
      <c r="BA216" s="209">
        <f>'Квартальная отчетность'!BC21</f>
        <v>0</v>
      </c>
      <c r="BB216" s="209">
        <f>'Квартальная отчетность'!BD21</f>
        <v>0</v>
      </c>
      <c r="BC216" s="209">
        <f>'Квартальная отчетность'!BE21</f>
        <v>0</v>
      </c>
      <c r="BD216" s="209">
        <f>'Квартальная отчетность'!BF21</f>
        <v>0</v>
      </c>
      <c r="BE216" s="209">
        <f>'Квартальная отчетность'!BG21</f>
        <v>0</v>
      </c>
      <c r="BF216" s="209">
        <f>'Квартальная отчетность'!BH21</f>
        <v>0</v>
      </c>
      <c r="BG216" s="209">
        <f>'Квартальная отчетность'!BI21</f>
        <v>0</v>
      </c>
      <c r="BH216" s="209">
        <f>'Квартальная отчетность'!BJ21</f>
        <v>0</v>
      </c>
      <c r="BI216" s="209">
        <f>'Квартальная отчетность'!BK21</f>
        <v>0</v>
      </c>
      <c r="BJ216" s="209">
        <f>'Квартальная отчетность'!BL21</f>
        <v>0</v>
      </c>
      <c r="BK216" s="209">
        <f>'Квартальная отчетность'!BM21</f>
        <v>0</v>
      </c>
    </row>
    <row r="217" spans="2:63">
      <c r="B217" s="207" t="str">
        <f>'Квартальная отчетность'!B22</f>
        <v>Прибыль (убыток) от продаж</v>
      </c>
      <c r="C217" s="209">
        <f>'Квартальная отчетность'!E22</f>
        <v>0</v>
      </c>
      <c r="D217" s="209">
        <f>'Квартальная отчетность'!F22</f>
        <v>0</v>
      </c>
      <c r="E217" s="209">
        <f>'Квартальная отчетность'!G22</f>
        <v>0</v>
      </c>
      <c r="F217" s="209">
        <f>'Квартальная отчетность'!H22</f>
        <v>0</v>
      </c>
      <c r="G217" s="209">
        <f>'Квартальная отчетность'!I22</f>
        <v>0</v>
      </c>
      <c r="H217" s="209">
        <f>'Квартальная отчетность'!J22</f>
        <v>0</v>
      </c>
      <c r="I217" s="209">
        <f>'Квартальная отчетность'!K22</f>
        <v>0</v>
      </c>
      <c r="J217" s="209">
        <f>'Квартальная отчетность'!L22</f>
        <v>0</v>
      </c>
      <c r="K217" s="209">
        <f>'Квартальная отчетность'!M22</f>
        <v>0</v>
      </c>
      <c r="L217" s="209">
        <f>'Квартальная отчетность'!N22</f>
        <v>0</v>
      </c>
      <c r="M217" s="209">
        <f>'Квартальная отчетность'!O22</f>
        <v>0</v>
      </c>
      <c r="N217" s="209">
        <f>'Квартальная отчетность'!P22</f>
        <v>0</v>
      </c>
      <c r="O217" s="209">
        <f>'Квартальная отчетность'!Q22</f>
        <v>0</v>
      </c>
      <c r="P217" s="209">
        <f>'Квартальная отчетность'!R22</f>
        <v>0</v>
      </c>
      <c r="Q217" s="209">
        <f>'Квартальная отчетность'!S22</f>
        <v>0</v>
      </c>
      <c r="R217" s="209">
        <f>'Квартальная отчетность'!T22</f>
        <v>0</v>
      </c>
      <c r="S217" s="209">
        <f>'Квартальная отчетность'!U22</f>
        <v>0</v>
      </c>
      <c r="T217" s="209">
        <f>'Квартальная отчетность'!V22</f>
        <v>0</v>
      </c>
      <c r="U217" s="209">
        <f>'Квартальная отчетность'!W22</f>
        <v>0</v>
      </c>
      <c r="V217" s="209">
        <f>'Квартальная отчетность'!X22</f>
        <v>0</v>
      </c>
      <c r="W217" s="209">
        <f>'Квартальная отчетность'!Y22</f>
        <v>0</v>
      </c>
      <c r="X217" s="209">
        <f>'Квартальная отчетность'!Z22</f>
        <v>0</v>
      </c>
      <c r="Y217" s="209">
        <f>'Квартальная отчетность'!AA22</f>
        <v>0</v>
      </c>
      <c r="Z217" s="209">
        <f>'Квартальная отчетность'!AB22</f>
        <v>0</v>
      </c>
      <c r="AA217" s="209">
        <f>'Квартальная отчетность'!AC22</f>
        <v>0</v>
      </c>
      <c r="AB217" s="209">
        <f>'Квартальная отчетность'!AD22</f>
        <v>0</v>
      </c>
      <c r="AC217" s="209">
        <f>'Квартальная отчетность'!AE22</f>
        <v>0</v>
      </c>
      <c r="AD217" s="209">
        <f>'Квартальная отчетность'!AF22</f>
        <v>0</v>
      </c>
      <c r="AE217" s="209">
        <f>'Квартальная отчетность'!AG22</f>
        <v>0</v>
      </c>
      <c r="AF217" s="209">
        <f>'Квартальная отчетность'!AH22</f>
        <v>0</v>
      </c>
      <c r="AG217" s="209">
        <f>'Квартальная отчетность'!AI22</f>
        <v>0</v>
      </c>
      <c r="AH217" s="209">
        <f>'Квартальная отчетность'!AJ22</f>
        <v>0</v>
      </c>
      <c r="AI217" s="209">
        <f>'Квартальная отчетность'!AK22</f>
        <v>0</v>
      </c>
      <c r="AJ217" s="209">
        <f>'Квартальная отчетность'!AL22</f>
        <v>0</v>
      </c>
      <c r="AK217" s="209">
        <f>'Квартальная отчетность'!AM22</f>
        <v>0</v>
      </c>
      <c r="AL217" s="209">
        <f>'Квартальная отчетность'!AN22</f>
        <v>0</v>
      </c>
      <c r="AM217" s="209">
        <f>'Квартальная отчетность'!AO22</f>
        <v>0</v>
      </c>
      <c r="AN217" s="209">
        <f>'Квартальная отчетность'!AP22</f>
        <v>0</v>
      </c>
      <c r="AO217" s="209">
        <f>'Квартальная отчетность'!AQ22</f>
        <v>0</v>
      </c>
      <c r="AP217" s="209">
        <f>'Квартальная отчетность'!AR22</f>
        <v>0</v>
      </c>
      <c r="AQ217" s="209">
        <f>'Квартальная отчетность'!AS22</f>
        <v>0</v>
      </c>
      <c r="AR217" s="209">
        <f>'Квартальная отчетность'!AT22</f>
        <v>0</v>
      </c>
      <c r="AS217" s="209">
        <f>'Квартальная отчетность'!AU22</f>
        <v>0</v>
      </c>
      <c r="AT217" s="209">
        <f>'Квартальная отчетность'!AV22</f>
        <v>0</v>
      </c>
      <c r="AU217" s="209">
        <f>'Квартальная отчетность'!AW22</f>
        <v>0</v>
      </c>
      <c r="AV217" s="209">
        <f>'Квартальная отчетность'!AX22</f>
        <v>0</v>
      </c>
      <c r="AW217" s="209">
        <f>'Квартальная отчетность'!AY22</f>
        <v>0</v>
      </c>
      <c r="AX217" s="209">
        <f>'Квартальная отчетность'!AZ22</f>
        <v>0</v>
      </c>
      <c r="AY217" s="209">
        <f>'Квартальная отчетность'!BA22</f>
        <v>0</v>
      </c>
      <c r="AZ217" s="209">
        <f>'Квартальная отчетность'!BB22</f>
        <v>0</v>
      </c>
      <c r="BA217" s="209">
        <f>'Квартальная отчетность'!BC22</f>
        <v>0</v>
      </c>
      <c r="BB217" s="209">
        <f>'Квартальная отчетность'!BD22</f>
        <v>0</v>
      </c>
      <c r="BC217" s="209">
        <f>'Квартальная отчетность'!BE22</f>
        <v>0</v>
      </c>
      <c r="BD217" s="209">
        <f>'Квартальная отчетность'!BF22</f>
        <v>0</v>
      </c>
      <c r="BE217" s="209">
        <f>'Квартальная отчетность'!BG22</f>
        <v>0</v>
      </c>
      <c r="BF217" s="209">
        <f>'Квартальная отчетность'!BH22</f>
        <v>0</v>
      </c>
      <c r="BG217" s="209">
        <f>'Квартальная отчетность'!BI22</f>
        <v>0</v>
      </c>
      <c r="BH217" s="209">
        <f>'Квартальная отчетность'!BJ22</f>
        <v>0</v>
      </c>
      <c r="BI217" s="209">
        <f>'Квартальная отчетность'!BK22</f>
        <v>0</v>
      </c>
      <c r="BJ217" s="209">
        <f>'Квартальная отчетность'!BL22</f>
        <v>0</v>
      </c>
      <c r="BK217" s="209">
        <f>'Квартальная отчетность'!BM22</f>
        <v>0</v>
      </c>
    </row>
    <row r="218" spans="2:63">
      <c r="B218" s="175" t="s">
        <v>147</v>
      </c>
      <c r="C218" s="211" t="e">
        <f>C217/C210</f>
        <v>#DIV/0!</v>
      </c>
      <c r="D218" s="211" t="e">
        <f t="shared" ref="D218:BK218" si="25">D217/D210</f>
        <v>#DIV/0!</v>
      </c>
      <c r="E218" s="211" t="e">
        <f t="shared" si="25"/>
        <v>#DIV/0!</v>
      </c>
      <c r="F218" s="211" t="e">
        <f t="shared" si="25"/>
        <v>#DIV/0!</v>
      </c>
      <c r="G218" s="211" t="e">
        <f t="shared" si="25"/>
        <v>#DIV/0!</v>
      </c>
      <c r="H218" s="211" t="e">
        <f t="shared" si="25"/>
        <v>#DIV/0!</v>
      </c>
      <c r="I218" s="211" t="e">
        <f t="shared" si="25"/>
        <v>#DIV/0!</v>
      </c>
      <c r="J218" s="211" t="e">
        <f t="shared" si="25"/>
        <v>#DIV/0!</v>
      </c>
      <c r="K218" s="211" t="e">
        <f t="shared" si="25"/>
        <v>#DIV/0!</v>
      </c>
      <c r="L218" s="211" t="e">
        <f t="shared" si="25"/>
        <v>#DIV/0!</v>
      </c>
      <c r="M218" s="211" t="e">
        <f t="shared" si="25"/>
        <v>#DIV/0!</v>
      </c>
      <c r="N218" s="211" t="e">
        <f t="shared" si="25"/>
        <v>#DIV/0!</v>
      </c>
      <c r="O218" s="211" t="e">
        <f t="shared" si="25"/>
        <v>#DIV/0!</v>
      </c>
      <c r="P218" s="211" t="e">
        <f t="shared" si="25"/>
        <v>#DIV/0!</v>
      </c>
      <c r="Q218" s="211" t="e">
        <f t="shared" si="25"/>
        <v>#DIV/0!</v>
      </c>
      <c r="R218" s="211" t="e">
        <f t="shared" si="25"/>
        <v>#DIV/0!</v>
      </c>
      <c r="S218" s="211" t="e">
        <f t="shared" si="25"/>
        <v>#DIV/0!</v>
      </c>
      <c r="T218" s="211" t="e">
        <f t="shared" si="25"/>
        <v>#DIV/0!</v>
      </c>
      <c r="U218" s="211" t="e">
        <f t="shared" si="25"/>
        <v>#DIV/0!</v>
      </c>
      <c r="V218" s="211" t="e">
        <f t="shared" si="25"/>
        <v>#DIV/0!</v>
      </c>
      <c r="W218" s="211" t="e">
        <f t="shared" si="25"/>
        <v>#DIV/0!</v>
      </c>
      <c r="X218" s="211" t="e">
        <f t="shared" si="25"/>
        <v>#DIV/0!</v>
      </c>
      <c r="Y218" s="211" t="e">
        <f t="shared" si="25"/>
        <v>#DIV/0!</v>
      </c>
      <c r="Z218" s="211" t="e">
        <f t="shared" si="25"/>
        <v>#DIV/0!</v>
      </c>
      <c r="AA218" s="211" t="e">
        <f t="shared" si="25"/>
        <v>#DIV/0!</v>
      </c>
      <c r="AB218" s="211" t="e">
        <f t="shared" si="25"/>
        <v>#DIV/0!</v>
      </c>
      <c r="AC218" s="211" t="e">
        <f t="shared" si="25"/>
        <v>#DIV/0!</v>
      </c>
      <c r="AD218" s="211" t="e">
        <f t="shared" si="25"/>
        <v>#DIV/0!</v>
      </c>
      <c r="AE218" s="211" t="e">
        <f t="shared" si="25"/>
        <v>#DIV/0!</v>
      </c>
      <c r="AF218" s="211" t="e">
        <f t="shared" si="25"/>
        <v>#DIV/0!</v>
      </c>
      <c r="AG218" s="211" t="e">
        <f t="shared" si="25"/>
        <v>#DIV/0!</v>
      </c>
      <c r="AH218" s="211" t="e">
        <f t="shared" si="25"/>
        <v>#DIV/0!</v>
      </c>
      <c r="AI218" s="211" t="e">
        <f t="shared" si="25"/>
        <v>#DIV/0!</v>
      </c>
      <c r="AJ218" s="211" t="e">
        <f t="shared" si="25"/>
        <v>#DIV/0!</v>
      </c>
      <c r="AK218" s="211" t="e">
        <f t="shared" si="25"/>
        <v>#DIV/0!</v>
      </c>
      <c r="AL218" s="211" t="e">
        <f t="shared" si="25"/>
        <v>#DIV/0!</v>
      </c>
      <c r="AM218" s="211" t="e">
        <f t="shared" si="25"/>
        <v>#DIV/0!</v>
      </c>
      <c r="AN218" s="211" t="e">
        <f t="shared" si="25"/>
        <v>#DIV/0!</v>
      </c>
      <c r="AO218" s="211" t="e">
        <f t="shared" si="25"/>
        <v>#DIV/0!</v>
      </c>
      <c r="AP218" s="211" t="e">
        <f t="shared" si="25"/>
        <v>#DIV/0!</v>
      </c>
      <c r="AQ218" s="211" t="e">
        <f t="shared" si="25"/>
        <v>#DIV/0!</v>
      </c>
      <c r="AR218" s="211" t="e">
        <f t="shared" si="25"/>
        <v>#DIV/0!</v>
      </c>
      <c r="AS218" s="211" t="e">
        <f t="shared" si="25"/>
        <v>#DIV/0!</v>
      </c>
      <c r="AT218" s="211" t="e">
        <f t="shared" si="25"/>
        <v>#DIV/0!</v>
      </c>
      <c r="AU218" s="211" t="e">
        <f t="shared" si="25"/>
        <v>#DIV/0!</v>
      </c>
      <c r="AV218" s="211" t="e">
        <f t="shared" si="25"/>
        <v>#DIV/0!</v>
      </c>
      <c r="AW218" s="211" t="e">
        <f t="shared" si="25"/>
        <v>#DIV/0!</v>
      </c>
      <c r="AX218" s="211" t="e">
        <f t="shared" si="25"/>
        <v>#DIV/0!</v>
      </c>
      <c r="AY218" s="211" t="e">
        <f t="shared" si="25"/>
        <v>#DIV/0!</v>
      </c>
      <c r="AZ218" s="211" t="e">
        <f t="shared" si="25"/>
        <v>#DIV/0!</v>
      </c>
      <c r="BA218" s="211" t="e">
        <f t="shared" si="25"/>
        <v>#DIV/0!</v>
      </c>
      <c r="BB218" s="211" t="e">
        <f t="shared" si="25"/>
        <v>#DIV/0!</v>
      </c>
      <c r="BC218" s="211" t="e">
        <f t="shared" si="25"/>
        <v>#DIV/0!</v>
      </c>
      <c r="BD218" s="211" t="e">
        <f t="shared" si="25"/>
        <v>#DIV/0!</v>
      </c>
      <c r="BE218" s="211" t="e">
        <f t="shared" si="25"/>
        <v>#DIV/0!</v>
      </c>
      <c r="BF218" s="211" t="e">
        <f t="shared" si="25"/>
        <v>#DIV/0!</v>
      </c>
      <c r="BG218" s="211" t="e">
        <f t="shared" si="25"/>
        <v>#DIV/0!</v>
      </c>
      <c r="BH218" s="211" t="e">
        <f t="shared" si="25"/>
        <v>#DIV/0!</v>
      </c>
      <c r="BI218" s="211" t="e">
        <f t="shared" si="25"/>
        <v>#DIV/0!</v>
      </c>
      <c r="BJ218" s="211" t="e">
        <f t="shared" si="25"/>
        <v>#DIV/0!</v>
      </c>
      <c r="BK218" s="211" t="e">
        <f t="shared" si="25"/>
        <v>#DIV/0!</v>
      </c>
    </row>
    <row r="219" spans="2:63">
      <c r="B219" s="207" t="e">
        <f>Показатели!#REF!</f>
        <v>#REF!</v>
      </c>
      <c r="C219" s="209" t="e">
        <f>Показатели!#REF!</f>
        <v>#REF!</v>
      </c>
      <c r="D219" s="209" t="e">
        <f>Показатели!#REF!</f>
        <v>#REF!</v>
      </c>
      <c r="E219" s="209" t="e">
        <f>Показатели!#REF!</f>
        <v>#REF!</v>
      </c>
      <c r="F219" s="209" t="e">
        <f>Показатели!#REF!</f>
        <v>#REF!</v>
      </c>
      <c r="G219" s="209" t="e">
        <f>Показатели!#REF!</f>
        <v>#REF!</v>
      </c>
      <c r="H219" s="209" t="e">
        <f>Показатели!#REF!</f>
        <v>#REF!</v>
      </c>
      <c r="I219" s="209" t="e">
        <f>Показатели!#REF!</f>
        <v>#REF!</v>
      </c>
      <c r="J219" s="209" t="e">
        <f>Показатели!#REF!</f>
        <v>#REF!</v>
      </c>
      <c r="K219" s="209" t="e">
        <f>Показатели!#REF!</f>
        <v>#REF!</v>
      </c>
      <c r="L219" s="209" t="e">
        <f>Показатели!#REF!</f>
        <v>#REF!</v>
      </c>
      <c r="M219" s="209" t="e">
        <f>Показатели!#REF!</f>
        <v>#REF!</v>
      </c>
      <c r="N219" s="209" t="e">
        <f>Показатели!#REF!</f>
        <v>#REF!</v>
      </c>
      <c r="O219" s="209" t="e">
        <f>Показатели!#REF!</f>
        <v>#REF!</v>
      </c>
      <c r="P219" s="209" t="e">
        <f>Показатели!#REF!</f>
        <v>#REF!</v>
      </c>
      <c r="Q219" s="209" t="e">
        <f>Показатели!#REF!</f>
        <v>#REF!</v>
      </c>
      <c r="R219" s="209" t="e">
        <f>Показатели!#REF!</f>
        <v>#REF!</v>
      </c>
      <c r="S219" s="209" t="e">
        <f>Показатели!#REF!</f>
        <v>#REF!</v>
      </c>
      <c r="T219" s="209" t="e">
        <f>Показатели!#REF!</f>
        <v>#REF!</v>
      </c>
      <c r="U219" s="209" t="e">
        <f>Показатели!#REF!</f>
        <v>#REF!</v>
      </c>
      <c r="V219" s="209" t="e">
        <f>Показатели!#REF!</f>
        <v>#REF!</v>
      </c>
      <c r="W219" s="209" t="e">
        <f>Показатели!#REF!</f>
        <v>#REF!</v>
      </c>
      <c r="X219" s="209" t="e">
        <f>Показатели!#REF!</f>
        <v>#REF!</v>
      </c>
      <c r="Y219" s="209" t="e">
        <f>Показатели!#REF!</f>
        <v>#REF!</v>
      </c>
      <c r="Z219" s="209" t="e">
        <f>Показатели!#REF!</f>
        <v>#REF!</v>
      </c>
      <c r="AA219" s="209" t="e">
        <f>Показатели!#REF!</f>
        <v>#REF!</v>
      </c>
      <c r="AB219" s="209" t="e">
        <f>Показатели!#REF!</f>
        <v>#REF!</v>
      </c>
      <c r="AC219" s="209" t="e">
        <f>Показатели!#REF!</f>
        <v>#REF!</v>
      </c>
      <c r="AD219" s="209" t="e">
        <f>Показатели!#REF!</f>
        <v>#REF!</v>
      </c>
      <c r="AE219" s="209" t="e">
        <f>Показатели!#REF!</f>
        <v>#REF!</v>
      </c>
      <c r="AF219" s="209" t="e">
        <f>Показатели!#REF!</f>
        <v>#REF!</v>
      </c>
      <c r="AG219" s="209" t="e">
        <f>Показатели!#REF!</f>
        <v>#REF!</v>
      </c>
      <c r="AH219" s="209" t="e">
        <f>Показатели!#REF!</f>
        <v>#REF!</v>
      </c>
      <c r="AI219" s="209" t="e">
        <f>Показатели!#REF!</f>
        <v>#REF!</v>
      </c>
      <c r="AJ219" s="209" t="e">
        <f>Показатели!#REF!</f>
        <v>#REF!</v>
      </c>
      <c r="AK219" s="209" t="e">
        <f>Показатели!#REF!</f>
        <v>#REF!</v>
      </c>
      <c r="AL219" s="209" t="e">
        <f>Показатели!#REF!</f>
        <v>#REF!</v>
      </c>
      <c r="AM219" s="209" t="e">
        <f>Показатели!#REF!</f>
        <v>#REF!</v>
      </c>
      <c r="AN219" s="209" t="e">
        <f>Показатели!#REF!</f>
        <v>#REF!</v>
      </c>
      <c r="AO219" s="209" t="e">
        <f>Показатели!#REF!</f>
        <v>#REF!</v>
      </c>
      <c r="AP219" s="209" t="e">
        <f>Показатели!#REF!</f>
        <v>#REF!</v>
      </c>
      <c r="AQ219" s="209" t="e">
        <f>Показатели!#REF!</f>
        <v>#REF!</v>
      </c>
      <c r="AR219" s="209" t="e">
        <f>Показатели!#REF!</f>
        <v>#REF!</v>
      </c>
      <c r="AS219" s="209" t="e">
        <f>Показатели!#REF!</f>
        <v>#REF!</v>
      </c>
      <c r="AT219" s="209" t="e">
        <f>Показатели!#REF!</f>
        <v>#REF!</v>
      </c>
      <c r="AU219" s="209" t="e">
        <f>Показатели!#REF!</f>
        <v>#REF!</v>
      </c>
      <c r="AV219" s="209" t="e">
        <f>Показатели!#REF!</f>
        <v>#REF!</v>
      </c>
      <c r="AW219" s="209" t="e">
        <f>Показатели!#REF!</f>
        <v>#REF!</v>
      </c>
      <c r="AX219" s="209" t="e">
        <f>Показатели!#REF!</f>
        <v>#REF!</v>
      </c>
      <c r="AY219" s="209" t="e">
        <f>Показатели!#REF!</f>
        <v>#REF!</v>
      </c>
      <c r="AZ219" s="209" t="e">
        <f>Показатели!#REF!</f>
        <v>#REF!</v>
      </c>
      <c r="BA219" s="209" t="e">
        <f>Показатели!#REF!</f>
        <v>#REF!</v>
      </c>
      <c r="BB219" s="209" t="e">
        <f>Показатели!#REF!</f>
        <v>#REF!</v>
      </c>
      <c r="BC219" s="209" t="e">
        <f>Показатели!#REF!</f>
        <v>#REF!</v>
      </c>
      <c r="BD219" s="209" t="e">
        <f>Показатели!#REF!</f>
        <v>#REF!</v>
      </c>
      <c r="BE219" s="209" t="e">
        <f>Показатели!#REF!</f>
        <v>#REF!</v>
      </c>
      <c r="BF219" s="209" t="e">
        <f>Показатели!#REF!</f>
        <v>#REF!</v>
      </c>
      <c r="BG219" s="209" t="e">
        <f>Показатели!#REF!</f>
        <v>#REF!</v>
      </c>
      <c r="BH219" s="209" t="e">
        <f>Показатели!#REF!</f>
        <v>#REF!</v>
      </c>
      <c r="BI219" s="209" t="e">
        <f>Показатели!#REF!</f>
        <v>#REF!</v>
      </c>
      <c r="BJ219" s="209" t="e">
        <f>Показатели!#REF!</f>
        <v>#REF!</v>
      </c>
      <c r="BK219" s="209" t="e">
        <f>Показатели!#REF!</f>
        <v>#REF!</v>
      </c>
    </row>
    <row r="220" spans="2:63">
      <c r="B220" s="175" t="s">
        <v>151</v>
      </c>
      <c r="C220" s="211" t="e">
        <f>C219/C210</f>
        <v>#REF!</v>
      </c>
      <c r="D220" s="211" t="e">
        <f t="shared" ref="D220:BK220" si="26">D219/D210</f>
        <v>#REF!</v>
      </c>
      <c r="E220" s="211" t="e">
        <f t="shared" si="26"/>
        <v>#REF!</v>
      </c>
      <c r="F220" s="211" t="e">
        <f t="shared" si="26"/>
        <v>#REF!</v>
      </c>
      <c r="G220" s="211" t="e">
        <f t="shared" si="26"/>
        <v>#REF!</v>
      </c>
      <c r="H220" s="211" t="e">
        <f t="shared" si="26"/>
        <v>#REF!</v>
      </c>
      <c r="I220" s="211" t="e">
        <f t="shared" si="26"/>
        <v>#REF!</v>
      </c>
      <c r="J220" s="211" t="e">
        <f t="shared" si="26"/>
        <v>#REF!</v>
      </c>
      <c r="K220" s="211" t="e">
        <f t="shared" si="26"/>
        <v>#REF!</v>
      </c>
      <c r="L220" s="211" t="e">
        <f t="shared" si="26"/>
        <v>#REF!</v>
      </c>
      <c r="M220" s="211" t="e">
        <f t="shared" si="26"/>
        <v>#REF!</v>
      </c>
      <c r="N220" s="211" t="e">
        <f t="shared" si="26"/>
        <v>#REF!</v>
      </c>
      <c r="O220" s="211" t="e">
        <f t="shared" si="26"/>
        <v>#REF!</v>
      </c>
      <c r="P220" s="211" t="e">
        <f t="shared" si="26"/>
        <v>#REF!</v>
      </c>
      <c r="Q220" s="211" t="e">
        <f t="shared" si="26"/>
        <v>#REF!</v>
      </c>
      <c r="R220" s="211" t="e">
        <f t="shared" si="26"/>
        <v>#REF!</v>
      </c>
      <c r="S220" s="211" t="e">
        <f t="shared" si="26"/>
        <v>#REF!</v>
      </c>
      <c r="T220" s="211" t="e">
        <f t="shared" si="26"/>
        <v>#REF!</v>
      </c>
      <c r="U220" s="211" t="e">
        <f t="shared" si="26"/>
        <v>#REF!</v>
      </c>
      <c r="V220" s="211" t="e">
        <f t="shared" si="26"/>
        <v>#REF!</v>
      </c>
      <c r="W220" s="211" t="e">
        <f t="shared" si="26"/>
        <v>#REF!</v>
      </c>
      <c r="X220" s="211" t="e">
        <f t="shared" si="26"/>
        <v>#REF!</v>
      </c>
      <c r="Y220" s="211" t="e">
        <f t="shared" si="26"/>
        <v>#REF!</v>
      </c>
      <c r="Z220" s="211" t="e">
        <f t="shared" si="26"/>
        <v>#REF!</v>
      </c>
      <c r="AA220" s="211" t="e">
        <f t="shared" si="26"/>
        <v>#REF!</v>
      </c>
      <c r="AB220" s="211" t="e">
        <f t="shared" si="26"/>
        <v>#REF!</v>
      </c>
      <c r="AC220" s="211" t="e">
        <f t="shared" si="26"/>
        <v>#REF!</v>
      </c>
      <c r="AD220" s="211" t="e">
        <f t="shared" si="26"/>
        <v>#REF!</v>
      </c>
      <c r="AE220" s="211" t="e">
        <f t="shared" si="26"/>
        <v>#REF!</v>
      </c>
      <c r="AF220" s="211" t="e">
        <f t="shared" si="26"/>
        <v>#REF!</v>
      </c>
      <c r="AG220" s="211" t="e">
        <f t="shared" si="26"/>
        <v>#REF!</v>
      </c>
      <c r="AH220" s="211" t="e">
        <f t="shared" si="26"/>
        <v>#REF!</v>
      </c>
      <c r="AI220" s="211" t="e">
        <f t="shared" si="26"/>
        <v>#REF!</v>
      </c>
      <c r="AJ220" s="211" t="e">
        <f t="shared" si="26"/>
        <v>#REF!</v>
      </c>
      <c r="AK220" s="211" t="e">
        <f t="shared" si="26"/>
        <v>#REF!</v>
      </c>
      <c r="AL220" s="211" t="e">
        <f t="shared" si="26"/>
        <v>#REF!</v>
      </c>
      <c r="AM220" s="211" t="e">
        <f t="shared" si="26"/>
        <v>#REF!</v>
      </c>
      <c r="AN220" s="211" t="e">
        <f t="shared" si="26"/>
        <v>#REF!</v>
      </c>
      <c r="AO220" s="211" t="e">
        <f t="shared" si="26"/>
        <v>#REF!</v>
      </c>
      <c r="AP220" s="211" t="e">
        <f t="shared" si="26"/>
        <v>#REF!</v>
      </c>
      <c r="AQ220" s="211" t="e">
        <f t="shared" si="26"/>
        <v>#REF!</v>
      </c>
      <c r="AR220" s="211" t="e">
        <f t="shared" si="26"/>
        <v>#REF!</v>
      </c>
      <c r="AS220" s="211" t="e">
        <f t="shared" si="26"/>
        <v>#REF!</v>
      </c>
      <c r="AT220" s="211" t="e">
        <f t="shared" si="26"/>
        <v>#REF!</v>
      </c>
      <c r="AU220" s="211" t="e">
        <f t="shared" si="26"/>
        <v>#REF!</v>
      </c>
      <c r="AV220" s="211" t="e">
        <f t="shared" si="26"/>
        <v>#REF!</v>
      </c>
      <c r="AW220" s="211" t="e">
        <f t="shared" si="26"/>
        <v>#REF!</v>
      </c>
      <c r="AX220" s="211" t="e">
        <f t="shared" si="26"/>
        <v>#REF!</v>
      </c>
      <c r="AY220" s="211" t="e">
        <f t="shared" si="26"/>
        <v>#REF!</v>
      </c>
      <c r="AZ220" s="211" t="e">
        <f t="shared" si="26"/>
        <v>#REF!</v>
      </c>
      <c r="BA220" s="211" t="e">
        <f t="shared" si="26"/>
        <v>#REF!</v>
      </c>
      <c r="BB220" s="211" t="e">
        <f t="shared" si="26"/>
        <v>#REF!</v>
      </c>
      <c r="BC220" s="211" t="e">
        <f t="shared" si="26"/>
        <v>#REF!</v>
      </c>
      <c r="BD220" s="211" t="e">
        <f t="shared" si="26"/>
        <v>#REF!</v>
      </c>
      <c r="BE220" s="211" t="e">
        <f t="shared" si="26"/>
        <v>#REF!</v>
      </c>
      <c r="BF220" s="211" t="e">
        <f t="shared" si="26"/>
        <v>#REF!</v>
      </c>
      <c r="BG220" s="211" t="e">
        <f t="shared" si="26"/>
        <v>#REF!</v>
      </c>
      <c r="BH220" s="211" t="e">
        <f t="shared" si="26"/>
        <v>#REF!</v>
      </c>
      <c r="BI220" s="211" t="e">
        <f t="shared" si="26"/>
        <v>#REF!</v>
      </c>
      <c r="BJ220" s="211" t="e">
        <f t="shared" si="26"/>
        <v>#REF!</v>
      </c>
      <c r="BK220" s="211" t="e">
        <f t="shared" si="26"/>
        <v>#REF!</v>
      </c>
    </row>
    <row r="221" spans="2:63">
      <c r="B221" s="207" t="str">
        <f>'Квартальная отчетность'!B24</f>
        <v>Доходы от участия в других организациях</v>
      </c>
      <c r="C221" s="209">
        <f>'Квартальная отчетность'!E24</f>
        <v>0</v>
      </c>
      <c r="D221" s="209">
        <f>'Квартальная отчетность'!F24</f>
        <v>0</v>
      </c>
      <c r="E221" s="209">
        <f>'Квартальная отчетность'!G24</f>
        <v>0</v>
      </c>
      <c r="F221" s="209">
        <f>'Квартальная отчетность'!H24</f>
        <v>0</v>
      </c>
      <c r="G221" s="209">
        <f>'Квартальная отчетность'!I24</f>
        <v>0</v>
      </c>
      <c r="H221" s="209">
        <f>'Квартальная отчетность'!J24</f>
        <v>0</v>
      </c>
      <c r="I221" s="209">
        <f>'Квартальная отчетность'!K24</f>
        <v>0</v>
      </c>
      <c r="J221" s="209">
        <f>'Квартальная отчетность'!L24</f>
        <v>0</v>
      </c>
      <c r="K221" s="209">
        <f>'Квартальная отчетность'!M24</f>
        <v>0</v>
      </c>
      <c r="L221" s="209">
        <f>'Квартальная отчетность'!N24</f>
        <v>0</v>
      </c>
      <c r="M221" s="209">
        <f>'Квартальная отчетность'!O24</f>
        <v>0</v>
      </c>
      <c r="N221" s="209">
        <f>'Квартальная отчетность'!P24</f>
        <v>0</v>
      </c>
      <c r="O221" s="209">
        <f>'Квартальная отчетность'!Q24</f>
        <v>0</v>
      </c>
      <c r="P221" s="209">
        <f>'Квартальная отчетность'!R24</f>
        <v>0</v>
      </c>
      <c r="Q221" s="209">
        <f>'Квартальная отчетность'!S24</f>
        <v>0</v>
      </c>
      <c r="R221" s="209">
        <f>'Квартальная отчетность'!T24</f>
        <v>0</v>
      </c>
      <c r="S221" s="209">
        <f>'Квартальная отчетность'!U24</f>
        <v>0</v>
      </c>
      <c r="T221" s="209">
        <f>'Квартальная отчетность'!V24</f>
        <v>0</v>
      </c>
      <c r="U221" s="209">
        <f>'Квартальная отчетность'!W24</f>
        <v>0</v>
      </c>
      <c r="V221" s="209">
        <f>'Квартальная отчетность'!X24</f>
        <v>0</v>
      </c>
      <c r="W221" s="209">
        <f>'Квартальная отчетность'!Y24</f>
        <v>0</v>
      </c>
      <c r="X221" s="209">
        <f>'Квартальная отчетность'!Z24</f>
        <v>0</v>
      </c>
      <c r="Y221" s="209">
        <f>'Квартальная отчетность'!AA24</f>
        <v>0</v>
      </c>
      <c r="Z221" s="209">
        <f>'Квартальная отчетность'!AB24</f>
        <v>0</v>
      </c>
      <c r="AA221" s="209">
        <f>'Квартальная отчетность'!AC24</f>
        <v>0</v>
      </c>
      <c r="AB221" s="209">
        <f>'Квартальная отчетность'!AD24</f>
        <v>0</v>
      </c>
      <c r="AC221" s="209">
        <f>'Квартальная отчетность'!AE24</f>
        <v>0</v>
      </c>
      <c r="AD221" s="209">
        <f>'Квартальная отчетность'!AF24</f>
        <v>0</v>
      </c>
      <c r="AE221" s="209">
        <f>'Квартальная отчетность'!AG24</f>
        <v>0</v>
      </c>
      <c r="AF221" s="209">
        <f>'Квартальная отчетность'!AH24</f>
        <v>0</v>
      </c>
      <c r="AG221" s="209">
        <f>'Квартальная отчетность'!AI24</f>
        <v>0</v>
      </c>
      <c r="AH221" s="209">
        <f>'Квартальная отчетность'!AJ24</f>
        <v>0</v>
      </c>
      <c r="AI221" s="209">
        <f>'Квартальная отчетность'!AK24</f>
        <v>0</v>
      </c>
      <c r="AJ221" s="209">
        <f>'Квартальная отчетность'!AL24</f>
        <v>0</v>
      </c>
      <c r="AK221" s="209">
        <f>'Квартальная отчетность'!AM24</f>
        <v>0</v>
      </c>
      <c r="AL221" s="209">
        <f>'Квартальная отчетность'!AN24</f>
        <v>0</v>
      </c>
      <c r="AM221" s="209">
        <f>'Квартальная отчетность'!AO24</f>
        <v>0</v>
      </c>
      <c r="AN221" s="209">
        <f>'Квартальная отчетность'!AP24</f>
        <v>0</v>
      </c>
      <c r="AO221" s="209">
        <f>'Квартальная отчетность'!AQ24</f>
        <v>0</v>
      </c>
      <c r="AP221" s="209">
        <f>'Квартальная отчетность'!AR24</f>
        <v>0</v>
      </c>
      <c r="AQ221" s="209">
        <f>'Квартальная отчетность'!AS24</f>
        <v>0</v>
      </c>
      <c r="AR221" s="209">
        <f>'Квартальная отчетность'!AT24</f>
        <v>0</v>
      </c>
      <c r="AS221" s="209">
        <f>'Квартальная отчетность'!AU24</f>
        <v>0</v>
      </c>
      <c r="AT221" s="209">
        <f>'Квартальная отчетность'!AV24</f>
        <v>0</v>
      </c>
      <c r="AU221" s="209">
        <f>'Квартальная отчетность'!AW24</f>
        <v>0</v>
      </c>
      <c r="AV221" s="209">
        <f>'Квартальная отчетность'!AX24</f>
        <v>0</v>
      </c>
      <c r="AW221" s="209">
        <f>'Квартальная отчетность'!AY24</f>
        <v>0</v>
      </c>
      <c r="AX221" s="209">
        <f>'Квартальная отчетность'!AZ24</f>
        <v>0</v>
      </c>
      <c r="AY221" s="209">
        <f>'Квартальная отчетность'!BA24</f>
        <v>0</v>
      </c>
      <c r="AZ221" s="209">
        <f>'Квартальная отчетность'!BB24</f>
        <v>0</v>
      </c>
      <c r="BA221" s="209">
        <f>'Квартальная отчетность'!BC24</f>
        <v>0</v>
      </c>
      <c r="BB221" s="209">
        <f>'Квартальная отчетность'!BD24</f>
        <v>0</v>
      </c>
      <c r="BC221" s="209">
        <f>'Квартальная отчетность'!BE24</f>
        <v>0</v>
      </c>
      <c r="BD221" s="209">
        <f>'Квартальная отчетность'!BF24</f>
        <v>0</v>
      </c>
      <c r="BE221" s="209">
        <f>'Квартальная отчетность'!BG24</f>
        <v>0</v>
      </c>
      <c r="BF221" s="209">
        <f>'Квартальная отчетность'!BH24</f>
        <v>0</v>
      </c>
      <c r="BG221" s="209">
        <f>'Квартальная отчетность'!BI24</f>
        <v>0</v>
      </c>
      <c r="BH221" s="209">
        <f>'Квартальная отчетность'!BJ24</f>
        <v>0</v>
      </c>
      <c r="BI221" s="209">
        <f>'Квартальная отчетность'!BK24</f>
        <v>0</v>
      </c>
      <c r="BJ221" s="209">
        <f>'Квартальная отчетность'!BL24</f>
        <v>0</v>
      </c>
      <c r="BK221" s="209">
        <f>'Квартальная отчетность'!BM24</f>
        <v>0</v>
      </c>
    </row>
    <row r="222" spans="2:63">
      <c r="B222" s="207" t="str">
        <f>'Квартальная отчетность'!B25</f>
        <v>Проценты к получению</v>
      </c>
      <c r="C222" s="209">
        <f>'Квартальная отчетность'!E25</f>
        <v>0</v>
      </c>
      <c r="D222" s="209">
        <f>'Квартальная отчетность'!F25</f>
        <v>0</v>
      </c>
      <c r="E222" s="209">
        <f>'Квартальная отчетность'!G25</f>
        <v>0</v>
      </c>
      <c r="F222" s="209">
        <f>'Квартальная отчетность'!H25</f>
        <v>0</v>
      </c>
      <c r="G222" s="209">
        <f>'Квартальная отчетность'!I25</f>
        <v>0</v>
      </c>
      <c r="H222" s="209">
        <f>'Квартальная отчетность'!J25</f>
        <v>0</v>
      </c>
      <c r="I222" s="209">
        <f>'Квартальная отчетность'!K25</f>
        <v>0</v>
      </c>
      <c r="J222" s="209">
        <f>'Квартальная отчетность'!L25</f>
        <v>0</v>
      </c>
      <c r="K222" s="209">
        <f>'Квартальная отчетность'!M25</f>
        <v>0</v>
      </c>
      <c r="L222" s="209">
        <f>'Квартальная отчетность'!N25</f>
        <v>0</v>
      </c>
      <c r="M222" s="209">
        <f>'Квартальная отчетность'!O25</f>
        <v>0</v>
      </c>
      <c r="N222" s="209">
        <f>'Квартальная отчетность'!P25</f>
        <v>0</v>
      </c>
      <c r="O222" s="209">
        <f>'Квартальная отчетность'!Q25</f>
        <v>0</v>
      </c>
      <c r="P222" s="209">
        <f>'Квартальная отчетность'!R25</f>
        <v>0</v>
      </c>
      <c r="Q222" s="209">
        <f>'Квартальная отчетность'!S25</f>
        <v>0</v>
      </c>
      <c r="R222" s="209">
        <f>'Квартальная отчетность'!T25</f>
        <v>0</v>
      </c>
      <c r="S222" s="209">
        <f>'Квартальная отчетность'!U25</f>
        <v>0</v>
      </c>
      <c r="T222" s="209">
        <f>'Квартальная отчетность'!V25</f>
        <v>0</v>
      </c>
      <c r="U222" s="209">
        <f>'Квартальная отчетность'!W25</f>
        <v>0</v>
      </c>
      <c r="V222" s="209">
        <f>'Квартальная отчетность'!X25</f>
        <v>0</v>
      </c>
      <c r="W222" s="209">
        <f>'Квартальная отчетность'!Y25</f>
        <v>0</v>
      </c>
      <c r="X222" s="209">
        <f>'Квартальная отчетность'!Z25</f>
        <v>0</v>
      </c>
      <c r="Y222" s="209">
        <f>'Квартальная отчетность'!AA25</f>
        <v>0</v>
      </c>
      <c r="Z222" s="209">
        <f>'Квартальная отчетность'!AB25</f>
        <v>0</v>
      </c>
      <c r="AA222" s="209">
        <f>'Квартальная отчетность'!AC25</f>
        <v>0</v>
      </c>
      <c r="AB222" s="209">
        <f>'Квартальная отчетность'!AD25</f>
        <v>0</v>
      </c>
      <c r="AC222" s="209">
        <f>'Квартальная отчетность'!AE25</f>
        <v>0</v>
      </c>
      <c r="AD222" s="209">
        <f>'Квартальная отчетность'!AF25</f>
        <v>0</v>
      </c>
      <c r="AE222" s="209">
        <f>'Квартальная отчетность'!AG25</f>
        <v>0</v>
      </c>
      <c r="AF222" s="209">
        <f>'Квартальная отчетность'!AH25</f>
        <v>0</v>
      </c>
      <c r="AG222" s="209">
        <f>'Квартальная отчетность'!AI25</f>
        <v>0</v>
      </c>
      <c r="AH222" s="209">
        <f>'Квартальная отчетность'!AJ25</f>
        <v>0</v>
      </c>
      <c r="AI222" s="209">
        <f>'Квартальная отчетность'!AK25</f>
        <v>0</v>
      </c>
      <c r="AJ222" s="209">
        <f>'Квартальная отчетность'!AL25</f>
        <v>0</v>
      </c>
      <c r="AK222" s="209">
        <f>'Квартальная отчетность'!AM25</f>
        <v>0</v>
      </c>
      <c r="AL222" s="209">
        <f>'Квартальная отчетность'!AN25</f>
        <v>0</v>
      </c>
      <c r="AM222" s="209">
        <f>'Квартальная отчетность'!AO25</f>
        <v>0</v>
      </c>
      <c r="AN222" s="209">
        <f>'Квартальная отчетность'!AP25</f>
        <v>0</v>
      </c>
      <c r="AO222" s="209">
        <f>'Квартальная отчетность'!AQ25</f>
        <v>0</v>
      </c>
      <c r="AP222" s="209">
        <f>'Квартальная отчетность'!AR25</f>
        <v>0</v>
      </c>
      <c r="AQ222" s="209">
        <f>'Квартальная отчетность'!AS25</f>
        <v>0</v>
      </c>
      <c r="AR222" s="209">
        <f>'Квартальная отчетность'!AT25</f>
        <v>0</v>
      </c>
      <c r="AS222" s="209">
        <f>'Квартальная отчетность'!AU25</f>
        <v>0</v>
      </c>
      <c r="AT222" s="209">
        <f>'Квартальная отчетность'!AV25</f>
        <v>0</v>
      </c>
      <c r="AU222" s="209">
        <f>'Квартальная отчетность'!AW25</f>
        <v>0</v>
      </c>
      <c r="AV222" s="209">
        <f>'Квартальная отчетность'!AX25</f>
        <v>0</v>
      </c>
      <c r="AW222" s="209">
        <f>'Квартальная отчетность'!AY25</f>
        <v>0</v>
      </c>
      <c r="AX222" s="209">
        <f>'Квартальная отчетность'!AZ25</f>
        <v>0</v>
      </c>
      <c r="AY222" s="209">
        <f>'Квартальная отчетность'!BA25</f>
        <v>0</v>
      </c>
      <c r="AZ222" s="209">
        <f>'Квартальная отчетность'!BB25</f>
        <v>0</v>
      </c>
      <c r="BA222" s="209">
        <f>'Квартальная отчетность'!BC25</f>
        <v>0</v>
      </c>
      <c r="BB222" s="209">
        <f>'Квартальная отчетность'!BD25</f>
        <v>0</v>
      </c>
      <c r="BC222" s="209">
        <f>'Квартальная отчетность'!BE25</f>
        <v>0</v>
      </c>
      <c r="BD222" s="209">
        <f>'Квартальная отчетность'!BF25</f>
        <v>0</v>
      </c>
      <c r="BE222" s="209">
        <f>'Квартальная отчетность'!BG25</f>
        <v>0</v>
      </c>
      <c r="BF222" s="209">
        <f>'Квартальная отчетность'!BH25</f>
        <v>0</v>
      </c>
      <c r="BG222" s="209">
        <f>'Квартальная отчетность'!BI25</f>
        <v>0</v>
      </c>
      <c r="BH222" s="209">
        <f>'Квартальная отчетность'!BJ25</f>
        <v>0</v>
      </c>
      <c r="BI222" s="209">
        <f>'Квартальная отчетность'!BK25</f>
        <v>0</v>
      </c>
      <c r="BJ222" s="209">
        <f>'Квартальная отчетность'!BL25</f>
        <v>0</v>
      </c>
      <c r="BK222" s="209">
        <f>'Квартальная отчетность'!BM25</f>
        <v>0</v>
      </c>
    </row>
    <row r="223" spans="2:63">
      <c r="B223" s="207" t="str">
        <f>'Квартальная отчетность'!B26</f>
        <v>Проценты к уплате (-)</v>
      </c>
      <c r="C223" s="209">
        <f>'Квартальная отчетность'!E26</f>
        <v>0</v>
      </c>
      <c r="D223" s="209">
        <f>'Квартальная отчетность'!F26</f>
        <v>0</v>
      </c>
      <c r="E223" s="209">
        <f>'Квартальная отчетность'!G26</f>
        <v>0</v>
      </c>
      <c r="F223" s="209">
        <f>'Квартальная отчетность'!H26</f>
        <v>0</v>
      </c>
      <c r="G223" s="209">
        <f>'Квартальная отчетность'!I26</f>
        <v>0</v>
      </c>
      <c r="H223" s="209">
        <f>'Квартальная отчетность'!J26</f>
        <v>0</v>
      </c>
      <c r="I223" s="209">
        <f>'Квартальная отчетность'!K26</f>
        <v>0</v>
      </c>
      <c r="J223" s="209">
        <f>'Квартальная отчетность'!L26</f>
        <v>0</v>
      </c>
      <c r="K223" s="209">
        <f>'Квартальная отчетность'!M26</f>
        <v>0</v>
      </c>
      <c r="L223" s="209">
        <f>'Квартальная отчетность'!N26</f>
        <v>0</v>
      </c>
      <c r="M223" s="209">
        <f>'Квартальная отчетность'!O26</f>
        <v>0</v>
      </c>
      <c r="N223" s="209">
        <f>'Квартальная отчетность'!P26</f>
        <v>0</v>
      </c>
      <c r="O223" s="209">
        <f>'Квартальная отчетность'!Q26</f>
        <v>0</v>
      </c>
      <c r="P223" s="209">
        <f>'Квартальная отчетность'!R26</f>
        <v>0</v>
      </c>
      <c r="Q223" s="209">
        <f>'Квартальная отчетность'!S26</f>
        <v>0</v>
      </c>
      <c r="R223" s="209">
        <f>'Квартальная отчетность'!T26</f>
        <v>0</v>
      </c>
      <c r="S223" s="209">
        <f>'Квартальная отчетность'!U26</f>
        <v>0</v>
      </c>
      <c r="T223" s="209">
        <f>'Квартальная отчетность'!V26</f>
        <v>0</v>
      </c>
      <c r="U223" s="209">
        <f>'Квартальная отчетность'!W26</f>
        <v>0</v>
      </c>
      <c r="V223" s="209">
        <f>'Квартальная отчетность'!X26</f>
        <v>0</v>
      </c>
      <c r="W223" s="209">
        <f>'Квартальная отчетность'!Y26</f>
        <v>0</v>
      </c>
      <c r="X223" s="209">
        <f>'Квартальная отчетность'!Z26</f>
        <v>0</v>
      </c>
      <c r="Y223" s="209">
        <f>'Квартальная отчетность'!AA26</f>
        <v>0</v>
      </c>
      <c r="Z223" s="209">
        <f>'Квартальная отчетность'!AB26</f>
        <v>0</v>
      </c>
      <c r="AA223" s="209">
        <f>'Квартальная отчетность'!AC26</f>
        <v>0</v>
      </c>
      <c r="AB223" s="209">
        <f>'Квартальная отчетность'!AD26</f>
        <v>0</v>
      </c>
      <c r="AC223" s="209">
        <f>'Квартальная отчетность'!AE26</f>
        <v>0</v>
      </c>
      <c r="AD223" s="209">
        <f>'Квартальная отчетность'!AF26</f>
        <v>0</v>
      </c>
      <c r="AE223" s="209">
        <f>'Квартальная отчетность'!AG26</f>
        <v>0</v>
      </c>
      <c r="AF223" s="209">
        <f>'Квартальная отчетность'!AH26</f>
        <v>0</v>
      </c>
      <c r="AG223" s="209">
        <f>'Квартальная отчетность'!AI26</f>
        <v>0</v>
      </c>
      <c r="AH223" s="209">
        <f>'Квартальная отчетность'!AJ26</f>
        <v>0</v>
      </c>
      <c r="AI223" s="209">
        <f>'Квартальная отчетность'!AK26</f>
        <v>0</v>
      </c>
      <c r="AJ223" s="209">
        <f>'Квартальная отчетность'!AL26</f>
        <v>0</v>
      </c>
      <c r="AK223" s="209">
        <f>'Квартальная отчетность'!AM26</f>
        <v>0</v>
      </c>
      <c r="AL223" s="209">
        <f>'Квартальная отчетность'!AN26</f>
        <v>0</v>
      </c>
      <c r="AM223" s="209">
        <f>'Квартальная отчетность'!AO26</f>
        <v>0</v>
      </c>
      <c r="AN223" s="209">
        <f>'Квартальная отчетность'!AP26</f>
        <v>0</v>
      </c>
      <c r="AO223" s="209">
        <f>'Квартальная отчетность'!AQ26</f>
        <v>0</v>
      </c>
      <c r="AP223" s="209">
        <f>'Квартальная отчетность'!AR26</f>
        <v>0</v>
      </c>
      <c r="AQ223" s="209">
        <f>'Квартальная отчетность'!AS26</f>
        <v>0</v>
      </c>
      <c r="AR223" s="209">
        <f>'Квартальная отчетность'!AT26</f>
        <v>0</v>
      </c>
      <c r="AS223" s="209">
        <f>'Квартальная отчетность'!AU26</f>
        <v>0</v>
      </c>
      <c r="AT223" s="209">
        <f>'Квартальная отчетность'!AV26</f>
        <v>0</v>
      </c>
      <c r="AU223" s="209">
        <f>'Квартальная отчетность'!AW26</f>
        <v>0</v>
      </c>
      <c r="AV223" s="209">
        <f>'Квартальная отчетность'!AX26</f>
        <v>0</v>
      </c>
      <c r="AW223" s="209">
        <f>'Квартальная отчетность'!AY26</f>
        <v>0</v>
      </c>
      <c r="AX223" s="209">
        <f>'Квартальная отчетность'!AZ26</f>
        <v>0</v>
      </c>
      <c r="AY223" s="209">
        <f>'Квартальная отчетность'!BA26</f>
        <v>0</v>
      </c>
      <c r="AZ223" s="209">
        <f>'Квартальная отчетность'!BB26</f>
        <v>0</v>
      </c>
      <c r="BA223" s="209">
        <f>'Квартальная отчетность'!BC26</f>
        <v>0</v>
      </c>
      <c r="BB223" s="209">
        <f>'Квартальная отчетность'!BD26</f>
        <v>0</v>
      </c>
      <c r="BC223" s="209">
        <f>'Квартальная отчетность'!BE26</f>
        <v>0</v>
      </c>
      <c r="BD223" s="209">
        <f>'Квартальная отчетность'!BF26</f>
        <v>0</v>
      </c>
      <c r="BE223" s="209">
        <f>'Квартальная отчетность'!BG26</f>
        <v>0</v>
      </c>
      <c r="BF223" s="209">
        <f>'Квартальная отчетность'!BH26</f>
        <v>0</v>
      </c>
      <c r="BG223" s="209">
        <f>'Квартальная отчетность'!BI26</f>
        <v>0</v>
      </c>
      <c r="BH223" s="209">
        <f>'Квартальная отчетность'!BJ26</f>
        <v>0</v>
      </c>
      <c r="BI223" s="209">
        <f>'Квартальная отчетность'!BK26</f>
        <v>0</v>
      </c>
      <c r="BJ223" s="209">
        <f>'Квартальная отчетность'!BL26</f>
        <v>0</v>
      </c>
      <c r="BK223" s="209">
        <f>'Квартальная отчетность'!BM26</f>
        <v>0</v>
      </c>
    </row>
    <row r="224" spans="2:63">
      <c r="B224" s="207" t="str">
        <f>'Квартальная отчетность'!B27</f>
        <v>Прочие доходы</v>
      </c>
      <c r="C224" s="209">
        <f>'Квартальная отчетность'!E27</f>
        <v>0</v>
      </c>
      <c r="D224" s="209">
        <f>'Квартальная отчетность'!F27</f>
        <v>0</v>
      </c>
      <c r="E224" s="209">
        <f>'Квартальная отчетность'!G27</f>
        <v>0</v>
      </c>
      <c r="F224" s="209">
        <f>'Квартальная отчетность'!H27</f>
        <v>0</v>
      </c>
      <c r="G224" s="209">
        <f>'Квартальная отчетность'!I27</f>
        <v>0</v>
      </c>
      <c r="H224" s="209">
        <f>'Квартальная отчетность'!J27</f>
        <v>0</v>
      </c>
      <c r="I224" s="209">
        <f>'Квартальная отчетность'!K27</f>
        <v>0</v>
      </c>
      <c r="J224" s="209">
        <f>'Квартальная отчетность'!L27</f>
        <v>0</v>
      </c>
      <c r="K224" s="209">
        <f>'Квартальная отчетность'!M27</f>
        <v>0</v>
      </c>
      <c r="L224" s="209">
        <f>'Квартальная отчетность'!N27</f>
        <v>0</v>
      </c>
      <c r="M224" s="209">
        <f>'Квартальная отчетность'!O27</f>
        <v>0</v>
      </c>
      <c r="N224" s="209">
        <f>'Квартальная отчетность'!P27</f>
        <v>0</v>
      </c>
      <c r="O224" s="209">
        <f>'Квартальная отчетность'!Q27</f>
        <v>0</v>
      </c>
      <c r="P224" s="209">
        <f>'Квартальная отчетность'!R27</f>
        <v>0</v>
      </c>
      <c r="Q224" s="209">
        <f>'Квартальная отчетность'!S27</f>
        <v>0</v>
      </c>
      <c r="R224" s="209">
        <f>'Квартальная отчетность'!T27</f>
        <v>0</v>
      </c>
      <c r="S224" s="209">
        <f>'Квартальная отчетность'!U27</f>
        <v>0</v>
      </c>
      <c r="T224" s="209">
        <f>'Квартальная отчетность'!V27</f>
        <v>0</v>
      </c>
      <c r="U224" s="209">
        <f>'Квартальная отчетность'!W27</f>
        <v>0</v>
      </c>
      <c r="V224" s="209">
        <f>'Квартальная отчетность'!X27</f>
        <v>0</v>
      </c>
      <c r="W224" s="209">
        <f>'Квартальная отчетность'!Y27</f>
        <v>0</v>
      </c>
      <c r="X224" s="209">
        <f>'Квартальная отчетность'!Z27</f>
        <v>0</v>
      </c>
      <c r="Y224" s="209">
        <f>'Квартальная отчетность'!AA27</f>
        <v>0</v>
      </c>
      <c r="Z224" s="209">
        <f>'Квартальная отчетность'!AB27</f>
        <v>0</v>
      </c>
      <c r="AA224" s="209">
        <f>'Квартальная отчетность'!AC27</f>
        <v>0</v>
      </c>
      <c r="AB224" s="209">
        <f>'Квартальная отчетность'!AD27</f>
        <v>0</v>
      </c>
      <c r="AC224" s="209">
        <f>'Квартальная отчетность'!AE27</f>
        <v>0</v>
      </c>
      <c r="AD224" s="209">
        <f>'Квартальная отчетность'!AF27</f>
        <v>0</v>
      </c>
      <c r="AE224" s="209">
        <f>'Квартальная отчетность'!AG27</f>
        <v>0</v>
      </c>
      <c r="AF224" s="209">
        <f>'Квартальная отчетность'!AH27</f>
        <v>0</v>
      </c>
      <c r="AG224" s="209">
        <f>'Квартальная отчетность'!AI27</f>
        <v>0</v>
      </c>
      <c r="AH224" s="209">
        <f>'Квартальная отчетность'!AJ27</f>
        <v>0</v>
      </c>
      <c r="AI224" s="209">
        <f>'Квартальная отчетность'!AK27</f>
        <v>0</v>
      </c>
      <c r="AJ224" s="209">
        <f>'Квартальная отчетность'!AL27</f>
        <v>0</v>
      </c>
      <c r="AK224" s="209">
        <f>'Квартальная отчетность'!AM27</f>
        <v>0</v>
      </c>
      <c r="AL224" s="209">
        <f>'Квартальная отчетность'!AN27</f>
        <v>0</v>
      </c>
      <c r="AM224" s="209">
        <f>'Квартальная отчетность'!AO27</f>
        <v>0</v>
      </c>
      <c r="AN224" s="209">
        <f>'Квартальная отчетность'!AP27</f>
        <v>0</v>
      </c>
      <c r="AO224" s="209">
        <f>'Квартальная отчетность'!AQ27</f>
        <v>0</v>
      </c>
      <c r="AP224" s="209">
        <f>'Квартальная отчетность'!AR27</f>
        <v>0</v>
      </c>
      <c r="AQ224" s="209">
        <f>'Квартальная отчетность'!AS27</f>
        <v>0</v>
      </c>
      <c r="AR224" s="209">
        <f>'Квартальная отчетность'!AT27</f>
        <v>0</v>
      </c>
      <c r="AS224" s="209">
        <f>'Квартальная отчетность'!AU27</f>
        <v>0</v>
      </c>
      <c r="AT224" s="209">
        <f>'Квартальная отчетность'!AV27</f>
        <v>0</v>
      </c>
      <c r="AU224" s="209">
        <f>'Квартальная отчетность'!AW27</f>
        <v>0</v>
      </c>
      <c r="AV224" s="209">
        <f>'Квартальная отчетность'!AX27</f>
        <v>0</v>
      </c>
      <c r="AW224" s="209">
        <f>'Квартальная отчетность'!AY27</f>
        <v>0</v>
      </c>
      <c r="AX224" s="209">
        <f>'Квартальная отчетность'!AZ27</f>
        <v>0</v>
      </c>
      <c r="AY224" s="209">
        <f>'Квартальная отчетность'!BA27</f>
        <v>0</v>
      </c>
      <c r="AZ224" s="209">
        <f>'Квартальная отчетность'!BB27</f>
        <v>0</v>
      </c>
      <c r="BA224" s="209">
        <f>'Квартальная отчетность'!BC27</f>
        <v>0</v>
      </c>
      <c r="BB224" s="209">
        <f>'Квартальная отчетность'!BD27</f>
        <v>0</v>
      </c>
      <c r="BC224" s="209">
        <f>'Квартальная отчетность'!BE27</f>
        <v>0</v>
      </c>
      <c r="BD224" s="209">
        <f>'Квартальная отчетность'!BF27</f>
        <v>0</v>
      </c>
      <c r="BE224" s="209">
        <f>'Квартальная отчетность'!BG27</f>
        <v>0</v>
      </c>
      <c r="BF224" s="209">
        <f>'Квартальная отчетность'!BH27</f>
        <v>0</v>
      </c>
      <c r="BG224" s="209">
        <f>'Квартальная отчетность'!BI27</f>
        <v>0</v>
      </c>
      <c r="BH224" s="209">
        <f>'Квартальная отчетность'!BJ27</f>
        <v>0</v>
      </c>
      <c r="BI224" s="209">
        <f>'Квартальная отчетность'!BK27</f>
        <v>0</v>
      </c>
      <c r="BJ224" s="209">
        <f>'Квартальная отчетность'!BL27</f>
        <v>0</v>
      </c>
      <c r="BK224" s="209">
        <f>'Квартальная отчетность'!BM27</f>
        <v>0</v>
      </c>
    </row>
    <row r="225" spans="2:63">
      <c r="B225" s="207" t="str">
        <f>'Квартальная отчетность'!B28</f>
        <v>Прочие расходы (-)</v>
      </c>
      <c r="C225" s="209">
        <f>'Квартальная отчетность'!E28</f>
        <v>0</v>
      </c>
      <c r="D225" s="209">
        <f>'Квартальная отчетность'!F28</f>
        <v>0</v>
      </c>
      <c r="E225" s="209">
        <f>'Квартальная отчетность'!G28</f>
        <v>0</v>
      </c>
      <c r="F225" s="209">
        <f>'Квартальная отчетность'!H28</f>
        <v>0</v>
      </c>
      <c r="G225" s="209">
        <f>'Квартальная отчетность'!I28</f>
        <v>0</v>
      </c>
      <c r="H225" s="209">
        <f>'Квартальная отчетность'!J28</f>
        <v>0</v>
      </c>
      <c r="I225" s="209">
        <f>'Квартальная отчетность'!K28</f>
        <v>0</v>
      </c>
      <c r="J225" s="209">
        <f>'Квартальная отчетность'!L28</f>
        <v>0</v>
      </c>
      <c r="K225" s="209">
        <f>'Квартальная отчетность'!M28</f>
        <v>0</v>
      </c>
      <c r="L225" s="209">
        <f>'Квартальная отчетность'!N28</f>
        <v>0</v>
      </c>
      <c r="M225" s="209">
        <f>'Квартальная отчетность'!O28</f>
        <v>0</v>
      </c>
      <c r="N225" s="209">
        <f>'Квартальная отчетность'!P28</f>
        <v>0</v>
      </c>
      <c r="O225" s="209">
        <f>'Квартальная отчетность'!Q28</f>
        <v>0</v>
      </c>
      <c r="P225" s="209">
        <f>'Квартальная отчетность'!R28</f>
        <v>0</v>
      </c>
      <c r="Q225" s="209">
        <f>'Квартальная отчетность'!S28</f>
        <v>0</v>
      </c>
      <c r="R225" s="209">
        <f>'Квартальная отчетность'!T28</f>
        <v>0</v>
      </c>
      <c r="S225" s="209">
        <f>'Квартальная отчетность'!U28</f>
        <v>0</v>
      </c>
      <c r="T225" s="209">
        <f>'Квартальная отчетность'!V28</f>
        <v>0</v>
      </c>
      <c r="U225" s="209">
        <f>'Квартальная отчетность'!W28</f>
        <v>0</v>
      </c>
      <c r="V225" s="209">
        <f>'Квартальная отчетность'!X28</f>
        <v>0</v>
      </c>
      <c r="W225" s="209">
        <f>'Квартальная отчетность'!Y28</f>
        <v>0</v>
      </c>
      <c r="X225" s="209">
        <f>'Квартальная отчетность'!Z28</f>
        <v>0</v>
      </c>
      <c r="Y225" s="209">
        <f>'Квартальная отчетность'!AA28</f>
        <v>0</v>
      </c>
      <c r="Z225" s="209">
        <f>'Квартальная отчетность'!AB28</f>
        <v>0</v>
      </c>
      <c r="AA225" s="209">
        <f>'Квартальная отчетность'!AC28</f>
        <v>0</v>
      </c>
      <c r="AB225" s="209">
        <f>'Квартальная отчетность'!AD28</f>
        <v>0</v>
      </c>
      <c r="AC225" s="209">
        <f>'Квартальная отчетность'!AE28</f>
        <v>0</v>
      </c>
      <c r="AD225" s="209">
        <f>'Квартальная отчетность'!AF28</f>
        <v>0</v>
      </c>
      <c r="AE225" s="209">
        <f>'Квартальная отчетность'!AG28</f>
        <v>0</v>
      </c>
      <c r="AF225" s="209">
        <f>'Квартальная отчетность'!AH28</f>
        <v>0</v>
      </c>
      <c r="AG225" s="209">
        <f>'Квартальная отчетность'!AI28</f>
        <v>0</v>
      </c>
      <c r="AH225" s="209">
        <f>'Квартальная отчетность'!AJ28</f>
        <v>0</v>
      </c>
      <c r="AI225" s="209">
        <f>'Квартальная отчетность'!AK28</f>
        <v>0</v>
      </c>
      <c r="AJ225" s="209">
        <f>'Квартальная отчетность'!AL28</f>
        <v>0</v>
      </c>
      <c r="AK225" s="209">
        <f>'Квартальная отчетность'!AM28</f>
        <v>0</v>
      </c>
      <c r="AL225" s="209">
        <f>'Квартальная отчетность'!AN28</f>
        <v>0</v>
      </c>
      <c r="AM225" s="209">
        <f>'Квартальная отчетность'!AO28</f>
        <v>0</v>
      </c>
      <c r="AN225" s="209">
        <f>'Квартальная отчетность'!AP28</f>
        <v>0</v>
      </c>
      <c r="AO225" s="209">
        <f>'Квартальная отчетность'!AQ28</f>
        <v>0</v>
      </c>
      <c r="AP225" s="209">
        <f>'Квартальная отчетность'!AR28</f>
        <v>0</v>
      </c>
      <c r="AQ225" s="209">
        <f>'Квартальная отчетность'!AS28</f>
        <v>0</v>
      </c>
      <c r="AR225" s="209">
        <f>'Квартальная отчетность'!AT28</f>
        <v>0</v>
      </c>
      <c r="AS225" s="209">
        <f>'Квартальная отчетность'!AU28</f>
        <v>0</v>
      </c>
      <c r="AT225" s="209">
        <f>'Квартальная отчетность'!AV28</f>
        <v>0</v>
      </c>
      <c r="AU225" s="209">
        <f>'Квартальная отчетность'!AW28</f>
        <v>0</v>
      </c>
      <c r="AV225" s="209">
        <f>'Квартальная отчетность'!AX28</f>
        <v>0</v>
      </c>
      <c r="AW225" s="209">
        <f>'Квартальная отчетность'!AY28</f>
        <v>0</v>
      </c>
      <c r="AX225" s="209">
        <f>'Квартальная отчетность'!AZ28</f>
        <v>0</v>
      </c>
      <c r="AY225" s="209">
        <f>'Квартальная отчетность'!BA28</f>
        <v>0</v>
      </c>
      <c r="AZ225" s="209">
        <f>'Квартальная отчетность'!BB28</f>
        <v>0</v>
      </c>
      <c r="BA225" s="209">
        <f>'Квартальная отчетность'!BC28</f>
        <v>0</v>
      </c>
      <c r="BB225" s="209">
        <f>'Квартальная отчетность'!BD28</f>
        <v>0</v>
      </c>
      <c r="BC225" s="209">
        <f>'Квартальная отчетность'!BE28</f>
        <v>0</v>
      </c>
      <c r="BD225" s="209">
        <f>'Квартальная отчетность'!BF28</f>
        <v>0</v>
      </c>
      <c r="BE225" s="209">
        <f>'Квартальная отчетность'!BG28</f>
        <v>0</v>
      </c>
      <c r="BF225" s="209">
        <f>'Квартальная отчетность'!BH28</f>
        <v>0</v>
      </c>
      <c r="BG225" s="209">
        <f>'Квартальная отчетность'!BI28</f>
        <v>0</v>
      </c>
      <c r="BH225" s="209">
        <f>'Квартальная отчетность'!BJ28</f>
        <v>0</v>
      </c>
      <c r="BI225" s="209">
        <f>'Квартальная отчетность'!BK28</f>
        <v>0</v>
      </c>
      <c r="BJ225" s="209">
        <f>'Квартальная отчетность'!BL28</f>
        <v>0</v>
      </c>
      <c r="BK225" s="209">
        <f>'Квартальная отчетность'!BM28</f>
        <v>0</v>
      </c>
    </row>
    <row r="226" spans="2:63">
      <c r="B226" s="207" t="str">
        <f>'Квартальная отчетность'!B29</f>
        <v>Прибыль (убыток) до налогообложения</v>
      </c>
      <c r="C226" s="209">
        <f>'Квартальная отчетность'!E29</f>
        <v>0</v>
      </c>
      <c r="D226" s="209">
        <f>'Квартальная отчетность'!F29</f>
        <v>0</v>
      </c>
      <c r="E226" s="209">
        <f>'Квартальная отчетность'!G29</f>
        <v>0</v>
      </c>
      <c r="F226" s="209">
        <f>'Квартальная отчетность'!H29</f>
        <v>0</v>
      </c>
      <c r="G226" s="209">
        <f>'Квартальная отчетность'!I29</f>
        <v>0</v>
      </c>
      <c r="H226" s="209">
        <f>'Квартальная отчетность'!J29</f>
        <v>0</v>
      </c>
      <c r="I226" s="209">
        <f>'Квартальная отчетность'!K29</f>
        <v>0</v>
      </c>
      <c r="J226" s="209">
        <f>'Квартальная отчетность'!L29</f>
        <v>0</v>
      </c>
      <c r="K226" s="209">
        <f>'Квартальная отчетность'!M29</f>
        <v>0</v>
      </c>
      <c r="L226" s="209">
        <f>'Квартальная отчетность'!N29</f>
        <v>0</v>
      </c>
      <c r="M226" s="209">
        <f>'Квартальная отчетность'!O29</f>
        <v>0</v>
      </c>
      <c r="N226" s="209">
        <f>'Квартальная отчетность'!P29</f>
        <v>0</v>
      </c>
      <c r="O226" s="209">
        <f>'Квартальная отчетность'!Q29</f>
        <v>0</v>
      </c>
      <c r="P226" s="209">
        <f>'Квартальная отчетность'!R29</f>
        <v>0</v>
      </c>
      <c r="Q226" s="209">
        <f>'Квартальная отчетность'!S29</f>
        <v>0</v>
      </c>
      <c r="R226" s="209">
        <f>'Квартальная отчетность'!T29</f>
        <v>0</v>
      </c>
      <c r="S226" s="209">
        <f>'Квартальная отчетность'!U29</f>
        <v>0</v>
      </c>
      <c r="T226" s="209">
        <f>'Квартальная отчетность'!V29</f>
        <v>0</v>
      </c>
      <c r="U226" s="209">
        <f>'Квартальная отчетность'!W29</f>
        <v>0</v>
      </c>
      <c r="V226" s="209">
        <f>'Квартальная отчетность'!X29</f>
        <v>0</v>
      </c>
      <c r="W226" s="209">
        <f>'Квартальная отчетность'!Y29</f>
        <v>0</v>
      </c>
      <c r="X226" s="209">
        <f>'Квартальная отчетность'!Z29</f>
        <v>0</v>
      </c>
      <c r="Y226" s="209">
        <f>'Квартальная отчетность'!AA29</f>
        <v>0</v>
      </c>
      <c r="Z226" s="209">
        <f>'Квартальная отчетность'!AB29</f>
        <v>0</v>
      </c>
      <c r="AA226" s="209">
        <f>'Квартальная отчетность'!AC29</f>
        <v>0</v>
      </c>
      <c r="AB226" s="209">
        <f>'Квартальная отчетность'!AD29</f>
        <v>0</v>
      </c>
      <c r="AC226" s="209">
        <f>'Квартальная отчетность'!AE29</f>
        <v>0</v>
      </c>
      <c r="AD226" s="209">
        <f>'Квартальная отчетность'!AF29</f>
        <v>0</v>
      </c>
      <c r="AE226" s="209">
        <f>'Квартальная отчетность'!AG29</f>
        <v>0</v>
      </c>
      <c r="AF226" s="209">
        <f>'Квартальная отчетность'!AH29</f>
        <v>0</v>
      </c>
      <c r="AG226" s="209">
        <f>'Квартальная отчетность'!AI29</f>
        <v>0</v>
      </c>
      <c r="AH226" s="209">
        <f>'Квартальная отчетность'!AJ29</f>
        <v>0</v>
      </c>
      <c r="AI226" s="209">
        <f>'Квартальная отчетность'!AK29</f>
        <v>0</v>
      </c>
      <c r="AJ226" s="209">
        <f>'Квартальная отчетность'!AL29</f>
        <v>0</v>
      </c>
      <c r="AK226" s="209">
        <f>'Квартальная отчетность'!AM29</f>
        <v>0</v>
      </c>
      <c r="AL226" s="209">
        <f>'Квартальная отчетность'!AN29</f>
        <v>0</v>
      </c>
      <c r="AM226" s="209">
        <f>'Квартальная отчетность'!AO29</f>
        <v>0</v>
      </c>
      <c r="AN226" s="209">
        <f>'Квартальная отчетность'!AP29</f>
        <v>0</v>
      </c>
      <c r="AO226" s="209">
        <f>'Квартальная отчетность'!AQ29</f>
        <v>0</v>
      </c>
      <c r="AP226" s="209">
        <f>'Квартальная отчетность'!AR29</f>
        <v>0</v>
      </c>
      <c r="AQ226" s="209">
        <f>'Квартальная отчетность'!AS29</f>
        <v>0</v>
      </c>
      <c r="AR226" s="209">
        <f>'Квартальная отчетность'!AT29</f>
        <v>0</v>
      </c>
      <c r="AS226" s="209">
        <f>'Квартальная отчетность'!AU29</f>
        <v>0</v>
      </c>
      <c r="AT226" s="209">
        <f>'Квартальная отчетность'!AV29</f>
        <v>0</v>
      </c>
      <c r="AU226" s="209">
        <f>'Квартальная отчетность'!AW29</f>
        <v>0</v>
      </c>
      <c r="AV226" s="209">
        <f>'Квартальная отчетность'!AX29</f>
        <v>0</v>
      </c>
      <c r="AW226" s="209">
        <f>'Квартальная отчетность'!AY29</f>
        <v>0</v>
      </c>
      <c r="AX226" s="209">
        <f>'Квартальная отчетность'!AZ29</f>
        <v>0</v>
      </c>
      <c r="AY226" s="209">
        <f>'Квартальная отчетность'!BA29</f>
        <v>0</v>
      </c>
      <c r="AZ226" s="209">
        <f>'Квартальная отчетность'!BB29</f>
        <v>0</v>
      </c>
      <c r="BA226" s="209">
        <f>'Квартальная отчетность'!BC29</f>
        <v>0</v>
      </c>
      <c r="BB226" s="209">
        <f>'Квартальная отчетность'!BD29</f>
        <v>0</v>
      </c>
      <c r="BC226" s="209">
        <f>'Квартальная отчетность'!BE29</f>
        <v>0</v>
      </c>
      <c r="BD226" s="209">
        <f>'Квартальная отчетность'!BF29</f>
        <v>0</v>
      </c>
      <c r="BE226" s="209">
        <f>'Квартальная отчетность'!BG29</f>
        <v>0</v>
      </c>
      <c r="BF226" s="209">
        <f>'Квартальная отчетность'!BH29</f>
        <v>0</v>
      </c>
      <c r="BG226" s="209">
        <f>'Квартальная отчетность'!BI29</f>
        <v>0</v>
      </c>
      <c r="BH226" s="209">
        <f>'Квартальная отчетность'!BJ29</f>
        <v>0</v>
      </c>
      <c r="BI226" s="209">
        <f>'Квартальная отчетность'!BK29</f>
        <v>0</v>
      </c>
      <c r="BJ226" s="209">
        <f>'Квартальная отчетность'!BL29</f>
        <v>0</v>
      </c>
      <c r="BK226" s="209">
        <f>'Квартальная отчетность'!BM29</f>
        <v>0</v>
      </c>
    </row>
    <row r="227" spans="2:63">
      <c r="B227" s="207" t="str">
        <f>'Квартальная отчетность'!B30</f>
        <v>Налог на прибыль (-)</v>
      </c>
      <c r="C227" s="209">
        <f>'Квартальная отчетность'!E30</f>
        <v>0</v>
      </c>
      <c r="D227" s="209">
        <f>'Квартальная отчетность'!F30</f>
        <v>0</v>
      </c>
      <c r="E227" s="209">
        <f>'Квартальная отчетность'!G30</f>
        <v>0</v>
      </c>
      <c r="F227" s="209">
        <f>'Квартальная отчетность'!H30</f>
        <v>0</v>
      </c>
      <c r="G227" s="209">
        <f>'Квартальная отчетность'!I30</f>
        <v>0</v>
      </c>
      <c r="H227" s="209">
        <f>'Квартальная отчетность'!J30</f>
        <v>0</v>
      </c>
      <c r="I227" s="209">
        <f>'Квартальная отчетность'!K30</f>
        <v>0</v>
      </c>
      <c r="J227" s="209">
        <f>'Квартальная отчетность'!L30</f>
        <v>0</v>
      </c>
      <c r="K227" s="209">
        <f>'Квартальная отчетность'!M30</f>
        <v>0</v>
      </c>
      <c r="L227" s="209">
        <f>'Квартальная отчетность'!N30</f>
        <v>0</v>
      </c>
      <c r="M227" s="209">
        <f>'Квартальная отчетность'!O30</f>
        <v>0</v>
      </c>
      <c r="N227" s="209">
        <f>'Квартальная отчетность'!P30</f>
        <v>0</v>
      </c>
      <c r="O227" s="209">
        <f>'Квартальная отчетность'!Q30</f>
        <v>0</v>
      </c>
      <c r="P227" s="209">
        <f>'Квартальная отчетность'!R30</f>
        <v>0</v>
      </c>
      <c r="Q227" s="209">
        <f>'Квартальная отчетность'!S30</f>
        <v>0</v>
      </c>
      <c r="R227" s="209">
        <f>'Квартальная отчетность'!T30</f>
        <v>0</v>
      </c>
      <c r="S227" s="209">
        <f>'Квартальная отчетность'!U30</f>
        <v>0</v>
      </c>
      <c r="T227" s="209">
        <f>'Квартальная отчетность'!V30</f>
        <v>0</v>
      </c>
      <c r="U227" s="209">
        <f>'Квартальная отчетность'!W30</f>
        <v>0</v>
      </c>
      <c r="V227" s="209">
        <f>'Квартальная отчетность'!X30</f>
        <v>0</v>
      </c>
      <c r="W227" s="209">
        <f>'Квартальная отчетность'!Y30</f>
        <v>0</v>
      </c>
      <c r="X227" s="209">
        <f>'Квартальная отчетность'!Z30</f>
        <v>0</v>
      </c>
      <c r="Y227" s="209">
        <f>'Квартальная отчетность'!AA30</f>
        <v>0</v>
      </c>
      <c r="Z227" s="209">
        <f>'Квартальная отчетность'!AB30</f>
        <v>0</v>
      </c>
      <c r="AA227" s="209">
        <f>'Квартальная отчетность'!AC30</f>
        <v>0</v>
      </c>
      <c r="AB227" s="209">
        <f>'Квартальная отчетность'!AD30</f>
        <v>0</v>
      </c>
      <c r="AC227" s="209">
        <f>'Квартальная отчетность'!AE30</f>
        <v>0</v>
      </c>
      <c r="AD227" s="209">
        <f>'Квартальная отчетность'!AF30</f>
        <v>0</v>
      </c>
      <c r="AE227" s="209">
        <f>'Квартальная отчетность'!AG30</f>
        <v>0</v>
      </c>
      <c r="AF227" s="209">
        <f>'Квартальная отчетность'!AH30</f>
        <v>0</v>
      </c>
      <c r="AG227" s="209">
        <f>'Квартальная отчетность'!AI30</f>
        <v>0</v>
      </c>
      <c r="AH227" s="209">
        <f>'Квартальная отчетность'!AJ30</f>
        <v>0</v>
      </c>
      <c r="AI227" s="209">
        <f>'Квартальная отчетность'!AK30</f>
        <v>0</v>
      </c>
      <c r="AJ227" s="209">
        <f>'Квартальная отчетность'!AL30</f>
        <v>0</v>
      </c>
      <c r="AK227" s="209">
        <f>'Квартальная отчетность'!AM30</f>
        <v>0</v>
      </c>
      <c r="AL227" s="209">
        <f>'Квартальная отчетность'!AN30</f>
        <v>0</v>
      </c>
      <c r="AM227" s="209">
        <f>'Квартальная отчетность'!AO30</f>
        <v>0</v>
      </c>
      <c r="AN227" s="209">
        <f>'Квартальная отчетность'!AP30</f>
        <v>0</v>
      </c>
      <c r="AO227" s="209">
        <f>'Квартальная отчетность'!AQ30</f>
        <v>0</v>
      </c>
      <c r="AP227" s="209">
        <f>'Квартальная отчетность'!AR30</f>
        <v>0</v>
      </c>
      <c r="AQ227" s="209">
        <f>'Квартальная отчетность'!AS30</f>
        <v>0</v>
      </c>
      <c r="AR227" s="209">
        <f>'Квартальная отчетность'!AT30</f>
        <v>0</v>
      </c>
      <c r="AS227" s="209">
        <f>'Квартальная отчетность'!AU30</f>
        <v>0</v>
      </c>
      <c r="AT227" s="209">
        <f>'Квартальная отчетность'!AV30</f>
        <v>0</v>
      </c>
      <c r="AU227" s="209">
        <f>'Квартальная отчетность'!AW30</f>
        <v>0</v>
      </c>
      <c r="AV227" s="209">
        <f>'Квартальная отчетность'!AX30</f>
        <v>0</v>
      </c>
      <c r="AW227" s="209">
        <f>'Квартальная отчетность'!AY30</f>
        <v>0</v>
      </c>
      <c r="AX227" s="209">
        <f>'Квартальная отчетность'!AZ30</f>
        <v>0</v>
      </c>
      <c r="AY227" s="209">
        <f>'Квартальная отчетность'!BA30</f>
        <v>0</v>
      </c>
      <c r="AZ227" s="209">
        <f>'Квартальная отчетность'!BB30</f>
        <v>0</v>
      </c>
      <c r="BA227" s="209">
        <f>'Квартальная отчетность'!BC30</f>
        <v>0</v>
      </c>
      <c r="BB227" s="209">
        <f>'Квартальная отчетность'!BD30</f>
        <v>0</v>
      </c>
      <c r="BC227" s="209">
        <f>'Квартальная отчетность'!BE30</f>
        <v>0</v>
      </c>
      <c r="BD227" s="209">
        <f>'Квартальная отчетность'!BF30</f>
        <v>0</v>
      </c>
      <c r="BE227" s="209">
        <f>'Квартальная отчетность'!BG30</f>
        <v>0</v>
      </c>
      <c r="BF227" s="209">
        <f>'Квартальная отчетность'!BH30</f>
        <v>0</v>
      </c>
      <c r="BG227" s="209">
        <f>'Квартальная отчетность'!BI30</f>
        <v>0</v>
      </c>
      <c r="BH227" s="209">
        <f>'Квартальная отчетность'!BJ30</f>
        <v>0</v>
      </c>
      <c r="BI227" s="209">
        <f>'Квартальная отчетность'!BK30</f>
        <v>0</v>
      </c>
      <c r="BJ227" s="209">
        <f>'Квартальная отчетность'!BL30</f>
        <v>0</v>
      </c>
      <c r="BK227" s="209">
        <f>'Квартальная отчетность'!BM30</f>
        <v>0</v>
      </c>
    </row>
    <row r="228" spans="2:63" s="206" customFormat="1">
      <c r="B228" s="207" t="str">
        <f>'Квартальная отчетность'!B31</f>
        <v>Чистая прибыль (убыток)</v>
      </c>
      <c r="C228" s="205">
        <f>'Квартальная отчетность'!E31</f>
        <v>0</v>
      </c>
      <c r="D228" s="205">
        <f>'Квартальная отчетность'!F31</f>
        <v>0</v>
      </c>
      <c r="E228" s="205">
        <f>'Квартальная отчетность'!G31</f>
        <v>0</v>
      </c>
      <c r="F228" s="205">
        <f>'Квартальная отчетность'!H31</f>
        <v>0</v>
      </c>
      <c r="G228" s="205">
        <f>'Квартальная отчетность'!I31</f>
        <v>0</v>
      </c>
      <c r="H228" s="205">
        <f>'Квартальная отчетность'!J31</f>
        <v>0</v>
      </c>
      <c r="I228" s="205">
        <f>'Квартальная отчетность'!K31</f>
        <v>0</v>
      </c>
      <c r="J228" s="205">
        <f>'Квартальная отчетность'!L31</f>
        <v>0</v>
      </c>
      <c r="K228" s="205">
        <f>'Квартальная отчетность'!M31</f>
        <v>0</v>
      </c>
      <c r="L228" s="205">
        <f>'Квартальная отчетность'!N31</f>
        <v>0</v>
      </c>
      <c r="M228" s="205">
        <f>'Квартальная отчетность'!O31</f>
        <v>0</v>
      </c>
      <c r="N228" s="205">
        <f>'Квартальная отчетность'!P31</f>
        <v>0</v>
      </c>
      <c r="O228" s="205">
        <f>'Квартальная отчетность'!Q31</f>
        <v>0</v>
      </c>
      <c r="P228" s="205">
        <f>'Квартальная отчетность'!R31</f>
        <v>0</v>
      </c>
      <c r="Q228" s="205">
        <f>'Квартальная отчетность'!S31</f>
        <v>0</v>
      </c>
      <c r="R228" s="205">
        <f>'Квартальная отчетность'!T31</f>
        <v>0</v>
      </c>
      <c r="S228" s="205">
        <f>'Квартальная отчетность'!U31</f>
        <v>0</v>
      </c>
      <c r="T228" s="205">
        <f>'Квартальная отчетность'!V31</f>
        <v>0</v>
      </c>
      <c r="U228" s="205">
        <f>'Квартальная отчетность'!W31</f>
        <v>0</v>
      </c>
      <c r="V228" s="205">
        <f>'Квартальная отчетность'!X31</f>
        <v>0</v>
      </c>
      <c r="W228" s="205">
        <f>'Квартальная отчетность'!Y31</f>
        <v>0</v>
      </c>
      <c r="X228" s="205">
        <f>'Квартальная отчетность'!Z31</f>
        <v>0</v>
      </c>
      <c r="Y228" s="205">
        <f>'Квартальная отчетность'!AA31</f>
        <v>0</v>
      </c>
      <c r="Z228" s="205">
        <f>'Квартальная отчетность'!AB31</f>
        <v>0</v>
      </c>
      <c r="AA228" s="205">
        <f>'Квартальная отчетность'!AC31</f>
        <v>0</v>
      </c>
      <c r="AB228" s="205">
        <f>'Квартальная отчетность'!AD31</f>
        <v>0</v>
      </c>
      <c r="AC228" s="205">
        <f>'Квартальная отчетность'!AE31</f>
        <v>0</v>
      </c>
      <c r="AD228" s="205">
        <f>'Квартальная отчетность'!AF31</f>
        <v>0</v>
      </c>
      <c r="AE228" s="205">
        <f>'Квартальная отчетность'!AG31</f>
        <v>0</v>
      </c>
      <c r="AF228" s="205">
        <f>'Квартальная отчетность'!AH31</f>
        <v>0</v>
      </c>
      <c r="AG228" s="205">
        <f>'Квартальная отчетность'!AI31</f>
        <v>0</v>
      </c>
      <c r="AH228" s="205">
        <f>'Квартальная отчетность'!AJ31</f>
        <v>0</v>
      </c>
      <c r="AI228" s="205">
        <f>'Квартальная отчетность'!AK31</f>
        <v>0</v>
      </c>
      <c r="AJ228" s="205">
        <f>'Квартальная отчетность'!AL31</f>
        <v>0</v>
      </c>
      <c r="AK228" s="205">
        <f>'Квартальная отчетность'!AM31</f>
        <v>0</v>
      </c>
      <c r="AL228" s="205">
        <f>'Квартальная отчетность'!AN31</f>
        <v>0</v>
      </c>
      <c r="AM228" s="205">
        <f>'Квартальная отчетность'!AO31</f>
        <v>0</v>
      </c>
      <c r="AN228" s="205">
        <f>'Квартальная отчетность'!AP31</f>
        <v>0</v>
      </c>
      <c r="AO228" s="205">
        <f>'Квартальная отчетность'!AQ31</f>
        <v>0</v>
      </c>
      <c r="AP228" s="205">
        <f>'Квартальная отчетность'!AR31</f>
        <v>0</v>
      </c>
      <c r="AQ228" s="205">
        <f>'Квартальная отчетность'!AS31</f>
        <v>0</v>
      </c>
      <c r="AR228" s="205">
        <f>'Квартальная отчетность'!AT31</f>
        <v>0</v>
      </c>
      <c r="AS228" s="205">
        <f>'Квартальная отчетность'!AU31</f>
        <v>0</v>
      </c>
      <c r="AT228" s="205">
        <f>'Квартальная отчетность'!AV31</f>
        <v>0</v>
      </c>
      <c r="AU228" s="205">
        <f>'Квартальная отчетность'!AW31</f>
        <v>0</v>
      </c>
      <c r="AV228" s="205">
        <f>'Квартальная отчетность'!AX31</f>
        <v>0</v>
      </c>
      <c r="AW228" s="205">
        <f>'Квартальная отчетность'!AY31</f>
        <v>0</v>
      </c>
      <c r="AX228" s="205">
        <f>'Квартальная отчетность'!AZ31</f>
        <v>0</v>
      </c>
      <c r="AY228" s="205">
        <f>'Квартальная отчетность'!BA31</f>
        <v>0</v>
      </c>
      <c r="AZ228" s="205">
        <f>'Квартальная отчетность'!BB31</f>
        <v>0</v>
      </c>
      <c r="BA228" s="205">
        <f>'Квартальная отчетность'!BC31</f>
        <v>0</v>
      </c>
      <c r="BB228" s="205">
        <f>'Квартальная отчетность'!BD31</f>
        <v>0</v>
      </c>
      <c r="BC228" s="205">
        <f>'Квартальная отчетность'!BE31</f>
        <v>0</v>
      </c>
      <c r="BD228" s="205">
        <f>'Квартальная отчетность'!BF31</f>
        <v>0</v>
      </c>
      <c r="BE228" s="205">
        <f>'Квартальная отчетность'!BG31</f>
        <v>0</v>
      </c>
      <c r="BF228" s="205">
        <f>'Квартальная отчетность'!BH31</f>
        <v>0</v>
      </c>
      <c r="BG228" s="205">
        <f>'Квартальная отчетность'!BI31</f>
        <v>0</v>
      </c>
      <c r="BH228" s="205">
        <f>'Квартальная отчетность'!BJ31</f>
        <v>0</v>
      </c>
      <c r="BI228" s="205">
        <f>'Квартальная отчетность'!BK31</f>
        <v>0</v>
      </c>
      <c r="BJ228" s="205">
        <f>'Квартальная отчетность'!BL31</f>
        <v>0</v>
      </c>
      <c r="BK228" s="205">
        <f>'Квартальная отчетность'!BM31</f>
        <v>0</v>
      </c>
    </row>
    <row r="229" spans="2:63">
      <c r="B229" s="175" t="s">
        <v>149</v>
      </c>
      <c r="C229" s="212" t="e">
        <f>C228/C210</f>
        <v>#DIV/0!</v>
      </c>
      <c r="D229" s="212" t="e">
        <f t="shared" ref="D229:BK229" si="27">D228/D210</f>
        <v>#DIV/0!</v>
      </c>
      <c r="E229" s="212" t="e">
        <f t="shared" si="27"/>
        <v>#DIV/0!</v>
      </c>
      <c r="F229" s="212" t="e">
        <f t="shared" si="27"/>
        <v>#DIV/0!</v>
      </c>
      <c r="G229" s="212" t="e">
        <f t="shared" si="27"/>
        <v>#DIV/0!</v>
      </c>
      <c r="H229" s="212" t="e">
        <f t="shared" si="27"/>
        <v>#DIV/0!</v>
      </c>
      <c r="I229" s="212" t="e">
        <f t="shared" si="27"/>
        <v>#DIV/0!</v>
      </c>
      <c r="J229" s="212" t="e">
        <f t="shared" si="27"/>
        <v>#DIV/0!</v>
      </c>
      <c r="K229" s="212" t="e">
        <f t="shared" si="27"/>
        <v>#DIV/0!</v>
      </c>
      <c r="L229" s="212" t="e">
        <f t="shared" si="27"/>
        <v>#DIV/0!</v>
      </c>
      <c r="M229" s="212" t="e">
        <f t="shared" si="27"/>
        <v>#DIV/0!</v>
      </c>
      <c r="N229" s="212" t="e">
        <f t="shared" si="27"/>
        <v>#DIV/0!</v>
      </c>
      <c r="O229" s="212" t="e">
        <f t="shared" si="27"/>
        <v>#DIV/0!</v>
      </c>
      <c r="P229" s="212" t="e">
        <f t="shared" si="27"/>
        <v>#DIV/0!</v>
      </c>
      <c r="Q229" s="212" t="e">
        <f t="shared" si="27"/>
        <v>#DIV/0!</v>
      </c>
      <c r="R229" s="212" t="e">
        <f t="shared" si="27"/>
        <v>#DIV/0!</v>
      </c>
      <c r="S229" s="212" t="e">
        <f t="shared" si="27"/>
        <v>#DIV/0!</v>
      </c>
      <c r="T229" s="212" t="e">
        <f t="shared" si="27"/>
        <v>#DIV/0!</v>
      </c>
      <c r="U229" s="212" t="e">
        <f t="shared" si="27"/>
        <v>#DIV/0!</v>
      </c>
      <c r="V229" s="212" t="e">
        <f t="shared" si="27"/>
        <v>#DIV/0!</v>
      </c>
      <c r="W229" s="212" t="e">
        <f t="shared" si="27"/>
        <v>#DIV/0!</v>
      </c>
      <c r="X229" s="212" t="e">
        <f t="shared" si="27"/>
        <v>#DIV/0!</v>
      </c>
      <c r="Y229" s="212" t="e">
        <f t="shared" si="27"/>
        <v>#DIV/0!</v>
      </c>
      <c r="Z229" s="212" t="e">
        <f t="shared" si="27"/>
        <v>#DIV/0!</v>
      </c>
      <c r="AA229" s="212" t="e">
        <f t="shared" si="27"/>
        <v>#DIV/0!</v>
      </c>
      <c r="AB229" s="212" t="e">
        <f t="shared" si="27"/>
        <v>#DIV/0!</v>
      </c>
      <c r="AC229" s="212" t="e">
        <f t="shared" si="27"/>
        <v>#DIV/0!</v>
      </c>
      <c r="AD229" s="212" t="e">
        <f t="shared" si="27"/>
        <v>#DIV/0!</v>
      </c>
      <c r="AE229" s="212" t="e">
        <f t="shared" si="27"/>
        <v>#DIV/0!</v>
      </c>
      <c r="AF229" s="212" t="e">
        <f t="shared" si="27"/>
        <v>#DIV/0!</v>
      </c>
      <c r="AG229" s="212" t="e">
        <f t="shared" si="27"/>
        <v>#DIV/0!</v>
      </c>
      <c r="AH229" s="212" t="e">
        <f t="shared" si="27"/>
        <v>#DIV/0!</v>
      </c>
      <c r="AI229" s="212" t="e">
        <f t="shared" si="27"/>
        <v>#DIV/0!</v>
      </c>
      <c r="AJ229" s="212" t="e">
        <f t="shared" si="27"/>
        <v>#DIV/0!</v>
      </c>
      <c r="AK229" s="212" t="e">
        <f t="shared" si="27"/>
        <v>#DIV/0!</v>
      </c>
      <c r="AL229" s="212" t="e">
        <f t="shared" si="27"/>
        <v>#DIV/0!</v>
      </c>
      <c r="AM229" s="212" t="e">
        <f t="shared" si="27"/>
        <v>#DIV/0!</v>
      </c>
      <c r="AN229" s="212" t="e">
        <f t="shared" si="27"/>
        <v>#DIV/0!</v>
      </c>
      <c r="AO229" s="212" t="e">
        <f t="shared" si="27"/>
        <v>#DIV/0!</v>
      </c>
      <c r="AP229" s="212" t="e">
        <f t="shared" si="27"/>
        <v>#DIV/0!</v>
      </c>
      <c r="AQ229" s="212" t="e">
        <f t="shared" si="27"/>
        <v>#DIV/0!</v>
      </c>
      <c r="AR229" s="212" t="e">
        <f t="shared" si="27"/>
        <v>#DIV/0!</v>
      </c>
      <c r="AS229" s="212" t="e">
        <f t="shared" si="27"/>
        <v>#DIV/0!</v>
      </c>
      <c r="AT229" s="212" t="e">
        <f t="shared" si="27"/>
        <v>#DIV/0!</v>
      </c>
      <c r="AU229" s="212" t="e">
        <f t="shared" si="27"/>
        <v>#DIV/0!</v>
      </c>
      <c r="AV229" s="212" t="e">
        <f t="shared" si="27"/>
        <v>#DIV/0!</v>
      </c>
      <c r="AW229" s="212" t="e">
        <f t="shared" si="27"/>
        <v>#DIV/0!</v>
      </c>
      <c r="AX229" s="212" t="e">
        <f t="shared" si="27"/>
        <v>#DIV/0!</v>
      </c>
      <c r="AY229" s="212" t="e">
        <f t="shared" si="27"/>
        <v>#DIV/0!</v>
      </c>
      <c r="AZ229" s="212" t="e">
        <f t="shared" si="27"/>
        <v>#DIV/0!</v>
      </c>
      <c r="BA229" s="212" t="e">
        <f t="shared" si="27"/>
        <v>#DIV/0!</v>
      </c>
      <c r="BB229" s="212" t="e">
        <f t="shared" si="27"/>
        <v>#DIV/0!</v>
      </c>
      <c r="BC229" s="212" t="e">
        <f t="shared" si="27"/>
        <v>#DIV/0!</v>
      </c>
      <c r="BD229" s="212" t="e">
        <f t="shared" si="27"/>
        <v>#DIV/0!</v>
      </c>
      <c r="BE229" s="212" t="e">
        <f t="shared" si="27"/>
        <v>#DIV/0!</v>
      </c>
      <c r="BF229" s="212" t="e">
        <f t="shared" si="27"/>
        <v>#DIV/0!</v>
      </c>
      <c r="BG229" s="212" t="e">
        <f t="shared" si="27"/>
        <v>#DIV/0!</v>
      </c>
      <c r="BH229" s="212" t="e">
        <f t="shared" si="27"/>
        <v>#DIV/0!</v>
      </c>
      <c r="BI229" s="212" t="e">
        <f t="shared" si="27"/>
        <v>#DIV/0!</v>
      </c>
      <c r="BJ229" s="212" t="e">
        <f t="shared" si="27"/>
        <v>#DIV/0!</v>
      </c>
      <c r="BK229" s="212" t="e">
        <f t="shared" si="27"/>
        <v>#DIV/0!</v>
      </c>
    </row>
    <row r="232" spans="2:63">
      <c r="G232" s="188" t="s">
        <v>510</v>
      </c>
    </row>
    <row r="233" spans="2:63" ht="13.5">
      <c r="B233" s="175" t="str">
        <f>B209</f>
        <v>Период</v>
      </c>
      <c r="C233" s="196">
        <f>'Годовая отчетность'!E8</f>
        <v>46387</v>
      </c>
      <c r="D233" s="196">
        <f>'Годовая отчетность'!F8</f>
        <v>46752</v>
      </c>
      <c r="E233" s="196">
        <f>'Годовая отчетность'!G8</f>
        <v>47118</v>
      </c>
      <c r="F233" s="196">
        <f>'Годовая отчетность'!H8</f>
        <v>47483</v>
      </c>
      <c r="G233" s="196">
        <f>'Годовая отчетность'!I8</f>
        <v>47848</v>
      </c>
      <c r="H233" s="196">
        <f>'Годовая отчетность'!J8</f>
        <v>48213</v>
      </c>
      <c r="I233" s="196">
        <f>'Годовая отчетность'!K8</f>
        <v>48579</v>
      </c>
      <c r="J233" s="196">
        <f>'Годовая отчетность'!L8</f>
        <v>48944</v>
      </c>
      <c r="K233" s="196">
        <f>'Годовая отчетность'!M8</f>
        <v>49309</v>
      </c>
      <c r="L233" s="196">
        <f>'Годовая отчетность'!N8</f>
        <v>49674</v>
      </c>
      <c r="M233" s="196">
        <f>'Годовая отчетность'!O8</f>
        <v>50040</v>
      </c>
      <c r="N233" s="196">
        <f>'Годовая отчетность'!P8</f>
        <v>50405</v>
      </c>
      <c r="O233" s="196">
        <f>'Годовая отчетность'!Q8</f>
        <v>50770</v>
      </c>
      <c r="P233" s="196">
        <f>'Годовая отчетность'!R8</f>
        <v>51135</v>
      </c>
      <c r="Q233" s="196">
        <f>'Годовая отчетность'!S8</f>
        <v>51501</v>
      </c>
      <c r="R233" s="196">
        <f>'Годовая отчетность'!T8</f>
        <v>51866</v>
      </c>
      <c r="S233" s="208"/>
      <c r="T233" s="208"/>
      <c r="U233" s="208"/>
      <c r="V233" s="208"/>
      <c r="W233" s="208"/>
      <c r="X233" s="208"/>
      <c r="Y233" s="208"/>
      <c r="Z233" s="208"/>
      <c r="AA233" s="208"/>
      <c r="AB233" s="208"/>
      <c r="AC233" s="208"/>
      <c r="AD233" s="208"/>
      <c r="AE233" s="208"/>
      <c r="AF233" s="208"/>
      <c r="AG233" s="208"/>
      <c r="AH233" s="208"/>
      <c r="AI233" s="208"/>
      <c r="AJ233" s="208"/>
      <c r="AK233" s="208"/>
      <c r="AL233" s="208"/>
      <c r="AM233" s="208"/>
      <c r="AN233" s="208"/>
      <c r="AO233" s="208"/>
      <c r="AP233" s="208"/>
      <c r="AQ233" s="208"/>
      <c r="AR233" s="208"/>
      <c r="AS233" s="208"/>
      <c r="AT233" s="208"/>
      <c r="AU233" s="208"/>
      <c r="AV233" s="208"/>
      <c r="AW233" s="208"/>
      <c r="AX233" s="208"/>
      <c r="AY233" s="208"/>
      <c r="AZ233" s="208"/>
      <c r="BA233" s="208"/>
      <c r="BB233" s="208"/>
      <c r="BC233" s="208"/>
      <c r="BD233" s="208"/>
      <c r="BE233" s="208"/>
      <c r="BF233" s="208"/>
      <c r="BG233" s="208"/>
      <c r="BH233" s="208"/>
      <c r="BI233" s="208"/>
      <c r="BJ233" s="208"/>
      <c r="BK233" s="208"/>
    </row>
    <row r="234" spans="2:63">
      <c r="B234" s="213" t="str">
        <f>'Годовая отчетность'!B12</f>
        <v>Выручка</v>
      </c>
      <c r="C234" s="209">
        <f ca="1">SUM('Годовая отчетность'!E12,OFFSET(Предпосылки!$G$276,,,,-ROUNDUP(MONTH(Предпосылки!$C$13)/Месяцев_в_квартале,0)),0)</f>
        <v>0</v>
      </c>
      <c r="D234" s="209">
        <f>SUMIF('Годовая отчетность'!8:8,tables!D233,'Годовая отчетность'!12:12)</f>
        <v>0</v>
      </c>
      <c r="E234" s="209">
        <f>SUMIF('Годовая отчетность'!8:8,tables!E233,'Годовая отчетность'!12:12)</f>
        <v>0</v>
      </c>
      <c r="F234" s="209">
        <f>SUMIF('Годовая отчетность'!8:8,tables!F233,'Годовая отчетность'!12:12)</f>
        <v>0</v>
      </c>
      <c r="G234" s="209">
        <f>SUMIF('Годовая отчетность'!8:8,tables!G233,'Годовая отчетность'!12:12)</f>
        <v>0</v>
      </c>
      <c r="H234" s="209">
        <f>SUMIF('Годовая отчетность'!8:8,tables!H233,'Годовая отчетность'!12:12)</f>
        <v>0</v>
      </c>
      <c r="I234" s="209">
        <f>SUMIF('Годовая отчетность'!8:8,tables!I233,'Годовая отчетность'!12:12)</f>
        <v>0</v>
      </c>
      <c r="J234" s="209">
        <f>SUMIF('Годовая отчетность'!8:8,tables!J233,'Годовая отчетность'!12:12)</f>
        <v>0</v>
      </c>
      <c r="K234" s="209">
        <f>SUMIF('Годовая отчетность'!8:8,tables!K233,'Годовая отчетность'!12:12)</f>
        <v>0</v>
      </c>
      <c r="L234" s="209">
        <f>SUMIF('Годовая отчетность'!8:8,tables!L233,'Годовая отчетность'!12:12)</f>
        <v>0</v>
      </c>
      <c r="M234" s="209">
        <f>SUMIF('Годовая отчетность'!8:8,tables!M233,'Годовая отчетность'!12:12)</f>
        <v>0</v>
      </c>
      <c r="N234" s="209">
        <f>SUMIF('Годовая отчетность'!8:8,tables!N233,'Годовая отчетность'!12:12)</f>
        <v>0</v>
      </c>
      <c r="O234" s="209">
        <f>SUMIF('Годовая отчетность'!8:8,tables!O233,'Годовая отчетность'!12:12)</f>
        <v>0</v>
      </c>
      <c r="P234" s="209">
        <f>SUMIF('Годовая отчетность'!8:8,tables!P233,'Годовая отчетность'!12:12)</f>
        <v>0</v>
      </c>
      <c r="Q234" s="209">
        <f>SUMIF('Годовая отчетность'!8:8,tables!Q233,'Годовая отчетность'!12:12)</f>
        <v>0</v>
      </c>
      <c r="R234" s="209">
        <f>SUMIF('Годовая отчетность'!8:8,tables!R233,'Годовая отчетность'!12:12)</f>
        <v>0</v>
      </c>
    </row>
    <row r="235" spans="2:63">
      <c r="B235" s="175" t="s">
        <v>433</v>
      </c>
      <c r="C235" s="214" t="s">
        <v>412</v>
      </c>
      <c r="D235" s="214" t="e">
        <f ca="1">D234/C234-1</f>
        <v>#DIV/0!</v>
      </c>
      <c r="E235" s="214" t="e">
        <f t="shared" ref="E235:R235" si="28">E234/D234-1</f>
        <v>#DIV/0!</v>
      </c>
      <c r="F235" s="214" t="e">
        <f t="shared" si="28"/>
        <v>#DIV/0!</v>
      </c>
      <c r="G235" s="214" t="e">
        <f t="shared" si="28"/>
        <v>#DIV/0!</v>
      </c>
      <c r="H235" s="214" t="e">
        <f t="shared" si="28"/>
        <v>#DIV/0!</v>
      </c>
      <c r="I235" s="214" t="e">
        <f t="shared" si="28"/>
        <v>#DIV/0!</v>
      </c>
      <c r="J235" s="214" t="e">
        <f t="shared" si="28"/>
        <v>#DIV/0!</v>
      </c>
      <c r="K235" s="214" t="e">
        <f t="shared" si="28"/>
        <v>#DIV/0!</v>
      </c>
      <c r="L235" s="214" t="e">
        <f t="shared" si="28"/>
        <v>#DIV/0!</v>
      </c>
      <c r="M235" s="214" t="e">
        <f t="shared" si="28"/>
        <v>#DIV/0!</v>
      </c>
      <c r="N235" s="214" t="e">
        <f t="shared" si="28"/>
        <v>#DIV/0!</v>
      </c>
      <c r="O235" s="214" t="e">
        <f t="shared" si="28"/>
        <v>#DIV/0!</v>
      </c>
      <c r="P235" s="214" t="e">
        <f t="shared" si="28"/>
        <v>#DIV/0!</v>
      </c>
      <c r="Q235" s="214" t="e">
        <f t="shared" si="28"/>
        <v>#DIV/0!</v>
      </c>
      <c r="R235" s="214" t="e">
        <f t="shared" si="28"/>
        <v>#DIV/0!</v>
      </c>
    </row>
    <row r="236" spans="2:63">
      <c r="B236" s="213" t="str">
        <f>'Годовая отчетность'!B13</f>
        <v>Себестоимость продаж (-)</v>
      </c>
      <c r="C236" s="209"/>
      <c r="D236" s="209">
        <f>SUMIF('Годовая отчетность'!8:8,tables!D233,'Годовая отчетность'!13:13)</f>
        <v>0</v>
      </c>
      <c r="E236" s="209">
        <f>SUMIF('Годовая отчетность'!8:8,tables!E233,'Годовая отчетность'!13:13)</f>
        <v>0</v>
      </c>
      <c r="F236" s="209">
        <f>SUMIF('Годовая отчетность'!8:8,tables!F233,'Годовая отчетность'!13:13)</f>
        <v>0</v>
      </c>
      <c r="G236" s="209">
        <f>SUMIF('Годовая отчетность'!8:8,tables!G233,'Годовая отчетность'!13:13)</f>
        <v>0</v>
      </c>
      <c r="H236" s="209">
        <f>SUMIF('Годовая отчетность'!8:8,tables!H233,'Годовая отчетность'!13:13)</f>
        <v>0</v>
      </c>
      <c r="I236" s="209">
        <f>SUMIF('Годовая отчетность'!8:8,tables!I233,'Годовая отчетность'!13:13)</f>
        <v>0</v>
      </c>
      <c r="J236" s="209">
        <f>SUMIF('Годовая отчетность'!8:8,tables!J233,'Годовая отчетность'!13:13)</f>
        <v>0</v>
      </c>
      <c r="K236" s="209">
        <f>SUMIF('Годовая отчетность'!8:8,tables!K233,'Годовая отчетность'!13:13)</f>
        <v>0</v>
      </c>
      <c r="L236" s="209">
        <f>SUMIF('Годовая отчетность'!8:8,tables!L233,'Годовая отчетность'!13:13)</f>
        <v>0</v>
      </c>
      <c r="M236" s="209">
        <f>SUMIF('Годовая отчетность'!8:8,tables!M233,'Годовая отчетность'!13:13)</f>
        <v>0</v>
      </c>
      <c r="N236" s="209">
        <f>SUMIF('Годовая отчетность'!8:8,tables!N233,'Годовая отчетность'!13:13)</f>
        <v>0</v>
      </c>
      <c r="O236" s="209">
        <f>SUMIF('Годовая отчетность'!8:8,tables!O233,'Годовая отчетность'!13:13)</f>
        <v>0</v>
      </c>
      <c r="P236" s="209">
        <f>SUMIF('Годовая отчетность'!8:8,tables!P233,'Годовая отчетность'!13:13)</f>
        <v>0</v>
      </c>
      <c r="Q236" s="209">
        <f>SUMIF('Годовая отчетность'!8:8,tables!Q233,'Годовая отчетность'!13:13)</f>
        <v>0</v>
      </c>
      <c r="R236" s="209">
        <f>SUMIF('Годовая отчетность'!8:8,tables!R233,'Годовая отчетность'!13:13)</f>
        <v>0</v>
      </c>
    </row>
    <row r="237" spans="2:63">
      <c r="B237" s="213" t="str">
        <f>'Годовая отчетность'!B14</f>
        <v>Валовая прибыль (убыток)</v>
      </c>
      <c r="C237" s="209">
        <f ca="1">SUM('Годовая отчетность'!E14,OFFSET(Предпосылки!$G$278,,,,-ROUNDUP(MONTH(Предпосылки!$C$13)/Месяцев_в_квартале,0)),0)</f>
        <v>0</v>
      </c>
      <c r="D237" s="209">
        <f>SUMIF('Годовая отчетность'!8:8,tables!D233,'Годовая отчетность'!14:14)</f>
        <v>0</v>
      </c>
      <c r="E237" s="209">
        <f>SUMIF('Годовая отчетность'!8:8,tables!E233,'Годовая отчетность'!14:14)</f>
        <v>0</v>
      </c>
      <c r="F237" s="209">
        <f>SUMIF('Годовая отчетность'!8:8,tables!F233,'Годовая отчетность'!14:14)</f>
        <v>0</v>
      </c>
      <c r="G237" s="209">
        <f>SUMIF('Годовая отчетность'!8:8,tables!G233,'Годовая отчетность'!14:14)</f>
        <v>0</v>
      </c>
      <c r="H237" s="209">
        <f>SUMIF('Годовая отчетность'!8:8,tables!H233,'Годовая отчетность'!14:14)</f>
        <v>0</v>
      </c>
      <c r="I237" s="209">
        <f>SUMIF('Годовая отчетность'!8:8,tables!I233,'Годовая отчетность'!14:14)</f>
        <v>0</v>
      </c>
      <c r="J237" s="209">
        <f>SUMIF('Годовая отчетность'!8:8,tables!J233,'Годовая отчетность'!14:14)</f>
        <v>0</v>
      </c>
      <c r="K237" s="209">
        <f>SUMIF('Годовая отчетность'!8:8,tables!K233,'Годовая отчетность'!14:14)</f>
        <v>0</v>
      </c>
      <c r="L237" s="209">
        <f>SUMIF('Годовая отчетность'!8:8,tables!L233,'Годовая отчетность'!14:14)</f>
        <v>0</v>
      </c>
      <c r="M237" s="209">
        <f>SUMIF('Годовая отчетность'!8:8,tables!M233,'Годовая отчетность'!14:14)</f>
        <v>0</v>
      </c>
      <c r="N237" s="209">
        <f>SUMIF('Годовая отчетность'!8:8,tables!N233,'Годовая отчетность'!14:14)</f>
        <v>0</v>
      </c>
      <c r="O237" s="209">
        <f>SUMIF('Годовая отчетность'!8:8,tables!O233,'Годовая отчетность'!14:14)</f>
        <v>0</v>
      </c>
      <c r="P237" s="209">
        <f>SUMIF('Годовая отчетность'!8:8,tables!P233,'Годовая отчетность'!14:14)</f>
        <v>0</v>
      </c>
      <c r="Q237" s="209">
        <f>SUMIF('Годовая отчетность'!8:8,tables!Q233,'Годовая отчетность'!14:14)</f>
        <v>0</v>
      </c>
      <c r="R237" s="209">
        <f>SUMIF('Годовая отчетность'!8:8,tables!R233,'Годовая отчетность'!14:14)</f>
        <v>0</v>
      </c>
    </row>
    <row r="238" spans="2:63">
      <c r="B238" s="175" t="s">
        <v>145</v>
      </c>
      <c r="C238" s="214" t="e">
        <f ca="1">C237/C234</f>
        <v>#DIV/0!</v>
      </c>
      <c r="D238" s="214" t="e">
        <f t="shared" ref="D238:R238" si="29">D237/D234</f>
        <v>#DIV/0!</v>
      </c>
      <c r="E238" s="214" t="e">
        <f t="shared" si="29"/>
        <v>#DIV/0!</v>
      </c>
      <c r="F238" s="214" t="e">
        <f t="shared" si="29"/>
        <v>#DIV/0!</v>
      </c>
      <c r="G238" s="214" t="e">
        <f t="shared" si="29"/>
        <v>#DIV/0!</v>
      </c>
      <c r="H238" s="214" t="e">
        <f t="shared" si="29"/>
        <v>#DIV/0!</v>
      </c>
      <c r="I238" s="214" t="e">
        <f t="shared" si="29"/>
        <v>#DIV/0!</v>
      </c>
      <c r="J238" s="214" t="e">
        <f t="shared" si="29"/>
        <v>#DIV/0!</v>
      </c>
      <c r="K238" s="214" t="e">
        <f t="shared" si="29"/>
        <v>#DIV/0!</v>
      </c>
      <c r="L238" s="214" t="e">
        <f t="shared" si="29"/>
        <v>#DIV/0!</v>
      </c>
      <c r="M238" s="214" t="e">
        <f t="shared" si="29"/>
        <v>#DIV/0!</v>
      </c>
      <c r="N238" s="214" t="e">
        <f t="shared" si="29"/>
        <v>#DIV/0!</v>
      </c>
      <c r="O238" s="214" t="e">
        <f t="shared" si="29"/>
        <v>#DIV/0!</v>
      </c>
      <c r="P238" s="214" t="e">
        <f t="shared" si="29"/>
        <v>#DIV/0!</v>
      </c>
      <c r="Q238" s="214" t="e">
        <f t="shared" si="29"/>
        <v>#DIV/0!</v>
      </c>
      <c r="R238" s="214" t="e">
        <f t="shared" si="29"/>
        <v>#DIV/0!</v>
      </c>
    </row>
    <row r="239" spans="2:63">
      <c r="B239" s="213" t="str">
        <f>'Годовая отчетность'!B16</f>
        <v>Коммерческие расходы (-)</v>
      </c>
      <c r="C239" s="209"/>
      <c r="D239" s="209">
        <f>SUMIF('Годовая отчетность'!8:8,tables!D233,'Годовая отчетность'!16:16)</f>
        <v>0</v>
      </c>
      <c r="E239" s="209">
        <f>SUMIF('Годовая отчетность'!8:8,tables!E233,'Годовая отчетность'!16:16)</f>
        <v>0</v>
      </c>
      <c r="F239" s="209">
        <f>SUMIF('Годовая отчетность'!8:8,tables!F233,'Годовая отчетность'!16:16)</f>
        <v>0</v>
      </c>
      <c r="G239" s="209">
        <f>SUMIF('Годовая отчетность'!8:8,tables!G233,'Годовая отчетность'!16:16)</f>
        <v>0</v>
      </c>
      <c r="H239" s="209">
        <f>SUMIF('Годовая отчетность'!8:8,tables!H233,'Годовая отчетность'!16:16)</f>
        <v>0</v>
      </c>
      <c r="I239" s="209">
        <f>SUMIF('Годовая отчетность'!8:8,tables!I233,'Годовая отчетность'!16:16)</f>
        <v>0</v>
      </c>
      <c r="J239" s="209">
        <f>SUMIF('Годовая отчетность'!8:8,tables!J233,'Годовая отчетность'!16:16)</f>
        <v>0</v>
      </c>
      <c r="K239" s="209">
        <f>SUMIF('Годовая отчетность'!8:8,tables!K233,'Годовая отчетность'!16:16)</f>
        <v>0</v>
      </c>
      <c r="L239" s="209">
        <f>SUMIF('Годовая отчетность'!8:8,tables!L233,'Годовая отчетность'!16:16)</f>
        <v>0</v>
      </c>
      <c r="M239" s="209">
        <f>SUMIF('Годовая отчетность'!8:8,tables!M233,'Годовая отчетность'!16:16)</f>
        <v>0</v>
      </c>
      <c r="N239" s="209">
        <f>SUMIF('Годовая отчетность'!8:8,tables!N233,'Годовая отчетность'!16:16)</f>
        <v>0</v>
      </c>
      <c r="O239" s="209">
        <f>SUMIF('Годовая отчетность'!8:8,tables!O233,'Годовая отчетность'!16:16)</f>
        <v>0</v>
      </c>
      <c r="P239" s="209">
        <f>SUMIF('Годовая отчетность'!8:8,tables!P233,'Годовая отчетность'!16:16)</f>
        <v>0</v>
      </c>
      <c r="Q239" s="209">
        <f>SUMIF('Годовая отчетность'!8:8,tables!Q233,'Годовая отчетность'!16:16)</f>
        <v>0</v>
      </c>
      <c r="R239" s="209">
        <f>SUMIF('Годовая отчетность'!8:8,tables!R233,'Годовая отчетность'!16:16)</f>
        <v>0</v>
      </c>
    </row>
    <row r="240" spans="2:63">
      <c r="B240" s="213" t="str">
        <f>'Годовая отчетность'!B17</f>
        <v>Управленческие расходы (-)</v>
      </c>
      <c r="C240" s="209"/>
      <c r="D240" s="209">
        <f>SUMIF('Годовая отчетность'!8:8,tables!D233,'Годовая отчетность'!17:17)</f>
        <v>0</v>
      </c>
      <c r="E240" s="209">
        <f>SUMIF('Годовая отчетность'!8:8,tables!E233,'Годовая отчетность'!17:17)</f>
        <v>0</v>
      </c>
      <c r="F240" s="209">
        <f>SUMIF('Годовая отчетность'!8:8,tables!F233,'Годовая отчетность'!17:17)</f>
        <v>0</v>
      </c>
      <c r="G240" s="209">
        <f>SUMIF('Годовая отчетность'!8:8,tables!G233,'Годовая отчетность'!17:17)</f>
        <v>0</v>
      </c>
      <c r="H240" s="209">
        <f>SUMIF('Годовая отчетность'!8:8,tables!H233,'Годовая отчетность'!17:17)</f>
        <v>0</v>
      </c>
      <c r="I240" s="209">
        <f>SUMIF('Годовая отчетность'!8:8,tables!I233,'Годовая отчетность'!17:17)</f>
        <v>0</v>
      </c>
      <c r="J240" s="209">
        <f>SUMIF('Годовая отчетность'!8:8,tables!J233,'Годовая отчетность'!17:17)</f>
        <v>0</v>
      </c>
      <c r="K240" s="209">
        <f>SUMIF('Годовая отчетность'!8:8,tables!K233,'Годовая отчетность'!17:17)</f>
        <v>0</v>
      </c>
      <c r="L240" s="209">
        <f>SUMIF('Годовая отчетность'!8:8,tables!L233,'Годовая отчетность'!17:17)</f>
        <v>0</v>
      </c>
      <c r="M240" s="209">
        <f>SUMIF('Годовая отчетность'!8:8,tables!M233,'Годовая отчетность'!17:17)</f>
        <v>0</v>
      </c>
      <c r="N240" s="209">
        <f>SUMIF('Годовая отчетность'!8:8,tables!N233,'Годовая отчетность'!17:17)</f>
        <v>0</v>
      </c>
      <c r="O240" s="209">
        <f>SUMIF('Годовая отчетность'!8:8,tables!O233,'Годовая отчетность'!17:17)</f>
        <v>0</v>
      </c>
      <c r="P240" s="209">
        <f>SUMIF('Годовая отчетность'!8:8,tables!P233,'Годовая отчетность'!17:17)</f>
        <v>0</v>
      </c>
      <c r="Q240" s="209">
        <f>SUMIF('Годовая отчетность'!8:8,tables!Q233,'Годовая отчетность'!17:17)</f>
        <v>0</v>
      </c>
      <c r="R240" s="209">
        <f>SUMIF('Годовая отчетность'!8:8,tables!R233,'Годовая отчетность'!17:17)</f>
        <v>0</v>
      </c>
    </row>
    <row r="241" spans="2:18">
      <c r="B241" s="213" t="str">
        <f>'Годовая отчетность'!B18</f>
        <v>Прибыль (убыток) от продаж</v>
      </c>
      <c r="C241" s="209"/>
      <c r="D241" s="209">
        <f>SUMIF('Годовая отчетность'!8:8,tables!D233,'Годовая отчетность'!18:18)</f>
        <v>0</v>
      </c>
      <c r="E241" s="209">
        <f>SUMIF('Годовая отчетность'!8:8,tables!E233,'Годовая отчетность'!18:18)</f>
        <v>0</v>
      </c>
      <c r="F241" s="209">
        <f>SUMIF('Годовая отчетность'!8:8,tables!F233,'Годовая отчетность'!18:18)</f>
        <v>0</v>
      </c>
      <c r="G241" s="209">
        <f>SUMIF('Годовая отчетность'!8:8,tables!G233,'Годовая отчетность'!18:18)</f>
        <v>0</v>
      </c>
      <c r="H241" s="209">
        <f>SUMIF('Годовая отчетность'!8:8,tables!H233,'Годовая отчетность'!18:18)</f>
        <v>0</v>
      </c>
      <c r="I241" s="209">
        <f>SUMIF('Годовая отчетность'!8:8,tables!I233,'Годовая отчетность'!18:18)</f>
        <v>0</v>
      </c>
      <c r="J241" s="209">
        <f>SUMIF('Годовая отчетность'!8:8,tables!J233,'Годовая отчетность'!18:18)</f>
        <v>0</v>
      </c>
      <c r="K241" s="209">
        <f>SUMIF('Годовая отчетность'!8:8,tables!K233,'Годовая отчетность'!18:18)</f>
        <v>0</v>
      </c>
      <c r="L241" s="209">
        <f>SUMIF('Годовая отчетность'!8:8,tables!L233,'Годовая отчетность'!18:18)</f>
        <v>0</v>
      </c>
      <c r="M241" s="209">
        <f>SUMIF('Годовая отчетность'!8:8,tables!M233,'Годовая отчетность'!18:18)</f>
        <v>0</v>
      </c>
      <c r="N241" s="209">
        <f>SUMIF('Годовая отчетность'!8:8,tables!N233,'Годовая отчетность'!18:18)</f>
        <v>0</v>
      </c>
      <c r="O241" s="209">
        <f>SUMIF('Годовая отчетность'!8:8,tables!O233,'Годовая отчетность'!18:18)</f>
        <v>0</v>
      </c>
      <c r="P241" s="209">
        <f>SUMIF('Годовая отчетность'!8:8,tables!P233,'Годовая отчетность'!18:18)</f>
        <v>0</v>
      </c>
      <c r="Q241" s="209">
        <f>SUMIF('Годовая отчетность'!8:8,tables!Q233,'Годовая отчетность'!18:18)</f>
        <v>0</v>
      </c>
      <c r="R241" s="209">
        <f>SUMIF('Годовая отчетность'!8:8,tables!R233,'Годовая отчетность'!18:18)</f>
        <v>0</v>
      </c>
    </row>
    <row r="242" spans="2:18">
      <c r="B242" s="175" t="s">
        <v>147</v>
      </c>
      <c r="C242" s="214" t="e">
        <f ca="1">C241/C234</f>
        <v>#DIV/0!</v>
      </c>
      <c r="D242" s="214" t="e">
        <f t="shared" ref="D242:R242" si="30">D241/D234</f>
        <v>#DIV/0!</v>
      </c>
      <c r="E242" s="214" t="e">
        <f t="shared" si="30"/>
        <v>#DIV/0!</v>
      </c>
      <c r="F242" s="214" t="e">
        <f t="shared" si="30"/>
        <v>#DIV/0!</v>
      </c>
      <c r="G242" s="214" t="e">
        <f t="shared" si="30"/>
        <v>#DIV/0!</v>
      </c>
      <c r="H242" s="214" t="e">
        <f t="shared" si="30"/>
        <v>#DIV/0!</v>
      </c>
      <c r="I242" s="214" t="e">
        <f t="shared" si="30"/>
        <v>#DIV/0!</v>
      </c>
      <c r="J242" s="214" t="e">
        <f t="shared" si="30"/>
        <v>#DIV/0!</v>
      </c>
      <c r="K242" s="214" t="e">
        <f t="shared" si="30"/>
        <v>#DIV/0!</v>
      </c>
      <c r="L242" s="214" t="e">
        <f t="shared" si="30"/>
        <v>#DIV/0!</v>
      </c>
      <c r="M242" s="214" t="e">
        <f t="shared" si="30"/>
        <v>#DIV/0!</v>
      </c>
      <c r="N242" s="214" t="e">
        <f t="shared" si="30"/>
        <v>#DIV/0!</v>
      </c>
      <c r="O242" s="214" t="e">
        <f t="shared" si="30"/>
        <v>#DIV/0!</v>
      </c>
      <c r="P242" s="214" t="e">
        <f t="shared" si="30"/>
        <v>#DIV/0!</v>
      </c>
      <c r="Q242" s="214" t="e">
        <f t="shared" si="30"/>
        <v>#DIV/0!</v>
      </c>
      <c r="R242" s="214" t="e">
        <f t="shared" si="30"/>
        <v>#DIV/0!</v>
      </c>
    </row>
    <row r="243" spans="2:18">
      <c r="B243" s="213" t="str">
        <f>'Годовая отчетность'!B20</f>
        <v>Доходы от участия в других организациях</v>
      </c>
      <c r="C243" s="209"/>
      <c r="D243" s="209">
        <f>SUMIF('Годовая отчетность'!8:8,tables!D233,'Годовая отчетность'!20:20)</f>
        <v>0</v>
      </c>
      <c r="E243" s="209">
        <f>SUMIF('Годовая отчетность'!8:8,tables!E233,'Годовая отчетность'!20:20)</f>
        <v>0</v>
      </c>
      <c r="F243" s="209">
        <f>SUMIF('Годовая отчетность'!8:8,tables!F233,'Годовая отчетность'!20:20)</f>
        <v>0</v>
      </c>
      <c r="G243" s="209">
        <f>SUMIF('Годовая отчетность'!8:8,tables!G233,'Годовая отчетность'!20:20)</f>
        <v>0</v>
      </c>
      <c r="H243" s="209">
        <f>SUMIF('Годовая отчетность'!8:8,tables!H233,'Годовая отчетность'!20:20)</f>
        <v>0</v>
      </c>
      <c r="I243" s="209">
        <f>SUMIF('Годовая отчетность'!8:8,tables!I233,'Годовая отчетность'!20:20)</f>
        <v>0</v>
      </c>
      <c r="J243" s="209">
        <f>SUMIF('Годовая отчетность'!8:8,tables!J233,'Годовая отчетность'!20:20)</f>
        <v>0</v>
      </c>
      <c r="K243" s="209">
        <f>SUMIF('Годовая отчетность'!8:8,tables!K233,'Годовая отчетность'!20:20)</f>
        <v>0</v>
      </c>
      <c r="L243" s="209">
        <f>SUMIF('Годовая отчетность'!8:8,tables!L233,'Годовая отчетность'!20:20)</f>
        <v>0</v>
      </c>
      <c r="M243" s="209">
        <f>SUMIF('Годовая отчетность'!8:8,tables!M233,'Годовая отчетность'!20:20)</f>
        <v>0</v>
      </c>
      <c r="N243" s="209">
        <f>SUMIF('Годовая отчетность'!8:8,tables!N233,'Годовая отчетность'!20:20)</f>
        <v>0</v>
      </c>
      <c r="O243" s="209">
        <f>SUMIF('Годовая отчетность'!8:8,tables!O233,'Годовая отчетность'!20:20)</f>
        <v>0</v>
      </c>
      <c r="P243" s="209">
        <f>SUMIF('Годовая отчетность'!8:8,tables!P233,'Годовая отчетность'!20:20)</f>
        <v>0</v>
      </c>
      <c r="Q243" s="209">
        <f>SUMIF('Годовая отчетность'!8:8,tables!Q233,'Годовая отчетность'!20:20)</f>
        <v>0</v>
      </c>
      <c r="R243" s="209">
        <f>SUMIF('Годовая отчетность'!8:8,tables!R233,'Годовая отчетность'!20:20)</f>
        <v>0</v>
      </c>
    </row>
    <row r="244" spans="2:18">
      <c r="B244" s="213" t="str">
        <f>'Годовая отчетность'!B21</f>
        <v>Проценты к получению</v>
      </c>
      <c r="C244" s="209"/>
      <c r="D244" s="209">
        <f>SUMIF('Годовая отчетность'!8:8,tables!D233,'Годовая отчетность'!21:21)</f>
        <v>0</v>
      </c>
      <c r="E244" s="209">
        <f>SUMIF('Годовая отчетность'!8:8,tables!E233,'Годовая отчетность'!21:21)</f>
        <v>0</v>
      </c>
      <c r="F244" s="209">
        <f>SUMIF('Годовая отчетность'!8:8,tables!F233,'Годовая отчетность'!21:21)</f>
        <v>0</v>
      </c>
      <c r="G244" s="209">
        <f>SUMIF('Годовая отчетность'!8:8,tables!G233,'Годовая отчетность'!21:21)</f>
        <v>0</v>
      </c>
      <c r="H244" s="209">
        <f>SUMIF('Годовая отчетность'!8:8,tables!H233,'Годовая отчетность'!21:21)</f>
        <v>0</v>
      </c>
      <c r="I244" s="209">
        <f>SUMIF('Годовая отчетность'!8:8,tables!I233,'Годовая отчетность'!21:21)</f>
        <v>0</v>
      </c>
      <c r="J244" s="209">
        <f>SUMIF('Годовая отчетность'!8:8,tables!J233,'Годовая отчетность'!21:21)</f>
        <v>0</v>
      </c>
      <c r="K244" s="209">
        <f>SUMIF('Годовая отчетность'!8:8,tables!K233,'Годовая отчетность'!21:21)</f>
        <v>0</v>
      </c>
      <c r="L244" s="209">
        <f>SUMIF('Годовая отчетность'!8:8,tables!L233,'Годовая отчетность'!21:21)</f>
        <v>0</v>
      </c>
      <c r="M244" s="209">
        <f>SUMIF('Годовая отчетность'!8:8,tables!M233,'Годовая отчетность'!21:21)</f>
        <v>0</v>
      </c>
      <c r="N244" s="209">
        <f>SUMIF('Годовая отчетность'!8:8,tables!N233,'Годовая отчетность'!21:21)</f>
        <v>0</v>
      </c>
      <c r="O244" s="209">
        <f>SUMIF('Годовая отчетность'!8:8,tables!O233,'Годовая отчетность'!21:21)</f>
        <v>0</v>
      </c>
      <c r="P244" s="209">
        <f>SUMIF('Годовая отчетность'!8:8,tables!P233,'Годовая отчетность'!21:21)</f>
        <v>0</v>
      </c>
      <c r="Q244" s="209">
        <f>SUMIF('Годовая отчетность'!8:8,tables!Q233,'Годовая отчетность'!21:21)</f>
        <v>0</v>
      </c>
      <c r="R244" s="209">
        <f>SUMIF('Годовая отчетность'!8:8,tables!R233,'Годовая отчетность'!21:21)</f>
        <v>0</v>
      </c>
    </row>
    <row r="245" spans="2:18">
      <c r="B245" s="213" t="str">
        <f>'Годовая отчетность'!B22</f>
        <v>Проценты к уплате (-)</v>
      </c>
      <c r="C245" s="209"/>
      <c r="D245" s="209">
        <f>SUMIF('Годовая отчетность'!8:8,tables!D233,'Годовая отчетность'!22:22)</f>
        <v>0</v>
      </c>
      <c r="E245" s="209">
        <f>SUMIF('Годовая отчетность'!8:8,tables!E233,'Годовая отчетность'!22:22)</f>
        <v>0</v>
      </c>
      <c r="F245" s="209">
        <f>SUMIF('Годовая отчетность'!8:8,tables!F233,'Годовая отчетность'!22:22)</f>
        <v>0</v>
      </c>
      <c r="G245" s="209">
        <f>SUMIF('Годовая отчетность'!8:8,tables!G233,'Годовая отчетность'!22:22)</f>
        <v>0</v>
      </c>
      <c r="H245" s="209">
        <f>SUMIF('Годовая отчетность'!8:8,tables!H233,'Годовая отчетность'!22:22)</f>
        <v>0</v>
      </c>
      <c r="I245" s="209">
        <f>SUMIF('Годовая отчетность'!8:8,tables!I233,'Годовая отчетность'!22:22)</f>
        <v>0</v>
      </c>
      <c r="J245" s="209">
        <f>SUMIF('Годовая отчетность'!8:8,tables!J233,'Годовая отчетность'!22:22)</f>
        <v>0</v>
      </c>
      <c r="K245" s="209">
        <f>SUMIF('Годовая отчетность'!8:8,tables!K233,'Годовая отчетность'!22:22)</f>
        <v>0</v>
      </c>
      <c r="L245" s="209">
        <f>SUMIF('Годовая отчетность'!8:8,tables!L233,'Годовая отчетность'!22:22)</f>
        <v>0</v>
      </c>
      <c r="M245" s="209">
        <f>SUMIF('Годовая отчетность'!8:8,tables!M233,'Годовая отчетность'!22:22)</f>
        <v>0</v>
      </c>
      <c r="N245" s="209">
        <f>SUMIF('Годовая отчетность'!8:8,tables!N233,'Годовая отчетность'!22:22)</f>
        <v>0</v>
      </c>
      <c r="O245" s="209">
        <f>SUMIF('Годовая отчетность'!8:8,tables!O233,'Годовая отчетность'!22:22)</f>
        <v>0</v>
      </c>
      <c r="P245" s="209">
        <f>SUMIF('Годовая отчетность'!8:8,tables!P233,'Годовая отчетность'!22:22)</f>
        <v>0</v>
      </c>
      <c r="Q245" s="209">
        <f>SUMIF('Годовая отчетность'!8:8,tables!Q233,'Годовая отчетность'!22:22)</f>
        <v>0</v>
      </c>
      <c r="R245" s="209">
        <f>SUMIF('Годовая отчетность'!8:8,tables!R233,'Годовая отчетность'!22:22)</f>
        <v>0</v>
      </c>
    </row>
    <row r="246" spans="2:18">
      <c r="B246" s="213" t="str">
        <f>'Годовая отчетность'!B23</f>
        <v>Прочие доходы</v>
      </c>
      <c r="C246" s="209"/>
      <c r="D246" s="209">
        <f>SUMIF('Годовая отчетность'!8:8,tables!D233,'Годовая отчетность'!23:23)</f>
        <v>0</v>
      </c>
      <c r="E246" s="209">
        <f>SUMIF('Годовая отчетность'!8:8,tables!E233,'Годовая отчетность'!23:23)</f>
        <v>0</v>
      </c>
      <c r="F246" s="209">
        <f>SUMIF('Годовая отчетность'!8:8,tables!F233,'Годовая отчетность'!23:23)</f>
        <v>0</v>
      </c>
      <c r="G246" s="209">
        <f>SUMIF('Годовая отчетность'!8:8,tables!G233,'Годовая отчетность'!23:23)</f>
        <v>0</v>
      </c>
      <c r="H246" s="209">
        <f>SUMIF('Годовая отчетность'!8:8,tables!H233,'Годовая отчетность'!23:23)</f>
        <v>0</v>
      </c>
      <c r="I246" s="209">
        <f>SUMIF('Годовая отчетность'!8:8,tables!I233,'Годовая отчетность'!23:23)</f>
        <v>0</v>
      </c>
      <c r="J246" s="209">
        <f>SUMIF('Годовая отчетность'!8:8,tables!J233,'Годовая отчетность'!23:23)</f>
        <v>0</v>
      </c>
      <c r="K246" s="209">
        <f>SUMIF('Годовая отчетность'!8:8,tables!K233,'Годовая отчетность'!23:23)</f>
        <v>0</v>
      </c>
      <c r="L246" s="209">
        <f>SUMIF('Годовая отчетность'!8:8,tables!L233,'Годовая отчетность'!23:23)</f>
        <v>0</v>
      </c>
      <c r="M246" s="209">
        <f>SUMIF('Годовая отчетность'!8:8,tables!M233,'Годовая отчетность'!23:23)</f>
        <v>0</v>
      </c>
      <c r="N246" s="209">
        <f>SUMIF('Годовая отчетность'!8:8,tables!N233,'Годовая отчетность'!23:23)</f>
        <v>0</v>
      </c>
      <c r="O246" s="209">
        <f>SUMIF('Годовая отчетность'!8:8,tables!O233,'Годовая отчетность'!23:23)</f>
        <v>0</v>
      </c>
      <c r="P246" s="209">
        <f>SUMIF('Годовая отчетность'!8:8,tables!P233,'Годовая отчетность'!23:23)</f>
        <v>0</v>
      </c>
      <c r="Q246" s="209">
        <f>SUMIF('Годовая отчетность'!8:8,tables!Q233,'Годовая отчетность'!23:23)</f>
        <v>0</v>
      </c>
      <c r="R246" s="209">
        <f>SUMIF('Годовая отчетность'!8:8,tables!R233,'Годовая отчетность'!23:23)</f>
        <v>0</v>
      </c>
    </row>
    <row r="247" spans="2:18">
      <c r="B247" s="213" t="str">
        <f>'Годовая отчетность'!B24</f>
        <v>Прочие расходы (-)</v>
      </c>
      <c r="C247" s="209"/>
      <c r="D247" s="209">
        <f>SUMIF('Годовая отчетность'!8:8,tables!D233,'Годовая отчетность'!24:24)</f>
        <v>0</v>
      </c>
      <c r="E247" s="209">
        <f>SUMIF('Годовая отчетность'!8:8,tables!E233,'Годовая отчетность'!24:24)</f>
        <v>0</v>
      </c>
      <c r="F247" s="209">
        <f>SUMIF('Годовая отчетность'!8:8,tables!F233,'Годовая отчетность'!24:24)</f>
        <v>0</v>
      </c>
      <c r="G247" s="209">
        <f>SUMIF('Годовая отчетность'!8:8,tables!G233,'Годовая отчетность'!24:24)</f>
        <v>0</v>
      </c>
      <c r="H247" s="209">
        <f>SUMIF('Годовая отчетность'!8:8,tables!H233,'Годовая отчетность'!24:24)</f>
        <v>0</v>
      </c>
      <c r="I247" s="209">
        <f>SUMIF('Годовая отчетность'!8:8,tables!I233,'Годовая отчетность'!24:24)</f>
        <v>0</v>
      </c>
      <c r="J247" s="209">
        <f>SUMIF('Годовая отчетность'!8:8,tables!J233,'Годовая отчетность'!24:24)</f>
        <v>0</v>
      </c>
      <c r="K247" s="209">
        <f>SUMIF('Годовая отчетность'!8:8,tables!K233,'Годовая отчетность'!24:24)</f>
        <v>0</v>
      </c>
      <c r="L247" s="209">
        <f>SUMIF('Годовая отчетность'!8:8,tables!L233,'Годовая отчетность'!24:24)</f>
        <v>0</v>
      </c>
      <c r="M247" s="209">
        <f>SUMIF('Годовая отчетность'!8:8,tables!M233,'Годовая отчетность'!24:24)</f>
        <v>0</v>
      </c>
      <c r="N247" s="209">
        <f>SUMIF('Годовая отчетность'!8:8,tables!N233,'Годовая отчетность'!24:24)</f>
        <v>0</v>
      </c>
      <c r="O247" s="209">
        <f>SUMIF('Годовая отчетность'!8:8,tables!O233,'Годовая отчетность'!24:24)</f>
        <v>0</v>
      </c>
      <c r="P247" s="209">
        <f>SUMIF('Годовая отчетность'!8:8,tables!P233,'Годовая отчетность'!24:24)</f>
        <v>0</v>
      </c>
      <c r="Q247" s="209">
        <f>SUMIF('Годовая отчетность'!8:8,tables!Q233,'Годовая отчетность'!24:24)</f>
        <v>0</v>
      </c>
      <c r="R247" s="209">
        <f>SUMIF('Годовая отчетность'!8:8,tables!R233,'Годовая отчетность'!24:24)</f>
        <v>0</v>
      </c>
    </row>
    <row r="248" spans="2:18">
      <c r="B248" s="213" t="str">
        <f>'Годовая отчетность'!B25</f>
        <v>Прибыль (убыток) до налогообложения</v>
      </c>
      <c r="C248" s="209">
        <f ca="1">SUM('Годовая отчетность'!E25,OFFSET(Предпосылки!$G$287,,,,-ROUNDUP(MONTH(Предпосылки!$C$13)/Месяцев_в_квартале,0)),0)</f>
        <v>0</v>
      </c>
      <c r="D248" s="209">
        <f>SUMIF('Годовая отчетность'!8:8,tables!D233,'Годовая отчетность'!25:25)</f>
        <v>0</v>
      </c>
      <c r="E248" s="209">
        <f>SUMIF('Годовая отчетность'!8:8,tables!E233,'Годовая отчетность'!25:25)</f>
        <v>0</v>
      </c>
      <c r="F248" s="209">
        <f>SUMIF('Годовая отчетность'!8:8,tables!F233,'Годовая отчетность'!25:25)</f>
        <v>0</v>
      </c>
      <c r="G248" s="209">
        <f>SUMIF('Годовая отчетность'!8:8,tables!G233,'Годовая отчетность'!25:25)</f>
        <v>0</v>
      </c>
      <c r="H248" s="209">
        <f>SUMIF('Годовая отчетность'!8:8,tables!H233,'Годовая отчетность'!25:25)</f>
        <v>0</v>
      </c>
      <c r="I248" s="209">
        <f>SUMIF('Годовая отчетность'!8:8,tables!I233,'Годовая отчетность'!25:25)</f>
        <v>0</v>
      </c>
      <c r="J248" s="209">
        <f>SUMIF('Годовая отчетность'!8:8,tables!J233,'Годовая отчетность'!25:25)</f>
        <v>0</v>
      </c>
      <c r="K248" s="209">
        <f>SUMIF('Годовая отчетность'!8:8,tables!K233,'Годовая отчетность'!25:25)</f>
        <v>0</v>
      </c>
      <c r="L248" s="209">
        <f>SUMIF('Годовая отчетность'!8:8,tables!L233,'Годовая отчетность'!25:25)</f>
        <v>0</v>
      </c>
      <c r="M248" s="209">
        <f>SUMIF('Годовая отчетность'!8:8,tables!M233,'Годовая отчетность'!25:25)</f>
        <v>0</v>
      </c>
      <c r="N248" s="209">
        <f>SUMIF('Годовая отчетность'!8:8,tables!N233,'Годовая отчетность'!25:25)</f>
        <v>0</v>
      </c>
      <c r="O248" s="209">
        <f>SUMIF('Годовая отчетность'!8:8,tables!O233,'Годовая отчетность'!25:25)</f>
        <v>0</v>
      </c>
      <c r="P248" s="209">
        <f>SUMIF('Годовая отчетность'!8:8,tables!P233,'Годовая отчетность'!25:25)</f>
        <v>0</v>
      </c>
      <c r="Q248" s="209">
        <f>SUMIF('Годовая отчетность'!8:8,tables!Q233,'Годовая отчетность'!25:25)</f>
        <v>0</v>
      </c>
      <c r="R248" s="209">
        <f>SUMIF('Годовая отчетность'!8:8,tables!R233,'Годовая отчетность'!25:25)</f>
        <v>0</v>
      </c>
    </row>
    <row r="249" spans="2:18">
      <c r="B249" s="213" t="str">
        <f>'Годовая отчетность'!B26</f>
        <v>Налог на прибыль (-)</v>
      </c>
      <c r="C249" s="209"/>
      <c r="D249" s="209">
        <f>SUMIF('Годовая отчетность'!8:8,tables!D233,'Годовая отчетность'!26:26)</f>
        <v>0</v>
      </c>
      <c r="E249" s="209">
        <f>SUMIF('Годовая отчетность'!8:8,tables!E233,'Годовая отчетность'!26:26)</f>
        <v>0</v>
      </c>
      <c r="F249" s="209">
        <f>SUMIF('Годовая отчетность'!8:8,tables!F233,'Годовая отчетность'!26:26)</f>
        <v>0</v>
      </c>
      <c r="G249" s="209">
        <f>SUMIF('Годовая отчетность'!8:8,tables!G233,'Годовая отчетность'!26:26)</f>
        <v>0</v>
      </c>
      <c r="H249" s="209">
        <f>SUMIF('Годовая отчетность'!8:8,tables!H233,'Годовая отчетность'!26:26)</f>
        <v>0</v>
      </c>
      <c r="I249" s="209">
        <f>SUMIF('Годовая отчетность'!8:8,tables!I233,'Годовая отчетность'!26:26)</f>
        <v>0</v>
      </c>
      <c r="J249" s="209">
        <f>SUMIF('Годовая отчетность'!8:8,tables!J233,'Годовая отчетность'!26:26)</f>
        <v>0</v>
      </c>
      <c r="K249" s="209">
        <f>SUMIF('Годовая отчетность'!8:8,tables!K233,'Годовая отчетность'!26:26)</f>
        <v>0</v>
      </c>
      <c r="L249" s="209">
        <f>SUMIF('Годовая отчетность'!8:8,tables!L233,'Годовая отчетность'!26:26)</f>
        <v>0</v>
      </c>
      <c r="M249" s="209">
        <f>SUMIF('Годовая отчетность'!8:8,tables!M233,'Годовая отчетность'!26:26)</f>
        <v>0</v>
      </c>
      <c r="N249" s="209">
        <f>SUMIF('Годовая отчетность'!8:8,tables!N233,'Годовая отчетность'!26:26)</f>
        <v>0</v>
      </c>
      <c r="O249" s="209">
        <f>SUMIF('Годовая отчетность'!8:8,tables!O233,'Годовая отчетность'!26:26)</f>
        <v>0</v>
      </c>
      <c r="P249" s="209">
        <f>SUMIF('Годовая отчетность'!8:8,tables!P233,'Годовая отчетность'!26:26)</f>
        <v>0</v>
      </c>
      <c r="Q249" s="209">
        <f>SUMIF('Годовая отчетность'!8:8,tables!Q233,'Годовая отчетность'!26:26)</f>
        <v>0</v>
      </c>
      <c r="R249" s="209">
        <f>SUMIF('Годовая отчетность'!8:8,tables!R233,'Годовая отчетность'!26:26)</f>
        <v>0</v>
      </c>
    </row>
    <row r="250" spans="2:18">
      <c r="B250" s="213" t="str">
        <f>'Годовая отчетность'!B27</f>
        <v>Чистая прибыль (убыток)</v>
      </c>
      <c r="C250" s="209">
        <f ca="1">SUM('Годовая отчетность'!E27,OFFSET(Предпосылки!$G$289,,,,-ROUNDUP(MONTH(Предпосылки!$C$13)/Месяцев_в_квартале,0)),0)</f>
        <v>0</v>
      </c>
      <c r="D250" s="209">
        <f>SUMIF('Годовая отчетность'!8:8,tables!D233,'Годовая отчетность'!27:27)</f>
        <v>0</v>
      </c>
      <c r="E250" s="209">
        <f>SUMIF('Годовая отчетность'!8:8,tables!E233,'Годовая отчетность'!27:27)</f>
        <v>0</v>
      </c>
      <c r="F250" s="209">
        <f>SUMIF('Годовая отчетность'!8:8,tables!F233,'Годовая отчетность'!27:27)</f>
        <v>0</v>
      </c>
      <c r="G250" s="209">
        <f>SUMIF('Годовая отчетность'!8:8,tables!G233,'Годовая отчетность'!27:27)</f>
        <v>0</v>
      </c>
      <c r="H250" s="209">
        <f>SUMIF('Годовая отчетность'!8:8,tables!H233,'Годовая отчетность'!27:27)</f>
        <v>0</v>
      </c>
      <c r="I250" s="209">
        <f>SUMIF('Годовая отчетность'!8:8,tables!I233,'Годовая отчетность'!27:27)</f>
        <v>0</v>
      </c>
      <c r="J250" s="209">
        <f>SUMIF('Годовая отчетность'!8:8,tables!J233,'Годовая отчетность'!27:27)</f>
        <v>0</v>
      </c>
      <c r="K250" s="209">
        <f>SUMIF('Годовая отчетность'!8:8,tables!K233,'Годовая отчетность'!27:27)</f>
        <v>0</v>
      </c>
      <c r="L250" s="209">
        <f>SUMIF('Годовая отчетность'!8:8,tables!L233,'Годовая отчетность'!27:27)</f>
        <v>0</v>
      </c>
      <c r="M250" s="209">
        <f>SUMIF('Годовая отчетность'!8:8,tables!M233,'Годовая отчетность'!27:27)</f>
        <v>0</v>
      </c>
      <c r="N250" s="209">
        <f>SUMIF('Годовая отчетность'!8:8,tables!N233,'Годовая отчетность'!27:27)</f>
        <v>0</v>
      </c>
      <c r="O250" s="209">
        <f>SUMIF('Годовая отчетность'!8:8,tables!O233,'Годовая отчетность'!27:27)</f>
        <v>0</v>
      </c>
      <c r="P250" s="209">
        <f>SUMIF('Годовая отчетность'!8:8,tables!P233,'Годовая отчетность'!27:27)</f>
        <v>0</v>
      </c>
      <c r="Q250" s="209">
        <f>SUMIF('Годовая отчетность'!8:8,tables!Q233,'Годовая отчетность'!27:27)</f>
        <v>0</v>
      </c>
      <c r="R250" s="209">
        <f>SUMIF('Годовая отчетность'!8:8,tables!R233,'Годовая отчетность'!27:27)</f>
        <v>0</v>
      </c>
    </row>
    <row r="251" spans="2:18">
      <c r="B251" s="175" t="s">
        <v>149</v>
      </c>
      <c r="C251" s="214" t="e">
        <f t="shared" ref="C251:R251" ca="1" si="31">C250/C234</f>
        <v>#DIV/0!</v>
      </c>
      <c r="D251" s="214" t="e">
        <f t="shared" si="31"/>
        <v>#DIV/0!</v>
      </c>
      <c r="E251" s="214" t="e">
        <f t="shared" si="31"/>
        <v>#DIV/0!</v>
      </c>
      <c r="F251" s="214" t="e">
        <f t="shared" si="31"/>
        <v>#DIV/0!</v>
      </c>
      <c r="G251" s="214" t="e">
        <f t="shared" si="31"/>
        <v>#DIV/0!</v>
      </c>
      <c r="H251" s="214" t="e">
        <f t="shared" si="31"/>
        <v>#DIV/0!</v>
      </c>
      <c r="I251" s="214" t="e">
        <f t="shared" si="31"/>
        <v>#DIV/0!</v>
      </c>
      <c r="J251" s="214" t="e">
        <f t="shared" si="31"/>
        <v>#DIV/0!</v>
      </c>
      <c r="K251" s="214" t="e">
        <f t="shared" si="31"/>
        <v>#DIV/0!</v>
      </c>
      <c r="L251" s="214" t="e">
        <f t="shared" si="31"/>
        <v>#DIV/0!</v>
      </c>
      <c r="M251" s="214" t="e">
        <f t="shared" si="31"/>
        <v>#DIV/0!</v>
      </c>
      <c r="N251" s="214" t="e">
        <f t="shared" si="31"/>
        <v>#DIV/0!</v>
      </c>
      <c r="O251" s="214" t="e">
        <f t="shared" si="31"/>
        <v>#DIV/0!</v>
      </c>
      <c r="P251" s="214" t="e">
        <f t="shared" si="31"/>
        <v>#DIV/0!</v>
      </c>
      <c r="Q251" s="214" t="e">
        <f t="shared" si="31"/>
        <v>#DIV/0!</v>
      </c>
      <c r="R251" s="214" t="e">
        <f t="shared" si="31"/>
        <v>#DIV/0!</v>
      </c>
    </row>
  </sheetData>
  <mergeCells count="47">
    <mergeCell ref="L52:L53"/>
    <mergeCell ref="M52:M53"/>
    <mergeCell ref="N52:N53"/>
    <mergeCell ref="O52:O53"/>
    <mergeCell ref="P52:P53"/>
    <mergeCell ref="B130:B133"/>
    <mergeCell ref="B134:B137"/>
    <mergeCell ref="B138:B141"/>
    <mergeCell ref="B142:B145"/>
    <mergeCell ref="B146:B148"/>
    <mergeCell ref="B3:R3"/>
    <mergeCell ref="C43:D43"/>
    <mergeCell ref="E43:F43"/>
    <mergeCell ref="B43:B44"/>
    <mergeCell ref="B126:B129"/>
    <mergeCell ref="D125:N125"/>
    <mergeCell ref="B52:B53"/>
    <mergeCell ref="C52:C53"/>
    <mergeCell ref="D52:D53"/>
    <mergeCell ref="E52:E53"/>
    <mergeCell ref="F52:F53"/>
    <mergeCell ref="G52:G53"/>
    <mergeCell ref="H52:H53"/>
    <mergeCell ref="I52:I53"/>
    <mergeCell ref="J52:J53"/>
    <mergeCell ref="K52:K53"/>
    <mergeCell ref="A174:B174"/>
    <mergeCell ref="A175:B175"/>
    <mergeCell ref="A176:B176"/>
    <mergeCell ref="A177:B177"/>
    <mergeCell ref="A178:B178"/>
    <mergeCell ref="A179:B179"/>
    <mergeCell ref="A180:B180"/>
    <mergeCell ref="A181:B181"/>
    <mergeCell ref="A182:B182"/>
    <mergeCell ref="A183:B183"/>
    <mergeCell ref="A184:B184"/>
    <mergeCell ref="A185:B185"/>
    <mergeCell ref="A186:B186"/>
    <mergeCell ref="A187:B187"/>
    <mergeCell ref="A188:B188"/>
    <mergeCell ref="A194:B194"/>
    <mergeCell ref="A189:B189"/>
    <mergeCell ref="A190:B190"/>
    <mergeCell ref="A191:B191"/>
    <mergeCell ref="A192:B192"/>
    <mergeCell ref="A193:B193"/>
  </mergeCells>
  <conditionalFormatting sqref="C11:R11">
    <cfRule type="cellIs" dxfId="53" priority="61" operator="lessThan">
      <formula>0</formula>
    </cfRule>
  </conditionalFormatting>
  <conditionalFormatting sqref="C6:R10">
    <cfRule type="cellIs" dxfId="52" priority="60" operator="lessThan">
      <formula>0</formula>
    </cfRule>
  </conditionalFormatting>
  <conditionalFormatting sqref="C13:R20">
    <cfRule type="cellIs" dxfId="51" priority="59" operator="lessThan">
      <formula>0</formula>
    </cfRule>
  </conditionalFormatting>
  <conditionalFormatting sqref="C27:R27">
    <cfRule type="cellIs" dxfId="50" priority="56" operator="lessThan">
      <formula>0</formula>
    </cfRule>
  </conditionalFormatting>
  <conditionalFormatting sqref="C28:R28">
    <cfRule type="cellIs" dxfId="49" priority="55" operator="lessThan">
      <formula>0</formula>
    </cfRule>
  </conditionalFormatting>
  <conditionalFormatting sqref="C30:R30">
    <cfRule type="cellIs" dxfId="48" priority="54" operator="lessThan">
      <formula>0</formula>
    </cfRule>
  </conditionalFormatting>
  <conditionalFormatting sqref="C32:R32">
    <cfRule type="cellIs" dxfId="47" priority="53" operator="lessThan">
      <formula>0</formula>
    </cfRule>
  </conditionalFormatting>
  <conditionalFormatting sqref="C29:R29">
    <cfRule type="cellIs" dxfId="46" priority="51" operator="lessThan">
      <formula>0</formula>
    </cfRule>
  </conditionalFormatting>
  <conditionalFormatting sqref="C31:R31">
    <cfRule type="cellIs" dxfId="45" priority="50" operator="lessThan">
      <formula>0</formula>
    </cfRule>
  </conditionalFormatting>
  <conditionalFormatting sqref="C33:R33">
    <cfRule type="cellIs" dxfId="44" priority="49" operator="lessThan">
      <formula>0</formula>
    </cfRule>
  </conditionalFormatting>
  <conditionalFormatting sqref="C37:R40">
    <cfRule type="cellIs" dxfId="43" priority="48" operator="lessThan">
      <formula>0</formula>
    </cfRule>
  </conditionalFormatting>
  <conditionalFormatting sqref="C45:F45">
    <cfRule type="cellIs" dxfId="42" priority="47" operator="lessThan">
      <formula>0</formula>
    </cfRule>
  </conditionalFormatting>
  <conditionalFormatting sqref="C64:R64">
    <cfRule type="cellIs" dxfId="41" priority="46" operator="lessThan">
      <formula>0</formula>
    </cfRule>
  </conditionalFormatting>
  <conditionalFormatting sqref="C72:R72">
    <cfRule type="cellIs" dxfId="40" priority="43" operator="lessThan">
      <formula>0</formula>
    </cfRule>
  </conditionalFormatting>
  <conditionalFormatting sqref="C65:R65">
    <cfRule type="cellIs" dxfId="39" priority="42" operator="lessThan">
      <formula>0</formula>
    </cfRule>
  </conditionalFormatting>
  <conditionalFormatting sqref="C66:R66">
    <cfRule type="cellIs" dxfId="38" priority="41" operator="lessThan">
      <formula>0</formula>
    </cfRule>
  </conditionalFormatting>
  <conditionalFormatting sqref="C68:R68">
    <cfRule type="cellIs" dxfId="37" priority="40" operator="lessThan">
      <formula>0</formula>
    </cfRule>
  </conditionalFormatting>
  <conditionalFormatting sqref="C70:R70">
    <cfRule type="cellIs" dxfId="36" priority="39" operator="lessThan">
      <formula>0</formula>
    </cfRule>
  </conditionalFormatting>
  <conditionalFormatting sqref="C67:R67">
    <cfRule type="cellIs" dxfId="35" priority="38" operator="lessThan">
      <formula>0</formula>
    </cfRule>
  </conditionalFormatting>
  <conditionalFormatting sqref="C69:R69">
    <cfRule type="cellIs" dxfId="34" priority="37" operator="lessThan">
      <formula>0</formula>
    </cfRule>
  </conditionalFormatting>
  <conditionalFormatting sqref="C71:R71">
    <cfRule type="cellIs" dxfId="33" priority="36" operator="lessThan">
      <formula>0</formula>
    </cfRule>
  </conditionalFormatting>
  <conditionalFormatting sqref="C73:R73">
    <cfRule type="cellIs" dxfId="32" priority="35" operator="lessThan">
      <formula>0</formula>
    </cfRule>
  </conditionalFormatting>
  <conditionalFormatting sqref="C77:R79">
    <cfRule type="cellIs" dxfId="31" priority="34" operator="lessThan">
      <formula>0</formula>
    </cfRule>
  </conditionalFormatting>
  <conditionalFormatting sqref="C80:R80">
    <cfRule type="cellIs" dxfId="30" priority="33" operator="lessThan">
      <formula>0</formula>
    </cfRule>
  </conditionalFormatting>
  <conditionalFormatting sqref="C97:R97">
    <cfRule type="cellIs" dxfId="29" priority="32" operator="lessThan">
      <formula>0</formula>
    </cfRule>
  </conditionalFormatting>
  <conditionalFormatting sqref="C98:R98">
    <cfRule type="cellIs" dxfId="28" priority="30" operator="lessThan">
      <formula>0</formula>
    </cfRule>
  </conditionalFormatting>
  <conditionalFormatting sqref="C100:R100">
    <cfRule type="cellIs" dxfId="27" priority="29" operator="lessThan">
      <formula>0</formula>
    </cfRule>
  </conditionalFormatting>
  <conditionalFormatting sqref="C112:R112">
    <cfRule type="cellIs" dxfId="26" priority="28" operator="lessThan">
      <formula>0</formula>
    </cfRule>
  </conditionalFormatting>
  <conditionalFormatting sqref="C115:R115">
    <cfRule type="cellIs" dxfId="25" priority="27" operator="lessThan">
      <formula>0</formula>
    </cfRule>
  </conditionalFormatting>
  <conditionalFormatting sqref="D126:N126">
    <cfRule type="cellIs" dxfId="24" priority="26" operator="lessThan">
      <formula>0</formula>
    </cfRule>
  </conditionalFormatting>
  <conditionalFormatting sqref="D130:N130">
    <cfRule type="cellIs" dxfId="23" priority="25" operator="lessThan">
      <formula>0</formula>
    </cfRule>
  </conditionalFormatting>
  <conditionalFormatting sqref="D134:N134">
    <cfRule type="cellIs" dxfId="22" priority="24" operator="lessThan">
      <formula>0</formula>
    </cfRule>
  </conditionalFormatting>
  <conditionalFormatting sqref="D138:N138">
    <cfRule type="cellIs" dxfId="21" priority="23" operator="lessThan">
      <formula>0</formula>
    </cfRule>
  </conditionalFormatting>
  <conditionalFormatting sqref="D142:N142">
    <cfRule type="cellIs" dxfId="20" priority="22" operator="lessThan">
      <formula>0</formula>
    </cfRule>
  </conditionalFormatting>
  <conditionalFormatting sqref="D146:N146">
    <cfRule type="cellIs" dxfId="19" priority="21" operator="lessThan">
      <formula>0</formula>
    </cfRule>
  </conditionalFormatting>
  <conditionalFormatting sqref="D128:N128">
    <cfRule type="cellIs" dxfId="18" priority="20" operator="equal">
      <formula>"не окупается"</formula>
    </cfRule>
  </conditionalFormatting>
  <conditionalFormatting sqref="D132:N132">
    <cfRule type="cellIs" dxfId="17" priority="19" operator="equal">
      <formula>"не окупается"</formula>
    </cfRule>
  </conditionalFormatting>
  <conditionalFormatting sqref="D136:N136">
    <cfRule type="cellIs" dxfId="16" priority="18" operator="equal">
      <formula>"не окупается"</formula>
    </cfRule>
  </conditionalFormatting>
  <conditionalFormatting sqref="D140:N140">
    <cfRule type="cellIs" dxfId="15" priority="17" operator="equal">
      <formula>"не окупается"</formula>
    </cfRule>
  </conditionalFormatting>
  <conditionalFormatting sqref="D144:N144">
    <cfRule type="cellIs" dxfId="14" priority="16" operator="equal">
      <formula>"не окупается"</formula>
    </cfRule>
  </conditionalFormatting>
  <conditionalFormatting sqref="D148:N148">
    <cfRule type="cellIs" dxfId="13" priority="15" operator="equal">
      <formula>"не окупается"</formula>
    </cfRule>
  </conditionalFormatting>
  <conditionalFormatting sqref="D127:N127">
    <cfRule type="cellIs" dxfId="12" priority="14" operator="lessThan">
      <formula>0</formula>
    </cfRule>
  </conditionalFormatting>
  <conditionalFormatting sqref="D131:N131">
    <cfRule type="cellIs" dxfId="11" priority="13" operator="lessThan">
      <formula>0</formula>
    </cfRule>
  </conditionalFormatting>
  <conditionalFormatting sqref="D135:N135">
    <cfRule type="cellIs" dxfId="10" priority="12" operator="lessThan">
      <formula>0</formula>
    </cfRule>
  </conditionalFormatting>
  <conditionalFormatting sqref="D139:N139">
    <cfRule type="cellIs" dxfId="9" priority="11" operator="lessThan">
      <formula>0</formula>
    </cfRule>
  </conditionalFormatting>
  <conditionalFormatting sqref="D143:N143">
    <cfRule type="cellIs" dxfId="8" priority="10" operator="lessThan">
      <formula>0</formula>
    </cfRule>
  </conditionalFormatting>
  <conditionalFormatting sqref="D147:N147">
    <cfRule type="cellIs" dxfId="7" priority="9" operator="lessThan">
      <formula>0</formula>
    </cfRule>
  </conditionalFormatting>
  <conditionalFormatting sqref="D129:N129">
    <cfRule type="cellIs" dxfId="6" priority="8" operator="lessThan">
      <formula>0</formula>
    </cfRule>
  </conditionalFormatting>
  <conditionalFormatting sqref="D133:N133">
    <cfRule type="cellIs" dxfId="5" priority="7" operator="lessThan">
      <formula>0</formula>
    </cfRule>
  </conditionalFormatting>
  <conditionalFormatting sqref="D137:N137">
    <cfRule type="cellIs" dxfId="4" priority="6" operator="lessThan">
      <formula>0</formula>
    </cfRule>
  </conditionalFormatting>
  <conditionalFormatting sqref="D141:N141">
    <cfRule type="cellIs" dxfId="3" priority="5" operator="lessThan">
      <formula>0</formula>
    </cfRule>
  </conditionalFormatting>
  <conditionalFormatting sqref="D145:N145">
    <cfRule type="cellIs" dxfId="2" priority="4" operator="lessThan">
      <formula>0</formula>
    </cfRule>
  </conditionalFormatting>
  <conditionalFormatting sqref="C21:R21">
    <cfRule type="cellIs" dxfId="1" priority="2" operator="lessThan">
      <formula>0</formula>
    </cfRule>
  </conditionalFormatting>
  <conditionalFormatting sqref="C22:R22">
    <cfRule type="cellIs" dxfId="0" priority="1" operator="lessThan">
      <formula>0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7">
    <tabColor rgb="FF2A2D4F"/>
  </sheetPr>
  <dimension ref="A1:AT27"/>
  <sheetViews>
    <sheetView showGridLines="0" showRowColHeaders="0" zoomScale="80" zoomScaleNormal="80" workbookViewId="0">
      <pane ySplit="5" topLeftCell="A6" activePane="bottomLeft" state="frozen"/>
      <selection activeCell="J5" sqref="J5:J6"/>
      <selection pane="bottomLeft" activeCell="B7" sqref="B7"/>
    </sheetView>
  </sheetViews>
  <sheetFormatPr defaultColWidth="0" defaultRowHeight="15" customHeight="1" zeroHeight="1"/>
  <cols>
    <col min="1" max="1" width="2.85546875" customWidth="1"/>
    <col min="2" max="2" width="50" customWidth="1"/>
    <col min="3" max="3" width="2.85546875" customWidth="1"/>
    <col min="4" max="24" width="15.7109375" hidden="1" customWidth="1"/>
    <col min="25" max="25" width="2.85546875" hidden="1" customWidth="1"/>
    <col min="26" max="30" width="15.7109375" hidden="1" customWidth="1"/>
    <col min="31" max="31" width="2.85546875" hidden="1" customWidth="1"/>
    <col min="32" max="46" width="0" hidden="1" customWidth="1"/>
    <col min="47" max="16384" width="9.140625" hidden="1"/>
  </cols>
  <sheetData>
    <row r="1" spans="2:30" ht="15" customHeight="1"/>
    <row r="2" spans="2:30"/>
    <row r="3" spans="2:30" ht="15" customHeight="1"/>
    <row r="4" spans="2:30" ht="15" customHeight="1"/>
    <row r="5" spans="2:30" ht="31.5">
      <c r="B5" s="7" t="s">
        <v>170</v>
      </c>
      <c r="C5" s="7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</row>
    <row r="6" spans="2:30" ht="15" customHeight="1"/>
    <row r="7" spans="2:30" ht="15" customHeight="1">
      <c r="B7" s="82" t="s">
        <v>360</v>
      </c>
    </row>
    <row r="8" spans="2:30" ht="15" customHeight="1">
      <c r="B8" s="82" t="s">
        <v>42</v>
      </c>
    </row>
    <row r="9" spans="2:30" ht="15" customHeight="1">
      <c r="B9" s="82" t="s">
        <v>250</v>
      </c>
    </row>
    <row r="10" spans="2:30" ht="15" customHeight="1">
      <c r="B10" s="82" t="s">
        <v>28</v>
      </c>
    </row>
    <row r="11" spans="2:30" ht="15" customHeight="1">
      <c r="B11" s="82" t="s">
        <v>1</v>
      </c>
    </row>
    <row r="12" spans="2:30" ht="15" customHeight="1">
      <c r="B12" s="82" t="s">
        <v>59</v>
      </c>
    </row>
    <row r="13" spans="2:30" ht="15" customHeight="1">
      <c r="B13" s="82" t="s">
        <v>64</v>
      </c>
    </row>
    <row r="14" spans="2:30" ht="15" customHeight="1">
      <c r="B14" s="82" t="s">
        <v>103</v>
      </c>
    </row>
    <row r="15" spans="2:30" ht="15" customHeight="1">
      <c r="B15" s="82" t="s">
        <v>334</v>
      </c>
    </row>
    <row r="16" spans="2:30" ht="15" customHeight="1">
      <c r="B16" s="82" t="s">
        <v>171</v>
      </c>
    </row>
    <row r="17" spans="2:2" ht="15" customHeight="1">
      <c r="B17" s="82" t="s">
        <v>121</v>
      </c>
    </row>
    <row r="18" spans="2:2" ht="15" customHeight="1">
      <c r="B18" s="82" t="s">
        <v>61</v>
      </c>
    </row>
    <row r="19" spans="2:2" ht="15" customHeight="1">
      <c r="B19" s="82" t="s">
        <v>63</v>
      </c>
    </row>
    <row r="20" spans="2:2" ht="15" customHeight="1">
      <c r="B20" s="82" t="s">
        <v>237</v>
      </c>
    </row>
    <row r="21" spans="2:2" ht="15" customHeight="1">
      <c r="B21" s="82" t="s">
        <v>249</v>
      </c>
    </row>
    <row r="22" spans="2:2" ht="15" customHeight="1">
      <c r="B22" s="82" t="s">
        <v>155</v>
      </c>
    </row>
    <row r="23" spans="2:2" ht="15" customHeight="1">
      <c r="B23" s="82" t="s">
        <v>127</v>
      </c>
    </row>
    <row r="24" spans="2:2" ht="15" customHeight="1">
      <c r="B24" s="82" t="s">
        <v>164</v>
      </c>
    </row>
    <row r="25" spans="2:2" ht="15" customHeight="1">
      <c r="B25" s="82" t="s">
        <v>172</v>
      </c>
    </row>
    <row r="26" spans="2:2" ht="15" customHeight="1">
      <c r="B26" s="82" t="s">
        <v>122</v>
      </c>
    </row>
    <row r="27" spans="2:2" ht="15" customHeight="1"/>
  </sheetData>
  <sheetProtection algorithmName="SHA-512" hashValue="AVvG0acZ6dnG6lpO4YflpUkchn9Jvxy2LApipY2tRG0kiArE0hUPvArOZtjIu4pPEP7KjmwBG1tnBNbj10h6OA==" saltValue="2gnKHyWfIc7unA5nF3T/Ow==" spinCount="100000" sheet="1" objects="1" scenarios="1"/>
  <dataConsolidate link="1"/>
  <hyperlinks>
    <hyperlink ref="B10" location="'Параметры займа'!A1" tooltip="Перейти на лист" display="Параметры займа"/>
    <hyperlink ref="B11" location="Предпосылки!A1" tooltip="Перейти на лист" display="Предпосылки"/>
    <hyperlink ref="B12" location="Источники!A1" tooltip="Перейти на лист" display="Источники"/>
    <hyperlink ref="B13" location="'Капитальные вложения'!A1" tooltip="Перейти на лист" display="Капитальные вложения"/>
    <hyperlink ref="B14" location="Продажи!A1" tooltip="Перейти на лист" display="Продажи"/>
    <hyperlink ref="B15" location="'Операционные затраты'!A1" tooltip="Перейти на лист" display="Операционные затраты"/>
    <hyperlink ref="B16" location="ФОТ!A1" tooltip="Перейти на лист" display="ФОТ"/>
    <hyperlink ref="B17" location="'Оборотный капитал'!A1" tooltip="Перейти на лист" display="Оборотный капитал"/>
    <hyperlink ref="B18" location="Налоги!A1" tooltip="Перейти на лист" display="Налоги"/>
    <hyperlink ref="B19" location="Финансирование!A1" tooltip="Перейти на лист" display="Финансирование"/>
    <hyperlink ref="B20" location="'Квартальная отчетность'!A1" tooltip="Перейти на лист" display="Квартальная отчетность"/>
    <hyperlink ref="B21" location="'Годовая отчетность'!A1" tooltip="Перейти на лист" display="Годовая отчетность"/>
    <hyperlink ref="B22" location="Показатели!A1" tooltip="Перейти на лист" display="Показатели"/>
    <hyperlink ref="B23" location="Чувствительность!A1" tooltip="Перейти на лист" display="Чувствительность"/>
    <hyperlink ref="B24" location="Графики!A1" tooltip="Перейти на лист" display="Графики"/>
    <hyperlink ref="B25" location="Выводы!A1" tooltip="Перейти на лист" display="Выводы"/>
    <hyperlink ref="B26" location="Проверка!A1" tooltip="Перейти на лист" display="Проверка"/>
    <hyperlink ref="B9" location="Руководство!A1" tooltip="Перейти на лист" display="Руководство"/>
    <hyperlink ref="B8" location="'Программы финансирования'!A1" tooltip="Перейти на лист" display="Программы финансирования"/>
    <hyperlink ref="B7" location="Обращение!A1" tooltip="Перейти на лист" display="Обращение"/>
  </hyperlink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2A2D4F"/>
  </sheetPr>
  <dimension ref="A1:I35"/>
  <sheetViews>
    <sheetView showGridLines="0" showRowColHeaders="0" zoomScale="80" zoomScaleNormal="80" workbookViewId="0">
      <selection activeCell="B7" sqref="B7:H35"/>
    </sheetView>
  </sheetViews>
  <sheetFormatPr defaultColWidth="0" defaultRowHeight="15" zeroHeight="1"/>
  <cols>
    <col min="1" max="1" width="2.85546875" customWidth="1"/>
    <col min="2" max="8" width="9.140625" customWidth="1"/>
    <col min="9" max="9" width="2.85546875" customWidth="1"/>
    <col min="10" max="16384" width="9.140625" hidden="1"/>
  </cols>
  <sheetData>
    <row r="1" spans="2:8"/>
    <row r="2" spans="2:8"/>
    <row r="3" spans="2:8"/>
    <row r="4" spans="2:8"/>
    <row r="5" spans="2:8">
      <c r="B5" s="378" t="s">
        <v>0</v>
      </c>
      <c r="C5" s="378"/>
      <c r="D5" s="378"/>
      <c r="E5" s="378"/>
      <c r="F5" s="378"/>
      <c r="G5" s="378"/>
      <c r="H5" s="378"/>
    </row>
    <row r="6" spans="2:8"/>
    <row r="7" spans="2:8" ht="15" customHeight="1">
      <c r="B7" s="377"/>
      <c r="C7" s="377"/>
      <c r="D7" s="377"/>
      <c r="E7" s="377"/>
      <c r="F7" s="377"/>
      <c r="G7" s="377"/>
      <c r="H7" s="377"/>
    </row>
    <row r="8" spans="2:8">
      <c r="B8" s="377"/>
      <c r="C8" s="377"/>
      <c r="D8" s="377"/>
      <c r="E8" s="377"/>
      <c r="F8" s="377"/>
      <c r="G8" s="377"/>
      <c r="H8" s="377"/>
    </row>
    <row r="9" spans="2:8">
      <c r="B9" s="377"/>
      <c r="C9" s="377"/>
      <c r="D9" s="377"/>
      <c r="E9" s="377"/>
      <c r="F9" s="377"/>
      <c r="G9" s="377"/>
      <c r="H9" s="377"/>
    </row>
    <row r="10" spans="2:8">
      <c r="B10" s="377"/>
      <c r="C10" s="377"/>
      <c r="D10" s="377"/>
      <c r="E10" s="377"/>
      <c r="F10" s="377"/>
      <c r="G10" s="377"/>
      <c r="H10" s="377"/>
    </row>
    <row r="11" spans="2:8">
      <c r="B11" s="377"/>
      <c r="C11" s="377"/>
      <c r="D11" s="377"/>
      <c r="E11" s="377"/>
      <c r="F11" s="377"/>
      <c r="G11" s="377"/>
      <c r="H11" s="377"/>
    </row>
    <row r="12" spans="2:8">
      <c r="B12" s="377"/>
      <c r="C12" s="377"/>
      <c r="D12" s="377"/>
      <c r="E12" s="377"/>
      <c r="F12" s="377"/>
      <c r="G12" s="377"/>
      <c r="H12" s="377"/>
    </row>
    <row r="13" spans="2:8">
      <c r="B13" s="377"/>
      <c r="C13" s="377"/>
      <c r="D13" s="377"/>
      <c r="E13" s="377"/>
      <c r="F13" s="377"/>
      <c r="G13" s="377"/>
      <c r="H13" s="377"/>
    </row>
    <row r="14" spans="2:8">
      <c r="B14" s="377"/>
      <c r="C14" s="377"/>
      <c r="D14" s="377"/>
      <c r="E14" s="377"/>
      <c r="F14" s="377"/>
      <c r="G14" s="377"/>
      <c r="H14" s="377"/>
    </row>
    <row r="15" spans="2:8">
      <c r="B15" s="377"/>
      <c r="C15" s="377"/>
      <c r="D15" s="377"/>
      <c r="E15" s="377"/>
      <c r="F15" s="377"/>
      <c r="G15" s="377"/>
      <c r="H15" s="377"/>
    </row>
    <row r="16" spans="2:8">
      <c r="B16" s="377"/>
      <c r="C16" s="377"/>
      <c r="D16" s="377"/>
      <c r="E16" s="377"/>
      <c r="F16" s="377"/>
      <c r="G16" s="377"/>
      <c r="H16" s="377"/>
    </row>
    <row r="17" spans="2:8">
      <c r="B17" s="377"/>
      <c r="C17" s="377"/>
      <c r="D17" s="377"/>
      <c r="E17" s="377"/>
      <c r="F17" s="377"/>
      <c r="G17" s="377"/>
      <c r="H17" s="377"/>
    </row>
    <row r="18" spans="2:8">
      <c r="B18" s="377"/>
      <c r="C18" s="377"/>
      <c r="D18" s="377"/>
      <c r="E18" s="377"/>
      <c r="F18" s="377"/>
      <c r="G18" s="377"/>
      <c r="H18" s="377"/>
    </row>
    <row r="19" spans="2:8">
      <c r="B19" s="377"/>
      <c r="C19" s="377"/>
      <c r="D19" s="377"/>
      <c r="E19" s="377"/>
      <c r="F19" s="377"/>
      <c r="G19" s="377"/>
      <c r="H19" s="377"/>
    </row>
    <row r="20" spans="2:8">
      <c r="B20" s="377"/>
      <c r="C20" s="377"/>
      <c r="D20" s="377"/>
      <c r="E20" s="377"/>
      <c r="F20" s="377"/>
      <c r="G20" s="377"/>
      <c r="H20" s="377"/>
    </row>
    <row r="21" spans="2:8">
      <c r="B21" s="377"/>
      <c r="C21" s="377"/>
      <c r="D21" s="377"/>
      <c r="E21" s="377"/>
      <c r="F21" s="377"/>
      <c r="G21" s="377"/>
      <c r="H21" s="377"/>
    </row>
    <row r="22" spans="2:8">
      <c r="B22" s="377"/>
      <c r="C22" s="377"/>
      <c r="D22" s="377"/>
      <c r="E22" s="377"/>
      <c r="F22" s="377"/>
      <c r="G22" s="377"/>
      <c r="H22" s="377"/>
    </row>
    <row r="23" spans="2:8">
      <c r="B23" s="377"/>
      <c r="C23" s="377"/>
      <c r="D23" s="377"/>
      <c r="E23" s="377"/>
      <c r="F23" s="377"/>
      <c r="G23" s="377"/>
      <c r="H23" s="377"/>
    </row>
    <row r="24" spans="2:8">
      <c r="B24" s="377"/>
      <c r="C24" s="377"/>
      <c r="D24" s="377"/>
      <c r="E24" s="377"/>
      <c r="F24" s="377"/>
      <c r="G24" s="377"/>
      <c r="H24" s="377"/>
    </row>
    <row r="25" spans="2:8">
      <c r="B25" s="377"/>
      <c r="C25" s="377"/>
      <c r="D25" s="377"/>
      <c r="E25" s="377"/>
      <c r="F25" s="377"/>
      <c r="G25" s="377"/>
      <c r="H25" s="377"/>
    </row>
    <row r="26" spans="2:8">
      <c r="B26" s="377"/>
      <c r="C26" s="377"/>
      <c r="D26" s="377"/>
      <c r="E26" s="377"/>
      <c r="F26" s="377"/>
      <c r="G26" s="377"/>
      <c r="H26" s="377"/>
    </row>
    <row r="27" spans="2:8">
      <c r="B27" s="377"/>
      <c r="C27" s="377"/>
      <c r="D27" s="377"/>
      <c r="E27" s="377"/>
      <c r="F27" s="377"/>
      <c r="G27" s="377"/>
      <c r="H27" s="377"/>
    </row>
    <row r="28" spans="2:8">
      <c r="B28" s="377"/>
      <c r="C28" s="377"/>
      <c r="D28" s="377"/>
      <c r="E28" s="377"/>
      <c r="F28" s="377"/>
      <c r="G28" s="377"/>
      <c r="H28" s="377"/>
    </row>
    <row r="29" spans="2:8">
      <c r="B29" s="377"/>
      <c r="C29" s="377"/>
      <c r="D29" s="377"/>
      <c r="E29" s="377"/>
      <c r="F29" s="377"/>
      <c r="G29" s="377"/>
      <c r="H29" s="377"/>
    </row>
    <row r="30" spans="2:8">
      <c r="B30" s="377"/>
      <c r="C30" s="377"/>
      <c r="D30" s="377"/>
      <c r="E30" s="377"/>
      <c r="F30" s="377"/>
      <c r="G30" s="377"/>
      <c r="H30" s="377"/>
    </row>
    <row r="31" spans="2:8">
      <c r="B31" s="377"/>
      <c r="C31" s="377"/>
      <c r="D31" s="377"/>
      <c r="E31" s="377"/>
      <c r="F31" s="377"/>
      <c r="G31" s="377"/>
      <c r="H31" s="377"/>
    </row>
    <row r="32" spans="2:8">
      <c r="B32" s="377"/>
      <c r="C32" s="377"/>
      <c r="D32" s="377"/>
      <c r="E32" s="377"/>
      <c r="F32" s="377"/>
      <c r="G32" s="377"/>
      <c r="H32" s="377"/>
    </row>
    <row r="33" spans="2:8" hidden="1">
      <c r="B33" s="377"/>
      <c r="C33" s="377"/>
      <c r="D33" s="377"/>
      <c r="E33" s="377"/>
      <c r="F33" s="377"/>
      <c r="G33" s="377"/>
      <c r="H33" s="377"/>
    </row>
    <row r="34" spans="2:8" hidden="1">
      <c r="B34" s="377"/>
      <c r="C34" s="377"/>
      <c r="D34" s="377"/>
      <c r="E34" s="377"/>
      <c r="F34" s="377"/>
      <c r="G34" s="377"/>
      <c r="H34" s="377"/>
    </row>
    <row r="35" spans="2:8" hidden="1">
      <c r="B35" s="377"/>
      <c r="C35" s="377"/>
      <c r="D35" s="377"/>
      <c r="E35" s="377"/>
      <c r="F35" s="377"/>
      <c r="G35" s="377"/>
      <c r="H35" s="377"/>
    </row>
  </sheetData>
  <sheetProtection algorithmName="SHA-512" hashValue="Tc99RbFznsrwP0Whf9nGIxhOvwvvRK59oYNMuYmdDwmurbdWScDpGBIzm7c3WOF99hdyNgHF/jaSjyocO4YM8Q==" saltValue="AnNarAUnpSgM7sE4b84R5w==" spinCount="100000" sheet="1" selectLockedCells="1" selectUnlockedCells="1"/>
  <mergeCells count="2">
    <mergeCell ref="B7:H35"/>
    <mergeCell ref="B5:H5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2A2D4F"/>
    <pageSetUpPr fitToPage="1"/>
  </sheetPr>
  <dimension ref="A1:AK167"/>
  <sheetViews>
    <sheetView showGridLines="0" zoomScale="85" zoomScaleNormal="85" workbookViewId="0">
      <pane xSplit="2" ySplit="5" topLeftCell="C6" activePane="bottomRight" state="frozen"/>
      <selection activeCell="B7" sqref="B7"/>
      <selection pane="topRight" activeCell="B7" sqref="B7"/>
      <selection pane="bottomLeft" activeCell="B7" sqref="B7"/>
      <selection pane="bottomRight" activeCell="B5" sqref="B5"/>
    </sheetView>
  </sheetViews>
  <sheetFormatPr defaultColWidth="0" defaultRowHeight="15" customHeight="1" zeroHeight="1"/>
  <cols>
    <col min="1" max="1" width="2.85546875" customWidth="1"/>
    <col min="2" max="2" width="44.28515625" customWidth="1"/>
    <col min="3" max="3" width="18.7109375" customWidth="1"/>
    <col min="4" max="14" width="17.7109375" customWidth="1"/>
    <col min="15" max="15" width="2.85546875" customWidth="1"/>
    <col min="16" max="28" width="15.7109375" hidden="1" customWidth="1"/>
    <col min="29" max="29" width="2.85546875" hidden="1" customWidth="1"/>
    <col min="30" max="37" width="0" hidden="1" customWidth="1"/>
    <col min="38" max="16384" width="9.140625" hidden="1"/>
  </cols>
  <sheetData>
    <row r="1" spans="2:29" ht="15" customHeight="1"/>
    <row r="2" spans="2:29"/>
    <row r="3" spans="2:29"/>
    <row r="4" spans="2:29"/>
    <row r="5" spans="2:29" ht="31.5">
      <c r="B5" s="7" t="s">
        <v>42</v>
      </c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</row>
    <row r="6" spans="2:29"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</row>
    <row r="7" spans="2:29" ht="21">
      <c r="B7" s="89" t="s">
        <v>43</v>
      </c>
      <c r="C7" s="90"/>
      <c r="D7" s="90"/>
      <c r="E7" s="90"/>
      <c r="F7" s="90"/>
      <c r="G7" s="90"/>
      <c r="H7" s="90"/>
      <c r="I7" s="90"/>
      <c r="J7" s="90"/>
      <c r="K7" s="90"/>
      <c r="L7" s="90"/>
      <c r="M7" s="90"/>
      <c r="N7" s="90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</row>
    <row r="8" spans="2:29" ht="15" customHeight="1">
      <c r="B8" s="385" t="s">
        <v>18</v>
      </c>
      <c r="C8" s="391" t="s">
        <v>23</v>
      </c>
      <c r="D8" s="391" t="s">
        <v>24</v>
      </c>
      <c r="E8" s="391" t="s">
        <v>41</v>
      </c>
      <c r="F8" s="385" t="s">
        <v>29</v>
      </c>
      <c r="G8" s="404" t="s">
        <v>45</v>
      </c>
      <c r="H8" s="405"/>
      <c r="I8" s="405"/>
      <c r="J8" s="405"/>
      <c r="K8" s="405"/>
      <c r="L8" s="405"/>
      <c r="M8" s="405"/>
      <c r="N8" s="406"/>
      <c r="O8" s="398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</row>
    <row r="9" spans="2:29" ht="15" customHeight="1">
      <c r="B9" s="386"/>
      <c r="C9" s="391"/>
      <c r="D9" s="391"/>
      <c r="E9" s="391"/>
      <c r="F9" s="386"/>
      <c r="G9" s="407"/>
      <c r="H9" s="408"/>
      <c r="I9" s="408"/>
      <c r="J9" s="408"/>
      <c r="K9" s="408"/>
      <c r="L9" s="408"/>
      <c r="M9" s="408"/>
      <c r="N9" s="409"/>
      <c r="O9" s="399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</row>
    <row r="10" spans="2:29">
      <c r="B10" s="387"/>
      <c r="C10" s="391"/>
      <c r="D10" s="391"/>
      <c r="E10" s="391"/>
      <c r="F10" s="387"/>
      <c r="G10" s="410"/>
      <c r="H10" s="411"/>
      <c r="I10" s="411"/>
      <c r="J10" s="411"/>
      <c r="K10" s="411"/>
      <c r="L10" s="411"/>
      <c r="M10" s="411"/>
      <c r="N10" s="412"/>
      <c r="O10" s="400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</row>
    <row r="11" spans="2:29" hidden="1">
      <c r="B11" s="74" t="s">
        <v>540</v>
      </c>
      <c r="C11" s="81">
        <v>50000</v>
      </c>
      <c r="D11" s="81">
        <v>500000</v>
      </c>
      <c r="E11" s="308">
        <v>36</v>
      </c>
      <c r="F11" s="203">
        <v>0.05</v>
      </c>
      <c r="G11" s="413" t="s">
        <v>541</v>
      </c>
      <c r="H11" s="414"/>
      <c r="I11" s="414"/>
      <c r="J11" s="414"/>
      <c r="K11" s="414"/>
      <c r="L11" s="414"/>
      <c r="M11" s="414"/>
      <c r="N11" s="41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</row>
    <row r="12" spans="2:29" ht="30" hidden="1">
      <c r="B12" s="74" t="s">
        <v>542</v>
      </c>
      <c r="C12" s="81">
        <v>10000</v>
      </c>
      <c r="D12" s="81">
        <v>500000</v>
      </c>
      <c r="E12" s="308">
        <v>36</v>
      </c>
      <c r="F12" s="203">
        <v>7.0000000000000007E-2</v>
      </c>
      <c r="G12" s="416" t="s">
        <v>543</v>
      </c>
      <c r="H12" s="417"/>
      <c r="I12" s="417"/>
      <c r="J12" s="417"/>
      <c r="K12" s="417"/>
      <c r="L12" s="417"/>
      <c r="M12" s="417"/>
      <c r="N12" s="418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</row>
    <row r="13" spans="2:29" ht="142.5" customHeight="1">
      <c r="B13" s="74" t="s">
        <v>21</v>
      </c>
      <c r="C13" s="220">
        <v>5000</v>
      </c>
      <c r="D13" s="220">
        <v>500000</v>
      </c>
      <c r="E13" s="221">
        <v>60</v>
      </c>
      <c r="F13" s="222">
        <v>0.05</v>
      </c>
      <c r="G13" s="401" t="s">
        <v>488</v>
      </c>
      <c r="H13" s="402"/>
      <c r="I13" s="402"/>
      <c r="J13" s="402"/>
      <c r="K13" s="402"/>
      <c r="L13" s="402"/>
      <c r="M13" s="402"/>
      <c r="N13" s="403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</row>
    <row r="14" spans="2:29" ht="142.15" customHeight="1">
      <c r="B14" s="74" t="s">
        <v>798</v>
      </c>
      <c r="C14" s="220">
        <v>50000</v>
      </c>
      <c r="D14" s="220">
        <v>300000</v>
      </c>
      <c r="E14" s="221">
        <v>36</v>
      </c>
      <c r="F14" s="222">
        <v>0.05</v>
      </c>
      <c r="G14" s="395" t="s">
        <v>799</v>
      </c>
      <c r="H14" s="396"/>
      <c r="I14" s="396"/>
      <c r="J14" s="396"/>
      <c r="K14" s="396"/>
      <c r="L14" s="396"/>
      <c r="M14" s="396"/>
      <c r="N14" s="397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</row>
    <row r="15" spans="2:29" ht="250.5" hidden="1" customHeight="1">
      <c r="B15" s="74" t="s">
        <v>778</v>
      </c>
      <c r="C15" s="220">
        <v>50000</v>
      </c>
      <c r="D15" s="220">
        <v>1000000</v>
      </c>
      <c r="E15" s="221">
        <v>60</v>
      </c>
      <c r="F15" s="222">
        <v>0.05</v>
      </c>
      <c r="G15" s="392" t="s">
        <v>780</v>
      </c>
      <c r="H15" s="393"/>
      <c r="I15" s="393"/>
      <c r="J15" s="393"/>
      <c r="K15" s="393"/>
      <c r="L15" s="393"/>
      <c r="M15" s="393"/>
      <c r="N15" s="394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</row>
    <row r="16" spans="2:29">
      <c r="B16" s="99"/>
      <c r="C16" s="90"/>
      <c r="D16" s="90"/>
      <c r="E16" s="90"/>
      <c r="F16" s="90"/>
      <c r="G16" s="90"/>
      <c r="H16" s="90"/>
      <c r="I16" s="90"/>
      <c r="J16" s="90"/>
      <c r="K16" s="90"/>
      <c r="L16" s="90"/>
      <c r="M16" s="90"/>
      <c r="N16" s="90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</row>
    <row r="17" spans="2:28" ht="21">
      <c r="B17" s="89" t="s">
        <v>44</v>
      </c>
      <c r="C17" s="90"/>
      <c r="D17" s="90"/>
      <c r="E17" s="90"/>
      <c r="F17" s="90"/>
      <c r="G17" s="90"/>
      <c r="H17" s="90"/>
      <c r="I17" s="90"/>
      <c r="J17" s="90"/>
      <c r="K17" s="90"/>
      <c r="L17" s="90"/>
      <c r="M17" s="90"/>
      <c r="N17" s="90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</row>
    <row r="18" spans="2:28" ht="15" customHeight="1">
      <c r="B18" s="385" t="s">
        <v>18</v>
      </c>
      <c r="C18" s="385" t="s">
        <v>46</v>
      </c>
      <c r="D18" s="385" t="s">
        <v>47</v>
      </c>
      <c r="E18" s="404" t="s">
        <v>45</v>
      </c>
      <c r="F18" s="405"/>
      <c r="G18" s="405"/>
      <c r="H18" s="405"/>
      <c r="I18" s="405"/>
      <c r="J18" s="406"/>
      <c r="K18" s="88"/>
      <c r="L18" s="88"/>
      <c r="M18" s="88"/>
      <c r="N18" s="88"/>
    </row>
    <row r="19" spans="2:28" ht="15" customHeight="1">
      <c r="B19" s="386"/>
      <c r="C19" s="386"/>
      <c r="D19" s="386"/>
      <c r="E19" s="407"/>
      <c r="F19" s="408"/>
      <c r="G19" s="408"/>
      <c r="H19" s="408"/>
      <c r="I19" s="408"/>
      <c r="J19" s="409"/>
      <c r="K19" s="88"/>
      <c r="L19" s="88"/>
      <c r="M19" s="88"/>
      <c r="N19" s="88"/>
    </row>
    <row r="20" spans="2:28" ht="15" customHeight="1">
      <c r="B20" s="387"/>
      <c r="C20" s="387"/>
      <c r="D20" s="387"/>
      <c r="E20" s="410"/>
      <c r="F20" s="411"/>
      <c r="G20" s="411"/>
      <c r="H20" s="411"/>
      <c r="I20" s="411"/>
      <c r="J20" s="412"/>
      <c r="K20" s="88"/>
      <c r="L20" s="88"/>
      <c r="M20" s="88"/>
      <c r="N20" s="88"/>
    </row>
    <row r="21" spans="2:28" ht="52.5" hidden="1" customHeight="1">
      <c r="B21" s="74" t="s">
        <v>540</v>
      </c>
      <c r="C21" s="203">
        <v>0.05</v>
      </c>
      <c r="D21" s="308">
        <v>36</v>
      </c>
      <c r="E21" s="379" t="s">
        <v>779</v>
      </c>
      <c r="F21" s="380"/>
      <c r="G21" s="380"/>
      <c r="H21" s="380"/>
      <c r="I21" s="380"/>
      <c r="J21" s="381"/>
      <c r="K21" s="88"/>
      <c r="L21" s="88"/>
      <c r="M21" s="88"/>
      <c r="N21" s="88"/>
    </row>
    <row r="22" spans="2:28" ht="60.75" hidden="1" customHeight="1">
      <c r="B22" s="74" t="s">
        <v>542</v>
      </c>
      <c r="C22" s="83">
        <v>7.0000000000000007E-2</v>
      </c>
      <c r="D22" s="309">
        <v>36</v>
      </c>
      <c r="E22" s="379" t="s">
        <v>779</v>
      </c>
      <c r="F22" s="380"/>
      <c r="G22" s="380"/>
      <c r="H22" s="380"/>
      <c r="I22" s="380"/>
      <c r="J22" s="381"/>
      <c r="K22" s="88"/>
      <c r="L22" s="88"/>
      <c r="M22" s="88"/>
      <c r="N22" s="88"/>
    </row>
    <row r="23" spans="2:28" ht="15" customHeight="1">
      <c r="B23" s="223" t="s">
        <v>21</v>
      </c>
      <c r="C23" s="222">
        <v>0.01</v>
      </c>
      <c r="D23" s="221">
        <v>60</v>
      </c>
      <c r="E23" s="382" t="s">
        <v>782</v>
      </c>
      <c r="F23" s="383"/>
      <c r="G23" s="383"/>
      <c r="H23" s="383"/>
      <c r="I23" s="383"/>
      <c r="J23" s="384"/>
      <c r="K23" s="88"/>
      <c r="L23" s="88"/>
      <c r="M23" s="88"/>
      <c r="N23" s="88"/>
    </row>
    <row r="24" spans="2:28" ht="51.6" customHeight="1">
      <c r="B24" s="223" t="str">
        <f>B14</f>
        <v>Формирование складских запасов для производства станкоинструментальной продукции</v>
      </c>
      <c r="C24" s="222">
        <f>F14</f>
        <v>0.05</v>
      </c>
      <c r="D24" s="221">
        <f>E14</f>
        <v>36</v>
      </c>
      <c r="E24" s="379" t="s">
        <v>779</v>
      </c>
      <c r="F24" s="380"/>
      <c r="G24" s="380"/>
      <c r="H24" s="380"/>
      <c r="I24" s="380"/>
      <c r="J24" s="381"/>
      <c r="K24" s="88"/>
      <c r="L24" s="88"/>
      <c r="M24" s="88"/>
      <c r="N24" s="88"/>
    </row>
    <row r="25" spans="2:28" ht="94.5" hidden="1" customHeight="1">
      <c r="B25" s="223" t="s">
        <v>778</v>
      </c>
      <c r="C25" s="222">
        <v>0.03</v>
      </c>
      <c r="D25" s="221">
        <v>60</v>
      </c>
      <c r="E25" s="382" t="s">
        <v>781</v>
      </c>
      <c r="F25" s="383"/>
      <c r="G25" s="383"/>
      <c r="H25" s="383"/>
      <c r="I25" s="383"/>
      <c r="J25" s="384"/>
      <c r="K25" s="88"/>
      <c r="L25" s="88"/>
      <c r="M25" s="88"/>
      <c r="N25" s="88"/>
    </row>
    <row r="26" spans="2:28" ht="15" customHeight="1">
      <c r="B26" s="88"/>
      <c r="C26" s="88"/>
      <c r="D26" s="88"/>
      <c r="E26" s="88"/>
      <c r="F26" s="88"/>
      <c r="G26" s="88"/>
      <c r="H26" s="88"/>
      <c r="I26" s="88"/>
      <c r="J26" s="88"/>
      <c r="K26" s="88"/>
      <c r="L26" s="88"/>
      <c r="M26" s="88"/>
      <c r="N26" s="88"/>
    </row>
    <row r="27" spans="2:28" ht="21">
      <c r="B27" s="89" t="s">
        <v>50</v>
      </c>
      <c r="C27" s="90"/>
      <c r="D27" s="90"/>
      <c r="E27" s="90"/>
      <c r="F27" s="90"/>
      <c r="G27" s="90"/>
      <c r="H27" s="90"/>
      <c r="I27" s="90"/>
      <c r="J27" s="90"/>
      <c r="K27" s="90"/>
      <c r="L27" s="90"/>
      <c r="M27" s="90"/>
      <c r="N27" s="90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</row>
    <row r="28" spans="2:28" ht="15" customHeight="1">
      <c r="B28" s="385" t="s">
        <v>18</v>
      </c>
      <c r="C28" s="388" t="s">
        <v>48</v>
      </c>
      <c r="D28" s="388" t="s">
        <v>49</v>
      </c>
      <c r="E28" s="388" t="s">
        <v>167</v>
      </c>
      <c r="F28" s="388" t="s">
        <v>166</v>
      </c>
      <c r="G28" s="88"/>
      <c r="H28" s="88"/>
      <c r="I28" s="88"/>
      <c r="J28" s="88"/>
      <c r="K28" s="88"/>
      <c r="L28" s="88"/>
      <c r="M28" s="88"/>
      <c r="N28" s="88"/>
    </row>
    <row r="29" spans="2:28" ht="15" customHeight="1">
      <c r="B29" s="386"/>
      <c r="C29" s="389"/>
      <c r="D29" s="389"/>
      <c r="E29" s="389"/>
      <c r="F29" s="389"/>
      <c r="G29" s="88"/>
      <c r="H29" s="88"/>
      <c r="I29" s="88"/>
      <c r="J29" s="88"/>
      <c r="K29" s="88"/>
      <c r="L29" s="88"/>
      <c r="M29" s="88"/>
      <c r="N29" s="88"/>
    </row>
    <row r="30" spans="2:28" ht="46.5" customHeight="1">
      <c r="B30" s="387"/>
      <c r="C30" s="390"/>
      <c r="D30" s="390"/>
      <c r="E30" s="390"/>
      <c r="F30" s="390"/>
      <c r="G30" s="88"/>
      <c r="H30" s="88"/>
      <c r="I30" s="88"/>
      <c r="J30" s="88"/>
      <c r="K30" s="88"/>
      <c r="L30" s="88"/>
      <c r="M30" s="88"/>
      <c r="N30" s="88"/>
    </row>
    <row r="31" spans="2:28" ht="15" hidden="1" customHeight="1">
      <c r="B31" s="74" t="str">
        <f>B11</f>
        <v>Комплектущие (2-ой заём)</v>
      </c>
      <c r="C31" s="203">
        <v>0</v>
      </c>
      <c r="D31" s="203">
        <v>0</v>
      </c>
      <c r="E31" s="81">
        <v>50000</v>
      </c>
      <c r="F31" s="81">
        <v>0</v>
      </c>
      <c r="G31" s="88"/>
      <c r="H31" s="88"/>
      <c r="I31" s="88"/>
      <c r="J31" s="88"/>
      <c r="K31" s="88"/>
      <c r="L31" s="88"/>
      <c r="M31" s="88"/>
      <c r="N31" s="88"/>
    </row>
    <row r="32" spans="2:28" ht="31.9" hidden="1" customHeight="1">
      <c r="B32" s="74" t="str">
        <f>B12</f>
        <v>Формирование компонентной и ресурсной базы</v>
      </c>
      <c r="C32" s="203">
        <v>0</v>
      </c>
      <c r="D32" s="203">
        <v>0</v>
      </c>
      <c r="E32" s="81">
        <v>10000</v>
      </c>
      <c r="F32" s="81">
        <v>0</v>
      </c>
      <c r="G32" s="88"/>
      <c r="H32" s="88"/>
      <c r="I32" s="88"/>
      <c r="J32" s="88"/>
      <c r="K32" s="88"/>
      <c r="L32" s="88"/>
      <c r="M32" s="88"/>
      <c r="N32" s="88"/>
    </row>
    <row r="33" spans="2:14" ht="15" customHeight="1">
      <c r="B33" s="74" t="s">
        <v>51</v>
      </c>
      <c r="C33" s="222">
        <v>0.45</v>
      </c>
      <c r="D33" s="222">
        <v>0.05</v>
      </c>
      <c r="E33" s="220">
        <v>20000</v>
      </c>
      <c r="F33" s="220">
        <f>C13*D33</f>
        <v>250</v>
      </c>
      <c r="G33" s="88"/>
      <c r="H33" s="88"/>
      <c r="I33" s="88"/>
      <c r="J33" s="88"/>
      <c r="K33" s="88"/>
      <c r="L33" s="88"/>
      <c r="M33" s="88"/>
      <c r="N33" s="88"/>
    </row>
    <row r="34" spans="2:14" ht="35.450000000000003" customHeight="1">
      <c r="B34" s="74" t="str">
        <f>B24</f>
        <v>Формирование складских запасов для производства станкоинструментальной продукции</v>
      </c>
      <c r="C34" s="222">
        <v>0.25</v>
      </c>
      <c r="D34" s="222">
        <v>0</v>
      </c>
      <c r="E34" s="220">
        <v>62500</v>
      </c>
      <c r="F34" s="220">
        <f>C14*D34</f>
        <v>0</v>
      </c>
      <c r="G34" s="88"/>
      <c r="H34" s="88"/>
      <c r="I34" s="88"/>
      <c r="J34" s="88"/>
      <c r="K34" s="88"/>
      <c r="L34" s="88"/>
      <c r="M34" s="88"/>
      <c r="N34" s="88"/>
    </row>
    <row r="35" spans="2:14" ht="15" hidden="1" customHeight="1">
      <c r="B35" s="223" t="s">
        <v>778</v>
      </c>
      <c r="C35" s="203">
        <v>0.2</v>
      </c>
      <c r="D35" s="203">
        <v>0</v>
      </c>
      <c r="E35" s="81">
        <f>C15/(1-C35)</f>
        <v>62500</v>
      </c>
      <c r="F35" s="81">
        <f>C15*D35</f>
        <v>0</v>
      </c>
      <c r="G35" s="88"/>
      <c r="H35" s="88"/>
      <c r="I35" s="88"/>
      <c r="J35" s="88"/>
      <c r="K35" s="88"/>
      <c r="L35" s="88"/>
      <c r="M35" s="88"/>
      <c r="N35" s="88"/>
    </row>
    <row r="36" spans="2:14" ht="15" customHeight="1">
      <c r="B36" s="88"/>
      <c r="C36" s="88"/>
      <c r="D36" s="88"/>
      <c r="E36" s="88"/>
      <c r="F36" s="88"/>
      <c r="G36" s="88"/>
      <c r="H36" s="88"/>
      <c r="I36" s="88"/>
      <c r="J36" s="88"/>
      <c r="K36" s="88"/>
      <c r="L36" s="88"/>
      <c r="M36" s="88"/>
      <c r="N36" s="88"/>
    </row>
    <row r="37" spans="2:14" ht="15" hidden="1" customHeight="1"/>
    <row r="38" spans="2:14" ht="15" hidden="1" customHeight="1"/>
    <row r="39" spans="2:14" ht="15" hidden="1" customHeight="1"/>
    <row r="40" spans="2:14" ht="15" hidden="1" customHeight="1"/>
    <row r="41" spans="2:14" ht="15" hidden="1" customHeight="1"/>
    <row r="42" spans="2:14" ht="15" hidden="1" customHeight="1"/>
    <row r="43" spans="2:14" ht="15" hidden="1" customHeight="1"/>
    <row r="44" spans="2:14" ht="15" hidden="1" customHeight="1"/>
    <row r="45" spans="2:14" ht="15" hidden="1" customHeight="1"/>
    <row r="46" spans="2:14" ht="15" hidden="1" customHeight="1"/>
    <row r="47" spans="2:14" ht="15" hidden="1" customHeight="1"/>
    <row r="48" spans="2:14" ht="15" hidden="1" customHeight="1"/>
    <row r="49" ht="15" hidden="1" customHeight="1"/>
    <row r="50" ht="15" hidden="1" customHeight="1"/>
    <row r="51" ht="15" hidden="1" customHeight="1"/>
    <row r="52" ht="15" hidden="1" customHeight="1"/>
    <row r="53" ht="15" hidden="1" customHeight="1"/>
    <row r="54" ht="15" hidden="1" customHeight="1"/>
    <row r="55" ht="15" hidden="1" customHeight="1"/>
    <row r="56" ht="15" hidden="1" customHeight="1"/>
    <row r="57" ht="15" hidden="1" customHeight="1"/>
    <row r="58" ht="15" hidden="1" customHeight="1"/>
    <row r="59" ht="15" hidden="1" customHeight="1"/>
    <row r="60" ht="15" hidden="1" customHeight="1"/>
    <row r="61" ht="15" hidden="1" customHeight="1"/>
    <row r="62" ht="15" hidden="1" customHeight="1"/>
    <row r="63" ht="15" hidden="1" customHeight="1"/>
    <row r="64" ht="15" hidden="1" customHeight="1"/>
    <row r="65" ht="15" hidden="1" customHeight="1"/>
    <row r="66" ht="15" hidden="1" customHeight="1"/>
    <row r="67" ht="15" hidden="1" customHeight="1"/>
    <row r="68" ht="15" hidden="1" customHeight="1"/>
    <row r="69" ht="15" hidden="1" customHeight="1"/>
    <row r="70" ht="15" hidden="1" customHeight="1"/>
    <row r="71" ht="15" hidden="1" customHeight="1"/>
    <row r="72" ht="15" hidden="1" customHeight="1"/>
    <row r="73" ht="15" hidden="1" customHeight="1"/>
    <row r="74" ht="15" hidden="1" customHeight="1"/>
    <row r="75" ht="15" hidden="1" customHeight="1"/>
    <row r="76" ht="15" hidden="1" customHeight="1"/>
    <row r="77" ht="15" hidden="1" customHeight="1"/>
    <row r="78" ht="15" hidden="1" customHeight="1"/>
    <row r="79" ht="15" hidden="1" customHeight="1"/>
    <row r="80" ht="15" hidden="1" customHeight="1"/>
    <row r="81" ht="15" hidden="1" customHeight="1"/>
    <row r="82" ht="15" hidden="1" customHeight="1"/>
    <row r="83" ht="15" hidden="1" customHeight="1"/>
    <row r="84" ht="15" hidden="1" customHeight="1"/>
    <row r="85" ht="15" hidden="1" customHeight="1"/>
    <row r="86" ht="15" hidden="1" customHeight="1"/>
    <row r="87" ht="15" hidden="1" customHeight="1"/>
    <row r="88" ht="15" hidden="1" customHeight="1"/>
    <row r="89" ht="15" hidden="1" customHeight="1"/>
    <row r="90" ht="15" hidden="1" customHeight="1"/>
    <row r="91" ht="15" hidden="1" customHeight="1"/>
    <row r="92" ht="15" hidden="1" customHeight="1"/>
    <row r="93" ht="15" hidden="1" customHeight="1"/>
    <row r="94" ht="15" hidden="1" customHeight="1"/>
    <row r="95" ht="15" hidden="1" customHeight="1"/>
    <row r="96" ht="15" hidden="1" customHeight="1"/>
    <row r="97" ht="15" hidden="1" customHeight="1"/>
    <row r="98" ht="15" hidden="1" customHeight="1"/>
    <row r="99" ht="15" hidden="1" customHeight="1"/>
    <row r="100" ht="15" hidden="1" customHeight="1"/>
    <row r="101" ht="15" hidden="1" customHeight="1"/>
    <row r="102" ht="15" hidden="1" customHeight="1"/>
    <row r="103" ht="15" hidden="1" customHeight="1"/>
    <row r="104" ht="15" hidden="1" customHeight="1"/>
    <row r="105" ht="15" hidden="1" customHeight="1"/>
    <row r="106" ht="15" hidden="1" customHeight="1"/>
    <row r="107" ht="15" hidden="1" customHeight="1"/>
    <row r="108" ht="15" hidden="1" customHeight="1"/>
    <row r="109" ht="15" hidden="1" customHeight="1"/>
    <row r="110" ht="15" hidden="1" customHeight="1"/>
    <row r="111" ht="15" hidden="1" customHeight="1"/>
    <row r="112" ht="15" hidden="1" customHeight="1"/>
    <row r="113" ht="15" hidden="1" customHeight="1"/>
    <row r="114" ht="15" hidden="1" customHeight="1"/>
    <row r="115" ht="15" hidden="1" customHeight="1"/>
    <row r="116" ht="15" hidden="1" customHeight="1"/>
    <row r="117" ht="15" hidden="1" customHeight="1"/>
    <row r="118" ht="15" hidden="1" customHeight="1"/>
    <row r="119" ht="15" hidden="1" customHeight="1"/>
    <row r="120" ht="15" hidden="1" customHeight="1"/>
    <row r="121" ht="15" hidden="1" customHeight="1"/>
    <row r="122" ht="15" hidden="1" customHeight="1"/>
    <row r="123" ht="15" hidden="1" customHeight="1"/>
    <row r="124" ht="15" hidden="1" customHeight="1"/>
    <row r="125" ht="15" hidden="1" customHeight="1"/>
    <row r="126" ht="15" hidden="1" customHeight="1"/>
    <row r="127" ht="15" hidden="1" customHeight="1"/>
    <row r="128" ht="15" hidden="1" customHeight="1"/>
    <row r="129" ht="15" hidden="1" customHeight="1"/>
    <row r="130" ht="15" hidden="1" customHeight="1"/>
    <row r="131" ht="15" hidden="1" customHeight="1"/>
    <row r="132" ht="15" hidden="1" customHeight="1"/>
    <row r="133" ht="15" hidden="1" customHeight="1"/>
    <row r="134" ht="15" hidden="1" customHeight="1"/>
    <row r="135" ht="15" hidden="1" customHeight="1"/>
    <row r="136" ht="15" hidden="1" customHeight="1"/>
    <row r="137" ht="15" hidden="1" customHeight="1"/>
    <row r="138" ht="15" hidden="1" customHeight="1"/>
    <row r="139" ht="15" hidden="1" customHeight="1"/>
    <row r="140" ht="15" hidden="1" customHeight="1"/>
    <row r="141" ht="15" hidden="1" customHeight="1"/>
    <row r="142" ht="15" hidden="1" customHeight="1"/>
    <row r="143" ht="15" hidden="1" customHeight="1"/>
    <row r="144" ht="15" hidden="1" customHeight="1"/>
    <row r="145" ht="15" hidden="1" customHeight="1"/>
    <row r="146" ht="15" hidden="1" customHeight="1"/>
    <row r="147" ht="15" hidden="1" customHeight="1"/>
    <row r="148" ht="15" hidden="1" customHeight="1"/>
    <row r="149" ht="15" hidden="1" customHeight="1"/>
    <row r="150" ht="15" hidden="1" customHeight="1"/>
    <row r="151" ht="15" hidden="1" customHeight="1"/>
    <row r="152" ht="15" hidden="1" customHeight="1"/>
    <row r="153" ht="15" hidden="1" customHeight="1"/>
    <row r="154" ht="15" hidden="1" customHeight="1"/>
    <row r="155" ht="15" hidden="1" customHeight="1"/>
    <row r="156" ht="15" hidden="1" customHeight="1"/>
    <row r="157" ht="15" hidden="1" customHeight="1"/>
    <row r="158" ht="15" hidden="1" customHeight="1"/>
    <row r="159" ht="15" hidden="1" customHeight="1"/>
    <row r="160" ht="15" hidden="1" customHeight="1"/>
    <row r="161" ht="15" hidden="1" customHeight="1"/>
    <row r="162" ht="15" hidden="1" customHeight="1"/>
    <row r="163" ht="15" hidden="1" customHeight="1"/>
    <row r="164" ht="15" hidden="1" customHeight="1"/>
    <row r="165" ht="15" customHeight="1"/>
    <row r="166" ht="15" customHeight="1"/>
    <row r="167" ht="15" customHeight="1"/>
  </sheetData>
  <sheetProtection algorithmName="SHA-512" hashValue="ZtfFMsHKF5di+9XNHTywgvMLsCvOoVWkMypyam4aaQYX7G4n0zgWvVbr5ZnP8c7GcB9NoH1XM4IX7tbSBw3gIQ==" saltValue="9p5BHpcxCzPNFuaqS2RZ4A==" spinCount="100000" sheet="1" objects="1" scenarios="1"/>
  <dataConsolidate link="1"/>
  <mergeCells count="26">
    <mergeCell ref="O8:O10"/>
    <mergeCell ref="G13:N13"/>
    <mergeCell ref="E18:J20"/>
    <mergeCell ref="E21:J21"/>
    <mergeCell ref="E8:E10"/>
    <mergeCell ref="G8:N10"/>
    <mergeCell ref="G11:N11"/>
    <mergeCell ref="G12:N12"/>
    <mergeCell ref="F8:F10"/>
    <mergeCell ref="E23:J23"/>
    <mergeCell ref="E22:J22"/>
    <mergeCell ref="B8:B10"/>
    <mergeCell ref="C8:C10"/>
    <mergeCell ref="D8:D10"/>
    <mergeCell ref="B18:B20"/>
    <mergeCell ref="C18:C20"/>
    <mergeCell ref="D18:D20"/>
    <mergeCell ref="G15:N15"/>
    <mergeCell ref="G14:N14"/>
    <mergeCell ref="E24:J24"/>
    <mergeCell ref="E25:J25"/>
    <mergeCell ref="B28:B30"/>
    <mergeCell ref="C28:C30"/>
    <mergeCell ref="E28:E30"/>
    <mergeCell ref="D28:D30"/>
    <mergeCell ref="F28:F30"/>
  </mergeCells>
  <pageMargins left="0.7" right="0.7" top="0.75" bottom="0.75" header="0.3" footer="0.3"/>
  <pageSetup paperSize="9" scale="25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1">
    <tabColor rgb="FF2A2D4F"/>
    <pageSetUpPr fitToPage="1"/>
  </sheetPr>
  <dimension ref="A1:AY468"/>
  <sheetViews>
    <sheetView showGridLines="0" zoomScale="80" zoomScaleNormal="80" workbookViewId="0">
      <pane xSplit="2" ySplit="5" topLeftCell="C6" activePane="bottomRight" state="frozen"/>
      <selection activeCell="B7" sqref="B7"/>
      <selection pane="topRight" activeCell="B7" sqref="B7"/>
      <selection pane="bottomLeft" activeCell="B7" sqref="B7"/>
      <selection pane="bottomRight" activeCell="B5" sqref="B5"/>
    </sheetView>
  </sheetViews>
  <sheetFormatPr defaultColWidth="0" defaultRowHeight="15" customHeight="1" zeroHeight="1"/>
  <cols>
    <col min="1" max="1" width="2.7109375" customWidth="1"/>
    <col min="2" max="2" width="50" customWidth="1"/>
    <col min="3" max="15" width="15.7109375" customWidth="1"/>
    <col min="16" max="16" width="2.7109375" customWidth="1"/>
    <col min="17" max="18" width="30" hidden="1" customWidth="1"/>
    <col min="19" max="19" width="45.7109375" hidden="1" customWidth="1"/>
    <col min="20" max="20" width="30" hidden="1" customWidth="1"/>
    <col min="21" max="21" width="2.85546875" hidden="1" customWidth="1"/>
    <col min="22" max="22" width="20" hidden="1" customWidth="1"/>
    <col min="23" max="42" width="15.7109375" hidden="1" customWidth="1"/>
    <col min="43" max="43" width="2.85546875" hidden="1" customWidth="1"/>
    <col min="44" max="51" width="0" hidden="1" customWidth="1"/>
    <col min="52" max="16384" width="9.140625" hidden="1"/>
  </cols>
  <sheetData>
    <row r="1" spans="2:42" ht="15" customHeight="1"/>
    <row r="2" spans="2:42">
      <c r="O2" s="101" t="str">
        <f>'Титульный лист'!H22</f>
        <v>Версия сокращенной ФМ: 2.3</v>
      </c>
    </row>
    <row r="3" spans="2:42">
      <c r="O3" s="100"/>
    </row>
    <row r="4" spans="2:42"/>
    <row r="5" spans="2:42" ht="31.5">
      <c r="B5" s="7" t="s">
        <v>304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6"/>
      <c r="R5" s="6"/>
      <c r="S5" s="6"/>
      <c r="T5" s="24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</row>
    <row r="6" spans="2:42" ht="15" customHeight="1"/>
    <row r="7" spans="2:42" ht="31.5">
      <c r="B7" s="94" t="s">
        <v>298</v>
      </c>
      <c r="C7" s="94"/>
      <c r="D7" s="94"/>
      <c r="E7" s="94"/>
      <c r="F7" s="94"/>
      <c r="G7" s="94"/>
      <c r="H7" s="94"/>
      <c r="I7" s="94"/>
      <c r="J7" s="94"/>
      <c r="K7" s="94"/>
      <c r="L7" s="94"/>
      <c r="M7" s="94"/>
      <c r="N7" s="94"/>
      <c r="O7" s="94"/>
      <c r="P7" s="7"/>
      <c r="Q7" s="6"/>
      <c r="R7" s="6"/>
      <c r="S7" s="6"/>
      <c r="T7" s="24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</row>
    <row r="8" spans="2:42" ht="23.25">
      <c r="B8" s="89" t="s">
        <v>383</v>
      </c>
      <c r="C8" s="90"/>
      <c r="D8" s="90"/>
      <c r="E8" s="90"/>
      <c r="F8" s="90"/>
      <c r="G8" s="90"/>
      <c r="H8" s="90"/>
      <c r="I8" s="90"/>
      <c r="J8" s="90"/>
      <c r="K8" s="90"/>
      <c r="L8" s="90"/>
      <c r="M8" s="90"/>
      <c r="N8" s="90"/>
      <c r="O8" s="90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</row>
    <row r="9" spans="2:42" ht="15" customHeight="1">
      <c r="B9" s="226" t="s">
        <v>62</v>
      </c>
      <c r="C9" s="425" t="s">
        <v>303</v>
      </c>
      <c r="D9" s="426"/>
      <c r="E9" s="426"/>
      <c r="F9" s="426"/>
      <c r="G9" s="426"/>
      <c r="H9" s="426"/>
      <c r="I9" s="426"/>
      <c r="J9" s="426"/>
      <c r="K9" s="426"/>
      <c r="L9" s="426"/>
      <c r="M9" s="426"/>
      <c r="N9" s="426"/>
      <c r="O9" s="427"/>
    </row>
    <row r="10" spans="2:42" ht="14.45" customHeight="1">
      <c r="B10" s="92" t="s">
        <v>25</v>
      </c>
      <c r="C10" s="428" t="s">
        <v>384</v>
      </c>
      <c r="D10" s="429"/>
      <c r="E10" s="429"/>
      <c r="F10" s="429"/>
      <c r="G10" s="429"/>
      <c r="H10" s="429"/>
      <c r="I10" s="429"/>
      <c r="J10" s="429"/>
      <c r="K10" s="429"/>
      <c r="L10" s="429"/>
      <c r="M10" s="429"/>
      <c r="N10" s="429"/>
      <c r="O10" s="430"/>
    </row>
    <row r="11" spans="2:42">
      <c r="B11" s="93" t="s">
        <v>319</v>
      </c>
      <c r="C11" s="422" t="s">
        <v>601</v>
      </c>
      <c r="D11" s="423"/>
      <c r="E11" s="423"/>
      <c r="F11" s="423"/>
      <c r="G11" s="423"/>
      <c r="H11" s="423"/>
      <c r="I11" s="423"/>
      <c r="J11" s="423"/>
      <c r="K11" s="423"/>
      <c r="L11" s="423"/>
      <c r="M11" s="423"/>
      <c r="N11" s="423"/>
      <c r="O11" s="424"/>
    </row>
    <row r="12" spans="2:42">
      <c r="B12" s="93" t="s">
        <v>318</v>
      </c>
      <c r="C12" s="422" t="s">
        <v>307</v>
      </c>
      <c r="D12" s="423"/>
      <c r="E12" s="423"/>
      <c r="F12" s="423"/>
      <c r="G12" s="423"/>
      <c r="H12" s="423"/>
      <c r="I12" s="423"/>
      <c r="J12" s="423"/>
      <c r="K12" s="423"/>
      <c r="L12" s="423"/>
      <c r="M12" s="423"/>
      <c r="N12" s="423"/>
      <c r="O12" s="424"/>
    </row>
    <row r="13" spans="2:42">
      <c r="B13" s="93" t="s">
        <v>305</v>
      </c>
      <c r="C13" s="422" t="s">
        <v>306</v>
      </c>
      <c r="D13" s="423"/>
      <c r="E13" s="423"/>
      <c r="F13" s="423"/>
      <c r="G13" s="423"/>
      <c r="H13" s="423"/>
      <c r="I13" s="423"/>
      <c r="J13" s="423"/>
      <c r="K13" s="423"/>
      <c r="L13" s="423"/>
      <c r="M13" s="423"/>
      <c r="N13" s="423"/>
      <c r="O13" s="424"/>
    </row>
    <row r="14" spans="2:42">
      <c r="B14" s="93" t="s">
        <v>56</v>
      </c>
      <c r="C14" s="422" t="s">
        <v>602</v>
      </c>
      <c r="D14" s="423"/>
      <c r="E14" s="423"/>
      <c r="F14" s="423"/>
      <c r="G14" s="423"/>
      <c r="H14" s="423"/>
      <c r="I14" s="423"/>
      <c r="J14" s="423"/>
      <c r="K14" s="423"/>
      <c r="L14" s="423"/>
      <c r="M14" s="423"/>
      <c r="N14" s="423"/>
      <c r="O14" s="424"/>
    </row>
    <row r="15" spans="2:42">
      <c r="B15" s="95" t="s">
        <v>408</v>
      </c>
      <c r="C15" s="422" t="s">
        <v>411</v>
      </c>
      <c r="D15" s="423"/>
      <c r="E15" s="423"/>
      <c r="F15" s="423"/>
      <c r="G15" s="423"/>
      <c r="H15" s="423"/>
      <c r="I15" s="423"/>
      <c r="J15" s="423"/>
      <c r="K15" s="423"/>
      <c r="L15" s="423"/>
      <c r="M15" s="423"/>
      <c r="N15" s="423"/>
      <c r="O15" s="424"/>
    </row>
    <row r="16" spans="2:42">
      <c r="B16" s="95" t="s">
        <v>446</v>
      </c>
      <c r="C16" s="422" t="s">
        <v>493</v>
      </c>
      <c r="D16" s="423"/>
      <c r="E16" s="423"/>
      <c r="F16" s="423"/>
      <c r="G16" s="423"/>
      <c r="H16" s="423"/>
      <c r="I16" s="423"/>
      <c r="J16" s="423"/>
      <c r="K16" s="423"/>
      <c r="L16" s="423"/>
      <c r="M16" s="423"/>
      <c r="N16" s="423"/>
      <c r="O16" s="424"/>
    </row>
    <row r="17" spans="2:42" ht="16.5" customHeight="1">
      <c r="B17" s="434" t="s">
        <v>327</v>
      </c>
      <c r="C17" s="451" t="s">
        <v>600</v>
      </c>
      <c r="D17" s="452"/>
      <c r="E17" s="452"/>
      <c r="F17" s="452"/>
      <c r="G17" s="452"/>
      <c r="H17" s="452"/>
      <c r="I17" s="452"/>
      <c r="J17" s="452"/>
      <c r="K17" s="452"/>
      <c r="L17" s="452"/>
      <c r="M17" s="452"/>
      <c r="N17" s="452"/>
      <c r="O17" s="453"/>
    </row>
    <row r="18" spans="2:42" ht="16.5" customHeight="1">
      <c r="B18" s="435"/>
      <c r="C18" s="454"/>
      <c r="D18" s="455"/>
      <c r="E18" s="455"/>
      <c r="F18" s="455"/>
      <c r="G18" s="455"/>
      <c r="H18" s="455"/>
      <c r="I18" s="455"/>
      <c r="J18" s="455"/>
      <c r="K18" s="455"/>
      <c r="L18" s="455"/>
      <c r="M18" s="455"/>
      <c r="N18" s="455"/>
      <c r="O18" s="456"/>
    </row>
    <row r="19" spans="2:42" ht="15" customHeight="1">
      <c r="B19" s="88"/>
      <c r="C19" s="88"/>
      <c r="D19" s="88"/>
      <c r="E19" s="88"/>
      <c r="F19" s="88"/>
      <c r="G19" s="88"/>
      <c r="H19" s="88"/>
      <c r="I19" s="88"/>
      <c r="J19" s="88"/>
      <c r="K19" s="88"/>
      <c r="L19" s="88"/>
      <c r="M19" s="88"/>
      <c r="N19" s="88"/>
      <c r="O19" s="88"/>
    </row>
    <row r="20" spans="2:42" ht="31.5">
      <c r="B20" s="94" t="s">
        <v>247</v>
      </c>
      <c r="C20" s="94"/>
      <c r="D20" s="94"/>
      <c r="E20" s="94"/>
      <c r="F20" s="94"/>
      <c r="G20" s="94"/>
      <c r="H20" s="94"/>
      <c r="I20" s="94"/>
      <c r="J20" s="94"/>
      <c r="K20" s="94"/>
      <c r="L20" s="94"/>
      <c r="M20" s="94"/>
      <c r="N20" s="94"/>
      <c r="O20" s="94"/>
      <c r="P20" s="7"/>
      <c r="Q20" s="6"/>
      <c r="R20" s="6"/>
      <c r="S20" s="6"/>
      <c r="T20" s="24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</row>
    <row r="21" spans="2:42" ht="21">
      <c r="B21" s="89" t="s">
        <v>214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90"/>
      <c r="N21" s="90"/>
      <c r="O21" s="90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</row>
    <row r="22" spans="2:42" ht="15" customHeight="1">
      <c r="B22" s="226" t="s">
        <v>62</v>
      </c>
      <c r="C22" s="425" t="s">
        <v>303</v>
      </c>
      <c r="D22" s="426"/>
      <c r="E22" s="426"/>
      <c r="F22" s="426"/>
      <c r="G22" s="426"/>
      <c r="H22" s="426"/>
      <c r="I22" s="426"/>
      <c r="J22" s="426"/>
      <c r="K22" s="426"/>
      <c r="L22" s="426"/>
      <c r="M22" s="426"/>
      <c r="N22" s="426"/>
      <c r="O22" s="427"/>
    </row>
    <row r="23" spans="2:42" ht="14.45" customHeight="1">
      <c r="B23" s="103" t="s">
        <v>2</v>
      </c>
      <c r="C23" s="428" t="s">
        <v>435</v>
      </c>
      <c r="D23" s="429"/>
      <c r="E23" s="429"/>
      <c r="F23" s="429"/>
      <c r="G23" s="429"/>
      <c r="H23" s="429"/>
      <c r="I23" s="429"/>
      <c r="J23" s="429"/>
      <c r="K23" s="429"/>
      <c r="L23" s="429"/>
      <c r="M23" s="429"/>
      <c r="N23" s="429"/>
      <c r="O23" s="430"/>
    </row>
    <row r="24" spans="2:42" ht="14.45" customHeight="1">
      <c r="B24" s="110" t="s">
        <v>416</v>
      </c>
      <c r="C24" s="422" t="s">
        <v>417</v>
      </c>
      <c r="D24" s="423"/>
      <c r="E24" s="423"/>
      <c r="F24" s="423"/>
      <c r="G24" s="423"/>
      <c r="H24" s="423"/>
      <c r="I24" s="423"/>
      <c r="J24" s="423"/>
      <c r="K24" s="423"/>
      <c r="L24" s="423"/>
      <c r="M24" s="423"/>
      <c r="N24" s="423"/>
      <c r="O24" s="424"/>
    </row>
    <row r="25" spans="2:42">
      <c r="B25" s="82" t="s">
        <v>160</v>
      </c>
      <c r="C25" s="422" t="s">
        <v>399</v>
      </c>
      <c r="D25" s="423"/>
      <c r="E25" s="423"/>
      <c r="F25" s="423"/>
      <c r="G25" s="423"/>
      <c r="H25" s="423"/>
      <c r="I25" s="423"/>
      <c r="J25" s="423"/>
      <c r="K25" s="423"/>
      <c r="L25" s="423"/>
      <c r="M25" s="423"/>
      <c r="N25" s="423"/>
      <c r="O25" s="424"/>
    </row>
    <row r="26" spans="2:42">
      <c r="B26" s="82" t="s">
        <v>161</v>
      </c>
      <c r="C26" s="422" t="s">
        <v>400</v>
      </c>
      <c r="D26" s="423"/>
      <c r="E26" s="423"/>
      <c r="F26" s="423"/>
      <c r="G26" s="423"/>
      <c r="H26" s="423"/>
      <c r="I26" s="423"/>
      <c r="J26" s="423"/>
      <c r="K26" s="423"/>
      <c r="L26" s="423"/>
      <c r="M26" s="423"/>
      <c r="N26" s="423"/>
      <c r="O26" s="424"/>
    </row>
    <row r="27" spans="2:42">
      <c r="B27" s="82" t="s">
        <v>490</v>
      </c>
      <c r="C27" s="422" t="s">
        <v>491</v>
      </c>
      <c r="D27" s="423"/>
      <c r="E27" s="423"/>
      <c r="F27" s="423"/>
      <c r="G27" s="423"/>
      <c r="H27" s="423"/>
      <c r="I27" s="423"/>
      <c r="J27" s="423"/>
      <c r="K27" s="423"/>
      <c r="L27" s="423"/>
      <c r="M27" s="423"/>
      <c r="N27" s="423"/>
      <c r="O27" s="424"/>
    </row>
    <row r="28" spans="2:42">
      <c r="B28" s="82" t="s">
        <v>308</v>
      </c>
      <c r="C28" s="422" t="s">
        <v>309</v>
      </c>
      <c r="D28" s="423"/>
      <c r="E28" s="423"/>
      <c r="F28" s="423"/>
      <c r="G28" s="423"/>
      <c r="H28" s="423"/>
      <c r="I28" s="423"/>
      <c r="J28" s="423"/>
      <c r="K28" s="423"/>
      <c r="L28" s="423"/>
      <c r="M28" s="423"/>
      <c r="N28" s="423"/>
      <c r="O28" s="424"/>
    </row>
    <row r="29" spans="2:42">
      <c r="B29" s="198"/>
      <c r="C29" s="200"/>
      <c r="D29" s="200"/>
      <c r="E29" s="200"/>
      <c r="F29" s="200"/>
      <c r="G29" s="200"/>
      <c r="H29" s="200"/>
      <c r="I29" s="200"/>
      <c r="J29" s="200"/>
      <c r="K29" s="200"/>
      <c r="L29" s="200"/>
      <c r="M29" s="200"/>
      <c r="N29" s="200"/>
      <c r="O29" s="200"/>
    </row>
    <row r="30" spans="2:42" ht="15" customHeight="1">
      <c r="B30" s="88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</row>
    <row r="31" spans="2:42" ht="21">
      <c r="B31" s="89" t="s">
        <v>569</v>
      </c>
      <c r="C31" s="90"/>
      <c r="D31" s="90"/>
      <c r="E31" s="90"/>
      <c r="F31" s="90"/>
      <c r="G31" s="90"/>
      <c r="H31" s="90"/>
      <c r="I31" s="90"/>
      <c r="J31" s="90"/>
      <c r="K31" s="90"/>
      <c r="L31" s="90"/>
      <c r="M31" s="90"/>
      <c r="N31" s="90"/>
      <c r="O31" s="90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</row>
    <row r="32" spans="2:42" ht="15" customHeight="1">
      <c r="B32" s="91" t="s">
        <v>568</v>
      </c>
      <c r="C32" s="88"/>
      <c r="D32" s="88"/>
      <c r="E32" s="88"/>
      <c r="F32" s="88"/>
      <c r="G32" s="88"/>
      <c r="H32" s="88"/>
      <c r="I32" s="88"/>
      <c r="J32" s="88"/>
      <c r="K32" s="88"/>
      <c r="L32" s="88"/>
      <c r="M32" s="88"/>
      <c r="N32" s="88"/>
      <c r="O32" s="88"/>
    </row>
    <row r="33" spans="2:39" ht="15" customHeight="1">
      <c r="B33" s="226" t="s">
        <v>62</v>
      </c>
      <c r="C33" s="425" t="s">
        <v>303</v>
      </c>
      <c r="D33" s="426"/>
      <c r="E33" s="426"/>
      <c r="F33" s="426"/>
      <c r="G33" s="426"/>
      <c r="H33" s="426"/>
      <c r="I33" s="426"/>
      <c r="J33" s="426"/>
      <c r="K33" s="426"/>
      <c r="L33" s="426"/>
      <c r="M33" s="426"/>
      <c r="N33" s="426"/>
      <c r="O33" s="427"/>
    </row>
    <row r="34" spans="2:39" ht="14.45" customHeight="1">
      <c r="B34" s="103" t="s">
        <v>9</v>
      </c>
      <c r="C34" s="428" t="s">
        <v>440</v>
      </c>
      <c r="D34" s="429"/>
      <c r="E34" s="429"/>
      <c r="F34" s="429"/>
      <c r="G34" s="429"/>
      <c r="H34" s="429"/>
      <c r="I34" s="429"/>
      <c r="J34" s="429"/>
      <c r="K34" s="429"/>
      <c r="L34" s="429"/>
      <c r="M34" s="429"/>
      <c r="N34" s="429"/>
      <c r="O34" s="430"/>
    </row>
    <row r="35" spans="2:39" ht="14.45" customHeight="1">
      <c r="B35" s="103" t="s">
        <v>575</v>
      </c>
      <c r="C35" s="428" t="s">
        <v>385</v>
      </c>
      <c r="D35" s="429"/>
      <c r="E35" s="429"/>
      <c r="F35" s="429"/>
      <c r="G35" s="429"/>
      <c r="H35" s="429"/>
      <c r="I35" s="429"/>
      <c r="J35" s="429"/>
      <c r="K35" s="429"/>
      <c r="L35" s="429"/>
      <c r="M35" s="429"/>
      <c r="N35" s="429"/>
      <c r="O35" s="430"/>
    </row>
    <row r="36" spans="2:39" ht="16.5" customHeight="1">
      <c r="B36" s="238" t="s">
        <v>327</v>
      </c>
      <c r="C36" s="439" t="s">
        <v>536</v>
      </c>
      <c r="D36" s="440"/>
      <c r="E36" s="440"/>
      <c r="F36" s="440"/>
      <c r="G36" s="440"/>
      <c r="H36" s="440"/>
      <c r="I36" s="440"/>
      <c r="J36" s="440"/>
      <c r="K36" s="440"/>
      <c r="L36" s="440"/>
      <c r="M36" s="440"/>
      <c r="N36" s="440"/>
      <c r="O36" s="441"/>
    </row>
    <row r="37" spans="2:39" ht="14.45" customHeight="1">
      <c r="B37" s="103" t="s">
        <v>312</v>
      </c>
      <c r="C37" s="428" t="s">
        <v>387</v>
      </c>
      <c r="D37" s="429"/>
      <c r="E37" s="429"/>
      <c r="F37" s="429"/>
      <c r="G37" s="429"/>
      <c r="H37" s="429"/>
      <c r="I37" s="429"/>
      <c r="J37" s="429"/>
      <c r="K37" s="429"/>
      <c r="L37" s="429"/>
      <c r="M37" s="429"/>
      <c r="N37" s="429"/>
      <c r="O37" s="430"/>
    </row>
    <row r="38" spans="2:39" ht="48.6" customHeight="1">
      <c r="B38" s="82" t="s">
        <v>574</v>
      </c>
      <c r="C38" s="448" t="s">
        <v>492</v>
      </c>
      <c r="D38" s="423"/>
      <c r="E38" s="423"/>
      <c r="F38" s="423"/>
      <c r="G38" s="423"/>
      <c r="H38" s="423"/>
      <c r="I38" s="423"/>
      <c r="J38" s="423"/>
      <c r="K38" s="423"/>
      <c r="L38" s="423"/>
      <c r="M38" s="423"/>
      <c r="N38" s="423"/>
      <c r="O38" s="424"/>
    </row>
    <row r="39" spans="2:39" ht="16.5" customHeight="1">
      <c r="B39" s="238" t="s">
        <v>327</v>
      </c>
      <c r="C39" s="439" t="s">
        <v>535</v>
      </c>
      <c r="D39" s="440"/>
      <c r="E39" s="440"/>
      <c r="F39" s="440"/>
      <c r="G39" s="440"/>
      <c r="H39" s="440"/>
      <c r="I39" s="440"/>
      <c r="J39" s="440"/>
      <c r="K39" s="440"/>
      <c r="L39" s="440"/>
      <c r="M39" s="440"/>
      <c r="N39" s="440"/>
      <c r="O39" s="441"/>
    </row>
    <row r="40" spans="2:39" ht="15" customHeight="1">
      <c r="B40" s="88"/>
      <c r="C40" s="88"/>
      <c r="D40" s="88"/>
      <c r="E40" s="88"/>
      <c r="F40" s="88"/>
      <c r="G40" s="88"/>
      <c r="H40" s="88"/>
      <c r="I40" s="88"/>
      <c r="J40" s="88"/>
      <c r="K40" s="88"/>
      <c r="L40" s="88"/>
      <c r="M40" s="88"/>
      <c r="N40" s="88"/>
      <c r="O40" s="88"/>
    </row>
    <row r="41" spans="2:39" ht="15" customHeight="1">
      <c r="B41" s="80" t="s">
        <v>314</v>
      </c>
      <c r="C41" s="88"/>
      <c r="D41" s="88"/>
      <c r="E41" s="88"/>
      <c r="F41" s="88"/>
      <c r="G41" s="88"/>
      <c r="H41" s="88"/>
      <c r="I41" s="88"/>
      <c r="J41" s="88"/>
      <c r="K41" s="88"/>
      <c r="L41" s="88"/>
      <c r="M41" s="88"/>
      <c r="N41" s="88"/>
      <c r="O41" s="88"/>
    </row>
    <row r="42" spans="2:39" ht="15" customHeight="1">
      <c r="B42" s="226" t="s">
        <v>62</v>
      </c>
      <c r="C42" s="425" t="s">
        <v>303</v>
      </c>
      <c r="D42" s="426"/>
      <c r="E42" s="426"/>
      <c r="F42" s="426"/>
      <c r="G42" s="426"/>
      <c r="H42" s="426"/>
      <c r="I42" s="426"/>
      <c r="J42" s="426"/>
      <c r="K42" s="426"/>
      <c r="L42" s="426"/>
      <c r="M42" s="426"/>
      <c r="N42" s="426"/>
      <c r="O42" s="427"/>
    </row>
    <row r="43" spans="2:39" ht="14.45" customHeight="1">
      <c r="B43" s="103" t="s">
        <v>313</v>
      </c>
      <c r="C43" s="428" t="s">
        <v>386</v>
      </c>
      <c r="D43" s="429"/>
      <c r="E43" s="429"/>
      <c r="F43" s="429"/>
      <c r="G43" s="429"/>
      <c r="H43" s="429"/>
      <c r="I43" s="429"/>
      <c r="J43" s="429"/>
      <c r="K43" s="429"/>
      <c r="L43" s="429"/>
      <c r="M43" s="429"/>
      <c r="N43" s="429"/>
      <c r="O43" s="430"/>
    </row>
    <row r="44" spans="2:39" ht="15" customHeight="1">
      <c r="B44" s="88"/>
      <c r="C44" s="88"/>
      <c r="D44" s="88"/>
      <c r="E44" s="88"/>
      <c r="F44" s="88"/>
      <c r="G44" s="88"/>
      <c r="H44" s="88"/>
      <c r="I44" s="88"/>
      <c r="J44" s="88"/>
      <c r="K44" s="88"/>
      <c r="L44" s="88"/>
      <c r="M44" s="88"/>
      <c r="N44" s="88"/>
      <c r="O44" s="88"/>
    </row>
    <row r="45" spans="2:39" ht="21">
      <c r="B45" s="89" t="s">
        <v>103</v>
      </c>
      <c r="C45" s="90"/>
      <c r="D45" s="90"/>
      <c r="E45" s="90"/>
      <c r="F45" s="90"/>
      <c r="G45" s="90"/>
      <c r="H45" s="90"/>
      <c r="I45" s="90"/>
      <c r="J45" s="90"/>
      <c r="K45" s="90"/>
      <c r="L45" s="90"/>
      <c r="M45" s="90"/>
      <c r="N45" s="90"/>
      <c r="O45" s="90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</row>
    <row r="46" spans="2:39" ht="15" customHeight="1">
      <c r="B46" s="91" t="s">
        <v>120</v>
      </c>
      <c r="C46" s="88"/>
      <c r="D46" s="88"/>
      <c r="E46" s="88"/>
      <c r="F46" s="88"/>
      <c r="G46" s="88"/>
      <c r="H46" s="88"/>
      <c r="I46" s="88"/>
      <c r="J46" s="88"/>
      <c r="K46" s="88"/>
      <c r="L46" s="88"/>
      <c r="M46" s="88"/>
      <c r="N46" s="88"/>
      <c r="O46" s="88"/>
    </row>
    <row r="47" spans="2:39" ht="15" customHeight="1">
      <c r="B47" s="226" t="s">
        <v>62</v>
      </c>
      <c r="C47" s="425" t="s">
        <v>303</v>
      </c>
      <c r="D47" s="426"/>
      <c r="E47" s="426"/>
      <c r="F47" s="426"/>
      <c r="G47" s="426"/>
      <c r="H47" s="426"/>
      <c r="I47" s="426"/>
      <c r="J47" s="426"/>
      <c r="K47" s="426"/>
      <c r="L47" s="426"/>
      <c r="M47" s="426"/>
      <c r="N47" s="426"/>
      <c r="O47" s="427"/>
    </row>
    <row r="48" spans="2:39" ht="14.45" customHeight="1">
      <c r="B48" s="103" t="s">
        <v>9</v>
      </c>
      <c r="C48" s="428" t="s">
        <v>388</v>
      </c>
      <c r="D48" s="429"/>
      <c r="E48" s="429"/>
      <c r="F48" s="429"/>
      <c r="G48" s="429"/>
      <c r="H48" s="429"/>
      <c r="I48" s="429"/>
      <c r="J48" s="429"/>
      <c r="K48" s="429"/>
      <c r="L48" s="429"/>
      <c r="M48" s="429"/>
      <c r="N48" s="429"/>
      <c r="O48" s="430"/>
    </row>
    <row r="49" spans="2:15">
      <c r="B49" s="82" t="s">
        <v>332</v>
      </c>
      <c r="C49" s="422" t="s">
        <v>326</v>
      </c>
      <c r="D49" s="423"/>
      <c r="E49" s="423"/>
      <c r="F49" s="423"/>
      <c r="G49" s="423"/>
      <c r="H49" s="423"/>
      <c r="I49" s="423"/>
      <c r="J49" s="423"/>
      <c r="K49" s="423"/>
      <c r="L49" s="423"/>
      <c r="M49" s="423"/>
      <c r="N49" s="423"/>
      <c r="O49" s="424"/>
    </row>
    <row r="50" spans="2:15" ht="17.25">
      <c r="B50" s="82" t="s">
        <v>162</v>
      </c>
      <c r="C50" s="422" t="s">
        <v>389</v>
      </c>
      <c r="D50" s="423"/>
      <c r="E50" s="423"/>
      <c r="F50" s="423"/>
      <c r="G50" s="423"/>
      <c r="H50" s="423"/>
      <c r="I50" s="423"/>
      <c r="J50" s="423"/>
      <c r="K50" s="423"/>
      <c r="L50" s="423"/>
      <c r="M50" s="423"/>
      <c r="N50" s="423"/>
      <c r="O50" s="424"/>
    </row>
    <row r="51" spans="2:15" ht="17.25">
      <c r="B51" s="82" t="s">
        <v>310</v>
      </c>
      <c r="C51" s="422" t="s">
        <v>390</v>
      </c>
      <c r="D51" s="423"/>
      <c r="E51" s="423"/>
      <c r="F51" s="423"/>
      <c r="G51" s="423"/>
      <c r="H51" s="423"/>
      <c r="I51" s="423"/>
      <c r="J51" s="423"/>
      <c r="K51" s="423"/>
      <c r="L51" s="423"/>
      <c r="M51" s="423"/>
      <c r="N51" s="423"/>
      <c r="O51" s="424"/>
    </row>
    <row r="52" spans="2:15" ht="17.25">
      <c r="B52" s="82" t="s">
        <v>423</v>
      </c>
      <c r="C52" s="419" t="s">
        <v>430</v>
      </c>
      <c r="D52" s="420"/>
      <c r="E52" s="420"/>
      <c r="F52" s="420"/>
      <c r="G52" s="420"/>
      <c r="H52" s="420"/>
      <c r="I52" s="420"/>
      <c r="J52" s="420"/>
      <c r="K52" s="420"/>
      <c r="L52" s="420"/>
      <c r="M52" s="420"/>
      <c r="N52" s="420"/>
      <c r="O52" s="421"/>
    </row>
    <row r="53" spans="2:15" ht="15" customHeight="1">
      <c r="B53" s="82" t="s">
        <v>325</v>
      </c>
      <c r="C53" s="422" t="s">
        <v>431</v>
      </c>
      <c r="D53" s="423"/>
      <c r="E53" s="423"/>
      <c r="F53" s="423"/>
      <c r="G53" s="423"/>
      <c r="H53" s="423"/>
      <c r="I53" s="423"/>
      <c r="J53" s="423"/>
      <c r="K53" s="423"/>
      <c r="L53" s="423"/>
      <c r="M53" s="423"/>
      <c r="N53" s="423"/>
      <c r="O53" s="424"/>
    </row>
    <row r="54" spans="2:15" ht="16.5" customHeight="1">
      <c r="B54" s="434" t="s">
        <v>327</v>
      </c>
      <c r="C54" s="459" t="s">
        <v>576</v>
      </c>
      <c r="D54" s="437"/>
      <c r="E54" s="437"/>
      <c r="F54" s="437"/>
      <c r="G54" s="437"/>
      <c r="H54" s="437"/>
      <c r="I54" s="437"/>
      <c r="J54" s="437"/>
      <c r="K54" s="437"/>
      <c r="L54" s="437"/>
      <c r="M54" s="437"/>
      <c r="N54" s="437"/>
      <c r="O54" s="438"/>
    </row>
    <row r="55" spans="2:15" ht="16.5" customHeight="1">
      <c r="B55" s="457"/>
      <c r="C55" s="460"/>
      <c r="D55" s="461"/>
      <c r="E55" s="461"/>
      <c r="F55" s="461"/>
      <c r="G55" s="461"/>
      <c r="H55" s="461"/>
      <c r="I55" s="461"/>
      <c r="J55" s="461"/>
      <c r="K55" s="461"/>
      <c r="L55" s="461"/>
      <c r="M55" s="461"/>
      <c r="N55" s="461"/>
      <c r="O55" s="462"/>
    </row>
    <row r="56" spans="2:15" ht="16.5" customHeight="1">
      <c r="B56" s="457"/>
      <c r="C56" s="460"/>
      <c r="D56" s="461"/>
      <c r="E56" s="461"/>
      <c r="F56" s="461"/>
      <c r="G56" s="461"/>
      <c r="H56" s="461"/>
      <c r="I56" s="461"/>
      <c r="J56" s="461"/>
      <c r="K56" s="461"/>
      <c r="L56" s="461"/>
      <c r="M56" s="461"/>
      <c r="N56" s="461"/>
      <c r="O56" s="462"/>
    </row>
    <row r="57" spans="2:15" ht="16.5" customHeight="1">
      <c r="B57" s="457"/>
      <c r="C57" s="460"/>
      <c r="D57" s="461"/>
      <c r="E57" s="461"/>
      <c r="F57" s="461"/>
      <c r="G57" s="461"/>
      <c r="H57" s="461"/>
      <c r="I57" s="461"/>
      <c r="J57" s="461"/>
      <c r="K57" s="461"/>
      <c r="L57" s="461"/>
      <c r="M57" s="461"/>
      <c r="N57" s="461"/>
      <c r="O57" s="462"/>
    </row>
    <row r="58" spans="2:15" ht="16.5" customHeight="1">
      <c r="B58" s="457"/>
      <c r="C58" s="460"/>
      <c r="D58" s="461"/>
      <c r="E58" s="461"/>
      <c r="F58" s="461"/>
      <c r="G58" s="461"/>
      <c r="H58" s="461"/>
      <c r="I58" s="461"/>
      <c r="J58" s="461"/>
      <c r="K58" s="461"/>
      <c r="L58" s="461"/>
      <c r="M58" s="461"/>
      <c r="N58" s="461"/>
      <c r="O58" s="462"/>
    </row>
    <row r="59" spans="2:15" ht="16.5" customHeight="1">
      <c r="B59" s="458"/>
      <c r="C59" s="463"/>
      <c r="D59" s="464"/>
      <c r="E59" s="464"/>
      <c r="F59" s="464"/>
      <c r="G59" s="464"/>
      <c r="H59" s="464"/>
      <c r="I59" s="464"/>
      <c r="J59" s="464"/>
      <c r="K59" s="464"/>
      <c r="L59" s="464"/>
      <c r="M59" s="464"/>
      <c r="N59" s="464"/>
      <c r="O59" s="465"/>
    </row>
    <row r="60" spans="2:15" ht="15" customHeight="1">
      <c r="B60" s="88"/>
      <c r="C60" s="88"/>
      <c r="D60" s="88"/>
      <c r="E60" s="88"/>
      <c r="F60" s="88"/>
      <c r="G60" s="88"/>
      <c r="H60" s="88"/>
      <c r="I60" s="88"/>
      <c r="J60" s="88"/>
      <c r="K60" s="88"/>
      <c r="L60" s="88"/>
      <c r="M60" s="88"/>
      <c r="N60" s="88"/>
      <c r="O60" s="88"/>
    </row>
    <row r="61" spans="2:15" ht="15" customHeight="1">
      <c r="B61" s="91" t="s">
        <v>328</v>
      </c>
      <c r="C61" s="88"/>
      <c r="D61" s="88"/>
      <c r="E61" s="88"/>
      <c r="F61" s="88"/>
      <c r="G61" s="88"/>
      <c r="H61" s="88"/>
      <c r="I61" s="88"/>
      <c r="J61" s="88"/>
      <c r="K61" s="88"/>
      <c r="L61" s="88"/>
      <c r="M61" s="88"/>
      <c r="N61" s="88"/>
      <c r="O61" s="88"/>
    </row>
    <row r="62" spans="2:15" ht="15" customHeight="1">
      <c r="B62" s="226" t="s">
        <v>62</v>
      </c>
      <c r="C62" s="425" t="s">
        <v>303</v>
      </c>
      <c r="D62" s="426"/>
      <c r="E62" s="426"/>
      <c r="F62" s="426"/>
      <c r="G62" s="426"/>
      <c r="H62" s="426"/>
      <c r="I62" s="426"/>
      <c r="J62" s="426"/>
      <c r="K62" s="426"/>
      <c r="L62" s="426"/>
      <c r="M62" s="426"/>
      <c r="N62" s="426"/>
      <c r="O62" s="427"/>
    </row>
    <row r="63" spans="2:15" ht="14.45" customHeight="1">
      <c r="B63" s="103" t="s">
        <v>328</v>
      </c>
      <c r="C63" s="466" t="s">
        <v>333</v>
      </c>
      <c r="D63" s="467"/>
      <c r="E63" s="467"/>
      <c r="F63" s="467"/>
      <c r="G63" s="467"/>
      <c r="H63" s="467"/>
      <c r="I63" s="467"/>
      <c r="J63" s="467"/>
      <c r="K63" s="467"/>
      <c r="L63" s="467"/>
      <c r="M63" s="467"/>
      <c r="N63" s="467"/>
      <c r="O63" s="468"/>
    </row>
    <row r="64" spans="2:15" ht="15" customHeight="1">
      <c r="B64" s="88"/>
      <c r="C64" s="88"/>
      <c r="D64" s="88"/>
      <c r="E64" s="88"/>
      <c r="F64" s="88"/>
      <c r="G64" s="88"/>
      <c r="H64" s="88"/>
      <c r="I64" s="88"/>
      <c r="J64" s="88"/>
      <c r="K64" s="88"/>
      <c r="L64" s="88"/>
      <c r="M64" s="88"/>
      <c r="N64" s="88"/>
      <c r="O64" s="88"/>
    </row>
    <row r="65" spans="2:39" ht="15" customHeight="1">
      <c r="B65" s="91" t="s">
        <v>329</v>
      </c>
      <c r="C65" s="88"/>
      <c r="D65" s="88"/>
      <c r="E65" s="88"/>
      <c r="F65" s="88"/>
      <c r="G65" s="88"/>
      <c r="H65" s="88"/>
      <c r="I65" s="88"/>
      <c r="J65" s="88"/>
      <c r="K65" s="88"/>
      <c r="L65" s="88"/>
      <c r="M65" s="88"/>
      <c r="N65" s="88"/>
      <c r="O65" s="88"/>
    </row>
    <row r="66" spans="2:39" ht="15" customHeight="1">
      <c r="B66" s="226" t="s">
        <v>62</v>
      </c>
      <c r="C66" s="425" t="s">
        <v>303</v>
      </c>
      <c r="D66" s="426"/>
      <c r="E66" s="426"/>
      <c r="F66" s="426"/>
      <c r="G66" s="426"/>
      <c r="H66" s="426"/>
      <c r="I66" s="426"/>
      <c r="J66" s="426"/>
      <c r="K66" s="426"/>
      <c r="L66" s="426"/>
      <c r="M66" s="426"/>
      <c r="N66" s="426"/>
      <c r="O66" s="427"/>
    </row>
    <row r="67" spans="2:39" ht="14.45" customHeight="1">
      <c r="B67" s="103" t="s">
        <v>330</v>
      </c>
      <c r="C67" s="466" t="s">
        <v>331</v>
      </c>
      <c r="D67" s="467"/>
      <c r="E67" s="467"/>
      <c r="F67" s="467"/>
      <c r="G67" s="467"/>
      <c r="H67" s="467"/>
      <c r="I67" s="467"/>
      <c r="J67" s="467"/>
      <c r="K67" s="467"/>
      <c r="L67" s="467"/>
      <c r="M67" s="467"/>
      <c r="N67" s="467"/>
      <c r="O67" s="468"/>
    </row>
    <row r="68" spans="2:39" ht="15" customHeight="1">
      <c r="B68" s="88"/>
      <c r="C68" s="88"/>
      <c r="D68" s="88"/>
      <c r="E68" s="88"/>
      <c r="F68" s="88"/>
      <c r="G68" s="88"/>
      <c r="H68" s="88"/>
      <c r="I68" s="88"/>
      <c r="J68" s="88"/>
      <c r="K68" s="88"/>
      <c r="L68" s="88"/>
      <c r="M68" s="88"/>
      <c r="N68" s="88"/>
      <c r="O68" s="88"/>
    </row>
    <row r="69" spans="2:39" ht="15" customHeight="1">
      <c r="B69" s="91" t="s">
        <v>406</v>
      </c>
      <c r="C69" s="88"/>
      <c r="D69" s="88"/>
      <c r="E69" s="88"/>
      <c r="F69" s="88"/>
      <c r="G69" s="88"/>
      <c r="H69" s="88"/>
      <c r="I69" s="88"/>
      <c r="J69" s="88"/>
      <c r="K69" s="88"/>
      <c r="L69" s="88"/>
      <c r="M69" s="88"/>
      <c r="N69" s="88"/>
      <c r="O69" s="88"/>
    </row>
    <row r="70" spans="2:39" ht="15" customHeight="1">
      <c r="B70" s="226" t="s">
        <v>62</v>
      </c>
      <c r="C70" s="425" t="s">
        <v>303</v>
      </c>
      <c r="D70" s="426"/>
      <c r="E70" s="426"/>
      <c r="F70" s="426"/>
      <c r="G70" s="426"/>
      <c r="H70" s="426"/>
      <c r="I70" s="426"/>
      <c r="J70" s="426"/>
      <c r="K70" s="426"/>
      <c r="L70" s="426"/>
      <c r="M70" s="426"/>
      <c r="N70" s="426"/>
      <c r="O70" s="427"/>
    </row>
    <row r="71" spans="2:39" ht="14.45" customHeight="1">
      <c r="B71" s="103" t="s">
        <v>335</v>
      </c>
      <c r="C71" s="428" t="s">
        <v>407</v>
      </c>
      <c r="D71" s="429"/>
      <c r="E71" s="429"/>
      <c r="F71" s="429"/>
      <c r="G71" s="429"/>
      <c r="H71" s="429"/>
      <c r="I71" s="429"/>
      <c r="J71" s="429"/>
      <c r="K71" s="429"/>
      <c r="L71" s="429"/>
      <c r="M71" s="429"/>
      <c r="N71" s="429"/>
      <c r="O71" s="430"/>
    </row>
    <row r="72" spans="2:39" ht="15" customHeight="1">
      <c r="B72" s="88"/>
      <c r="C72" s="88"/>
      <c r="D72" s="88"/>
      <c r="E72" s="88"/>
      <c r="F72" s="88"/>
      <c r="G72" s="88"/>
      <c r="H72" s="88"/>
      <c r="I72" s="88"/>
      <c r="J72" s="88"/>
      <c r="K72" s="88"/>
      <c r="L72" s="88"/>
      <c r="M72" s="88"/>
      <c r="N72" s="88"/>
      <c r="O72" s="88"/>
    </row>
    <row r="73" spans="2:39" ht="21">
      <c r="B73" s="89" t="s">
        <v>63</v>
      </c>
      <c r="C73" s="90"/>
      <c r="D73" s="90"/>
      <c r="E73" s="90"/>
      <c r="F73" s="90"/>
      <c r="G73" s="90"/>
      <c r="H73" s="90"/>
      <c r="I73" s="90"/>
      <c r="J73" s="90"/>
      <c r="K73" s="90"/>
      <c r="L73" s="90"/>
      <c r="M73" s="90"/>
      <c r="N73" s="90"/>
      <c r="O73" s="90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</row>
    <row r="74" spans="2:39" ht="15" customHeight="1">
      <c r="B74" s="91" t="s">
        <v>26</v>
      </c>
      <c r="C74" s="88"/>
      <c r="D74" s="88"/>
      <c r="E74" s="88"/>
      <c r="F74" s="88"/>
      <c r="G74" s="88"/>
      <c r="H74" s="88"/>
      <c r="I74" s="88"/>
      <c r="J74" s="88"/>
      <c r="K74" s="88"/>
      <c r="L74" s="88"/>
      <c r="M74" s="88"/>
      <c r="N74" s="88"/>
      <c r="O74" s="88"/>
    </row>
    <row r="75" spans="2:39" ht="15" customHeight="1">
      <c r="B75" s="80" t="s">
        <v>336</v>
      </c>
      <c r="C75" s="88"/>
      <c r="D75" s="88"/>
      <c r="E75" s="88"/>
      <c r="F75" s="88"/>
      <c r="G75" s="88"/>
      <c r="H75" s="88"/>
      <c r="I75" s="88"/>
      <c r="J75" s="88"/>
      <c r="K75" s="88"/>
      <c r="L75" s="88"/>
      <c r="M75" s="88"/>
      <c r="N75" s="88"/>
      <c r="O75" s="88"/>
    </row>
    <row r="76" spans="2:39" ht="15" customHeight="1">
      <c r="B76" s="226" t="s">
        <v>62</v>
      </c>
      <c r="C76" s="425" t="s">
        <v>303</v>
      </c>
      <c r="D76" s="426"/>
      <c r="E76" s="426"/>
      <c r="F76" s="426"/>
      <c r="G76" s="426"/>
      <c r="H76" s="426"/>
      <c r="I76" s="426"/>
      <c r="J76" s="426"/>
      <c r="K76" s="426"/>
      <c r="L76" s="426"/>
      <c r="M76" s="426"/>
      <c r="N76" s="426"/>
      <c r="O76" s="427"/>
    </row>
    <row r="77" spans="2:39" ht="14.45" customHeight="1">
      <c r="B77" s="103" t="s">
        <v>311</v>
      </c>
      <c r="C77" s="428" t="s">
        <v>337</v>
      </c>
      <c r="D77" s="429"/>
      <c r="E77" s="429"/>
      <c r="F77" s="429"/>
      <c r="G77" s="429"/>
      <c r="H77" s="429"/>
      <c r="I77" s="429"/>
      <c r="J77" s="429"/>
      <c r="K77" s="429"/>
      <c r="L77" s="429"/>
      <c r="M77" s="429"/>
      <c r="N77" s="429"/>
      <c r="O77" s="430"/>
    </row>
    <row r="78" spans="2:39" ht="15" customHeight="1">
      <c r="B78" s="88"/>
      <c r="C78" s="88"/>
      <c r="D78" s="88"/>
      <c r="E78" s="88"/>
      <c r="F78" s="88"/>
      <c r="G78" s="88"/>
      <c r="H78" s="88"/>
      <c r="I78" s="88"/>
      <c r="J78" s="88"/>
      <c r="K78" s="88"/>
      <c r="L78" s="88"/>
      <c r="M78" s="88"/>
      <c r="N78" s="88"/>
      <c r="O78" s="88"/>
    </row>
    <row r="79" spans="2:39" ht="15" customHeight="1">
      <c r="B79" s="80" t="s">
        <v>338</v>
      </c>
      <c r="C79" s="88"/>
      <c r="D79" s="88"/>
      <c r="E79" s="88"/>
      <c r="F79" s="88"/>
      <c r="G79" s="88"/>
      <c r="H79" s="88"/>
      <c r="I79" s="88"/>
      <c r="J79" s="88"/>
      <c r="K79" s="88"/>
      <c r="L79" s="88"/>
      <c r="M79" s="88"/>
      <c r="N79" s="88"/>
      <c r="O79" s="88"/>
    </row>
    <row r="80" spans="2:39" ht="15" customHeight="1">
      <c r="B80" s="226" t="s">
        <v>62</v>
      </c>
      <c r="C80" s="425" t="s">
        <v>303</v>
      </c>
      <c r="D80" s="426"/>
      <c r="E80" s="426"/>
      <c r="F80" s="426"/>
      <c r="G80" s="426"/>
      <c r="H80" s="426"/>
      <c r="I80" s="426"/>
      <c r="J80" s="426"/>
      <c r="K80" s="426"/>
      <c r="L80" s="426"/>
      <c r="M80" s="426"/>
      <c r="N80" s="426"/>
      <c r="O80" s="427"/>
    </row>
    <row r="81" spans="2:31" ht="14.45" customHeight="1">
      <c r="B81" s="103" t="s">
        <v>311</v>
      </c>
      <c r="C81" s="428" t="s">
        <v>339</v>
      </c>
      <c r="D81" s="429"/>
      <c r="E81" s="429"/>
      <c r="F81" s="429"/>
      <c r="G81" s="429"/>
      <c r="H81" s="429"/>
      <c r="I81" s="429"/>
      <c r="J81" s="429"/>
      <c r="K81" s="429"/>
      <c r="L81" s="429"/>
      <c r="M81" s="429"/>
      <c r="N81" s="429"/>
      <c r="O81" s="430"/>
    </row>
    <row r="82" spans="2:31" ht="15" customHeight="1">
      <c r="B82" s="88"/>
      <c r="C82" s="88"/>
      <c r="D82" s="88"/>
      <c r="E82" s="88"/>
      <c r="F82" s="88"/>
      <c r="G82" s="88"/>
      <c r="H82" s="88"/>
      <c r="I82" s="88"/>
      <c r="J82" s="88"/>
      <c r="K82" s="88"/>
      <c r="L82" s="88"/>
      <c r="M82" s="88"/>
      <c r="N82" s="88"/>
      <c r="O82" s="88"/>
    </row>
    <row r="83" spans="2:31" ht="15.75">
      <c r="B83" s="91" t="s">
        <v>256</v>
      </c>
      <c r="C83" s="90"/>
      <c r="D83" s="90"/>
      <c r="E83" s="90"/>
      <c r="F83" s="90"/>
      <c r="G83" s="90"/>
      <c r="H83" s="90"/>
      <c r="I83" s="90"/>
      <c r="J83" s="90"/>
      <c r="K83" s="90"/>
      <c r="L83" s="90"/>
      <c r="M83" s="90"/>
      <c r="N83" s="90"/>
      <c r="O83" s="90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</row>
    <row r="84" spans="2:31" ht="15" customHeight="1">
      <c r="B84" s="80" t="s">
        <v>54</v>
      </c>
      <c r="C84" s="88"/>
      <c r="D84" s="88"/>
      <c r="E84" s="88"/>
      <c r="F84" s="88"/>
      <c r="G84" s="88"/>
      <c r="H84" s="88"/>
      <c r="I84" s="88"/>
      <c r="J84" s="88"/>
      <c r="K84" s="88"/>
      <c r="L84" s="88"/>
      <c r="M84" s="88"/>
      <c r="N84" s="88"/>
      <c r="O84" s="88"/>
    </row>
    <row r="85" spans="2:31" ht="15" customHeight="1">
      <c r="B85" s="226" t="s">
        <v>62</v>
      </c>
      <c r="C85" s="425" t="s">
        <v>303</v>
      </c>
      <c r="D85" s="426"/>
      <c r="E85" s="426"/>
      <c r="F85" s="426"/>
      <c r="G85" s="426"/>
      <c r="H85" s="426"/>
      <c r="I85" s="426"/>
      <c r="J85" s="426"/>
      <c r="K85" s="426"/>
      <c r="L85" s="426"/>
      <c r="M85" s="426"/>
      <c r="N85" s="426"/>
      <c r="O85" s="427"/>
    </row>
    <row r="86" spans="2:31" ht="14.45" customHeight="1">
      <c r="B86" s="103" t="s">
        <v>9</v>
      </c>
      <c r="C86" s="428" t="s">
        <v>347</v>
      </c>
      <c r="D86" s="429"/>
      <c r="E86" s="429"/>
      <c r="F86" s="429"/>
      <c r="G86" s="429"/>
      <c r="H86" s="429"/>
      <c r="I86" s="429"/>
      <c r="J86" s="429"/>
      <c r="K86" s="429"/>
      <c r="L86" s="429"/>
      <c r="M86" s="429"/>
      <c r="N86" s="429"/>
      <c r="O86" s="430"/>
    </row>
    <row r="87" spans="2:31">
      <c r="B87" s="82" t="s">
        <v>340</v>
      </c>
      <c r="C87" s="422" t="s">
        <v>341</v>
      </c>
      <c r="D87" s="423"/>
      <c r="E87" s="423"/>
      <c r="F87" s="423"/>
      <c r="G87" s="423"/>
      <c r="H87" s="423"/>
      <c r="I87" s="423"/>
      <c r="J87" s="423"/>
      <c r="K87" s="423"/>
      <c r="L87" s="423"/>
      <c r="M87" s="423"/>
      <c r="N87" s="423"/>
      <c r="O87" s="424"/>
    </row>
    <row r="88" spans="2:31">
      <c r="B88" s="82" t="s">
        <v>336</v>
      </c>
      <c r="C88" s="422" t="s">
        <v>342</v>
      </c>
      <c r="D88" s="423"/>
      <c r="E88" s="423"/>
      <c r="F88" s="423"/>
      <c r="G88" s="423"/>
      <c r="H88" s="423"/>
      <c r="I88" s="423"/>
      <c r="J88" s="423"/>
      <c r="K88" s="423"/>
      <c r="L88" s="423"/>
      <c r="M88" s="423"/>
      <c r="N88" s="423"/>
      <c r="O88" s="424"/>
    </row>
    <row r="89" spans="2:31" ht="15" customHeight="1">
      <c r="B89" s="88"/>
      <c r="C89" s="88"/>
      <c r="D89" s="88"/>
      <c r="E89" s="88"/>
      <c r="F89" s="88"/>
      <c r="G89" s="88"/>
      <c r="H89" s="88"/>
      <c r="I89" s="88"/>
      <c r="J89" s="88"/>
      <c r="K89" s="88"/>
      <c r="L89" s="88"/>
      <c r="M89" s="88"/>
      <c r="N89" s="88"/>
      <c r="O89" s="88"/>
    </row>
    <row r="90" spans="2:31" ht="15" customHeight="1">
      <c r="B90" s="80" t="s">
        <v>343</v>
      </c>
      <c r="C90" s="88"/>
      <c r="D90" s="88"/>
      <c r="E90" s="88"/>
      <c r="F90" s="88"/>
      <c r="G90" s="88"/>
      <c r="H90" s="88"/>
      <c r="I90" s="88"/>
      <c r="J90" s="88"/>
      <c r="K90" s="88"/>
      <c r="L90" s="88"/>
      <c r="M90" s="88"/>
      <c r="N90" s="88"/>
      <c r="O90" s="88"/>
    </row>
    <row r="91" spans="2:31" ht="15" customHeight="1">
      <c r="B91" s="226" t="s">
        <v>62</v>
      </c>
      <c r="C91" s="425" t="s">
        <v>303</v>
      </c>
      <c r="D91" s="426"/>
      <c r="E91" s="426"/>
      <c r="F91" s="426"/>
      <c r="G91" s="426"/>
      <c r="H91" s="426"/>
      <c r="I91" s="426"/>
      <c r="J91" s="426"/>
      <c r="K91" s="426"/>
      <c r="L91" s="426"/>
      <c r="M91" s="426"/>
      <c r="N91" s="426"/>
      <c r="O91" s="427"/>
    </row>
    <row r="92" spans="2:31" ht="14.45" customHeight="1">
      <c r="B92" s="103" t="s">
        <v>15</v>
      </c>
      <c r="C92" s="428" t="s">
        <v>344</v>
      </c>
      <c r="D92" s="429"/>
      <c r="E92" s="429"/>
      <c r="F92" s="429"/>
      <c r="G92" s="429"/>
      <c r="H92" s="429"/>
      <c r="I92" s="429"/>
      <c r="J92" s="429"/>
      <c r="K92" s="429"/>
      <c r="L92" s="429"/>
      <c r="M92" s="429"/>
      <c r="N92" s="429"/>
      <c r="O92" s="430"/>
    </row>
    <row r="93" spans="2:31" ht="14.45" customHeight="1">
      <c r="B93" s="82" t="s">
        <v>16</v>
      </c>
      <c r="C93" s="422" t="s">
        <v>345</v>
      </c>
      <c r="D93" s="423"/>
      <c r="E93" s="423"/>
      <c r="F93" s="423"/>
      <c r="G93" s="423"/>
      <c r="H93" s="423"/>
      <c r="I93" s="423"/>
      <c r="J93" s="423"/>
      <c r="K93" s="423"/>
      <c r="L93" s="423"/>
      <c r="M93" s="423"/>
      <c r="N93" s="423"/>
      <c r="O93" s="424"/>
    </row>
    <row r="94" spans="2:31" ht="16.5" customHeight="1">
      <c r="B94" s="238" t="s">
        <v>327</v>
      </c>
      <c r="C94" s="439" t="s">
        <v>534</v>
      </c>
      <c r="D94" s="440"/>
      <c r="E94" s="440"/>
      <c r="F94" s="440"/>
      <c r="G94" s="440"/>
      <c r="H94" s="440"/>
      <c r="I94" s="440"/>
      <c r="J94" s="440"/>
      <c r="K94" s="440"/>
      <c r="L94" s="440"/>
      <c r="M94" s="440"/>
      <c r="N94" s="440"/>
      <c r="O94" s="441"/>
    </row>
    <row r="95" spans="2:31" ht="15" customHeight="1">
      <c r="B95" s="88"/>
      <c r="C95" s="88"/>
      <c r="D95" s="88"/>
      <c r="E95" s="88"/>
      <c r="F95" s="88"/>
      <c r="G95" s="88"/>
      <c r="H95" s="88"/>
      <c r="I95" s="88"/>
      <c r="J95" s="88"/>
      <c r="K95" s="88"/>
      <c r="L95" s="88"/>
      <c r="M95" s="88"/>
      <c r="N95" s="88"/>
      <c r="O95" s="88"/>
    </row>
    <row r="96" spans="2:31" ht="15" customHeight="1">
      <c r="B96" s="91" t="s">
        <v>402</v>
      </c>
      <c r="C96" s="88"/>
      <c r="D96" s="88"/>
      <c r="E96" s="88"/>
      <c r="F96" s="88"/>
      <c r="G96" s="88"/>
      <c r="H96" s="88"/>
      <c r="I96" s="88"/>
      <c r="J96" s="88"/>
      <c r="K96" s="88"/>
      <c r="L96" s="88"/>
      <c r="M96" s="88"/>
      <c r="N96" s="88"/>
      <c r="O96" s="88"/>
    </row>
    <row r="97" spans="2:15" ht="15" customHeight="1">
      <c r="B97" s="80" t="s">
        <v>54</v>
      </c>
      <c r="C97" s="88"/>
      <c r="D97" s="88"/>
      <c r="E97" s="88"/>
      <c r="F97" s="88"/>
      <c r="G97" s="88"/>
      <c r="H97" s="88"/>
      <c r="I97" s="88"/>
      <c r="J97" s="88"/>
      <c r="K97" s="88"/>
      <c r="L97" s="88"/>
      <c r="M97" s="88"/>
      <c r="N97" s="88"/>
      <c r="O97" s="88"/>
    </row>
    <row r="98" spans="2:15" ht="15" customHeight="1">
      <c r="B98" s="226" t="s">
        <v>62</v>
      </c>
      <c r="C98" s="425" t="s">
        <v>303</v>
      </c>
      <c r="D98" s="426"/>
      <c r="E98" s="426"/>
      <c r="F98" s="426"/>
      <c r="G98" s="426"/>
      <c r="H98" s="426"/>
      <c r="I98" s="426"/>
      <c r="J98" s="426"/>
      <c r="K98" s="426"/>
      <c r="L98" s="426"/>
      <c r="M98" s="426"/>
      <c r="N98" s="426"/>
      <c r="O98" s="427"/>
    </row>
    <row r="99" spans="2:15" ht="14.45" customHeight="1">
      <c r="B99" s="103" t="s">
        <v>9</v>
      </c>
      <c r="C99" s="428" t="s">
        <v>346</v>
      </c>
      <c r="D99" s="429"/>
      <c r="E99" s="429"/>
      <c r="F99" s="429"/>
      <c r="G99" s="429"/>
      <c r="H99" s="429"/>
      <c r="I99" s="429"/>
      <c r="J99" s="429"/>
      <c r="K99" s="429"/>
      <c r="L99" s="429"/>
      <c r="M99" s="429"/>
      <c r="N99" s="429"/>
      <c r="O99" s="430"/>
    </row>
    <row r="100" spans="2:15">
      <c r="B100" s="82" t="s">
        <v>340</v>
      </c>
      <c r="C100" s="422" t="s">
        <v>348</v>
      </c>
      <c r="D100" s="423"/>
      <c r="E100" s="423"/>
      <c r="F100" s="423"/>
      <c r="G100" s="423"/>
      <c r="H100" s="423"/>
      <c r="I100" s="423"/>
      <c r="J100" s="423"/>
      <c r="K100" s="423"/>
      <c r="L100" s="423"/>
      <c r="M100" s="423"/>
      <c r="N100" s="423"/>
      <c r="O100" s="424"/>
    </row>
    <row r="101" spans="2:15">
      <c r="B101" s="82" t="s">
        <v>336</v>
      </c>
      <c r="C101" s="422" t="s">
        <v>342</v>
      </c>
      <c r="D101" s="423"/>
      <c r="E101" s="423"/>
      <c r="F101" s="423"/>
      <c r="G101" s="423"/>
      <c r="H101" s="423"/>
      <c r="I101" s="423"/>
      <c r="J101" s="423"/>
      <c r="K101" s="423"/>
      <c r="L101" s="423"/>
      <c r="M101" s="423"/>
      <c r="N101" s="423"/>
      <c r="O101" s="424"/>
    </row>
    <row r="102" spans="2:15" ht="15" customHeight="1">
      <c r="B102" s="88"/>
      <c r="C102" s="88"/>
      <c r="D102" s="88"/>
      <c r="E102" s="88"/>
      <c r="F102" s="88"/>
      <c r="G102" s="88"/>
      <c r="H102" s="88"/>
      <c r="I102" s="88"/>
      <c r="J102" s="88"/>
      <c r="K102" s="88"/>
      <c r="L102" s="88"/>
      <c r="M102" s="88"/>
      <c r="N102" s="88"/>
      <c r="O102" s="88"/>
    </row>
    <row r="103" spans="2:15" ht="15" customHeight="1">
      <c r="B103" s="80" t="s">
        <v>343</v>
      </c>
      <c r="C103" s="88"/>
      <c r="D103" s="88"/>
      <c r="E103" s="88"/>
      <c r="F103" s="88"/>
      <c r="G103" s="88"/>
      <c r="H103" s="88"/>
      <c r="I103" s="88"/>
      <c r="J103" s="88"/>
      <c r="K103" s="88"/>
      <c r="L103" s="88"/>
      <c r="M103" s="88"/>
      <c r="N103" s="88"/>
      <c r="O103" s="88"/>
    </row>
    <row r="104" spans="2:15" ht="15" customHeight="1">
      <c r="B104" s="226" t="s">
        <v>62</v>
      </c>
      <c r="C104" s="425" t="s">
        <v>303</v>
      </c>
      <c r="D104" s="426"/>
      <c r="E104" s="426"/>
      <c r="F104" s="426"/>
      <c r="G104" s="426"/>
      <c r="H104" s="426"/>
      <c r="I104" s="426"/>
      <c r="J104" s="426"/>
      <c r="K104" s="426"/>
      <c r="L104" s="426"/>
      <c r="M104" s="426"/>
      <c r="N104" s="426"/>
      <c r="O104" s="427"/>
    </row>
    <row r="105" spans="2:15" ht="14.45" customHeight="1">
      <c r="B105" s="103" t="s">
        <v>57</v>
      </c>
      <c r="C105" s="428" t="s">
        <v>344</v>
      </c>
      <c r="D105" s="429"/>
      <c r="E105" s="429"/>
      <c r="F105" s="429"/>
      <c r="G105" s="429"/>
      <c r="H105" s="429"/>
      <c r="I105" s="429"/>
      <c r="J105" s="429"/>
      <c r="K105" s="429"/>
      <c r="L105" s="429"/>
      <c r="M105" s="429"/>
      <c r="N105" s="429"/>
      <c r="O105" s="430"/>
    </row>
    <row r="106" spans="2:15" ht="14.45" customHeight="1">
      <c r="B106" s="82" t="s">
        <v>58</v>
      </c>
      <c r="C106" s="422" t="s">
        <v>345</v>
      </c>
      <c r="D106" s="423"/>
      <c r="E106" s="423"/>
      <c r="F106" s="423"/>
      <c r="G106" s="423"/>
      <c r="H106" s="423"/>
      <c r="I106" s="423"/>
      <c r="J106" s="423"/>
      <c r="K106" s="423"/>
      <c r="L106" s="423"/>
      <c r="M106" s="423"/>
      <c r="N106" s="423"/>
      <c r="O106" s="424"/>
    </row>
    <row r="107" spans="2:15" ht="16.5" customHeight="1">
      <c r="B107" s="238" t="s">
        <v>327</v>
      </c>
      <c r="C107" s="439" t="s">
        <v>534</v>
      </c>
      <c r="D107" s="440"/>
      <c r="E107" s="440"/>
      <c r="F107" s="440"/>
      <c r="G107" s="440"/>
      <c r="H107" s="440"/>
      <c r="I107" s="440"/>
      <c r="J107" s="440"/>
      <c r="K107" s="440"/>
      <c r="L107" s="440"/>
      <c r="M107" s="440"/>
      <c r="N107" s="440"/>
      <c r="O107" s="441"/>
    </row>
    <row r="108" spans="2:15" ht="15" customHeight="1">
      <c r="B108" s="88"/>
      <c r="C108" s="88"/>
      <c r="D108" s="88"/>
      <c r="E108" s="88"/>
      <c r="F108" s="88"/>
      <c r="G108" s="88"/>
      <c r="H108" s="88"/>
      <c r="I108" s="88"/>
      <c r="J108" s="88"/>
      <c r="K108" s="88"/>
      <c r="L108" s="88"/>
      <c r="M108" s="88"/>
      <c r="N108" s="88"/>
      <c r="O108" s="88"/>
    </row>
    <row r="109" spans="2:15" ht="15" customHeight="1">
      <c r="B109" s="91" t="s">
        <v>577</v>
      </c>
      <c r="C109" s="88"/>
      <c r="D109" s="88"/>
      <c r="E109" s="88"/>
      <c r="F109" s="88"/>
      <c r="G109" s="88"/>
      <c r="H109" s="88"/>
      <c r="I109" s="88"/>
      <c r="J109" s="88"/>
      <c r="K109" s="88"/>
      <c r="L109" s="88"/>
      <c r="M109" s="88"/>
      <c r="N109" s="88"/>
      <c r="O109" s="88"/>
    </row>
    <row r="110" spans="2:15" ht="15" customHeight="1">
      <c r="B110" s="80" t="s">
        <v>54</v>
      </c>
      <c r="C110" s="88"/>
      <c r="D110" s="88"/>
      <c r="E110" s="88"/>
      <c r="F110" s="88"/>
      <c r="G110" s="88"/>
      <c r="H110" s="88"/>
      <c r="I110" s="88"/>
      <c r="J110" s="88"/>
      <c r="K110" s="88"/>
      <c r="L110" s="88"/>
      <c r="M110" s="88"/>
      <c r="N110" s="88"/>
      <c r="O110" s="88"/>
    </row>
    <row r="111" spans="2:15" ht="15" customHeight="1">
      <c r="B111" s="321" t="s">
        <v>62</v>
      </c>
      <c r="C111" s="425" t="s">
        <v>303</v>
      </c>
      <c r="D111" s="426"/>
      <c r="E111" s="426"/>
      <c r="F111" s="426"/>
      <c r="G111" s="426"/>
      <c r="H111" s="426"/>
      <c r="I111" s="426"/>
      <c r="J111" s="426"/>
      <c r="K111" s="426"/>
      <c r="L111" s="426"/>
      <c r="M111" s="426"/>
      <c r="N111" s="426"/>
      <c r="O111" s="427"/>
    </row>
    <row r="112" spans="2:15" ht="14.45" customHeight="1">
      <c r="B112" s="197" t="s">
        <v>9</v>
      </c>
      <c r="C112" s="428" t="s">
        <v>578</v>
      </c>
      <c r="D112" s="429"/>
      <c r="E112" s="429"/>
      <c r="F112" s="429"/>
      <c r="G112" s="429"/>
      <c r="H112" s="429"/>
      <c r="I112" s="429"/>
      <c r="J112" s="429"/>
      <c r="K112" s="429"/>
      <c r="L112" s="429"/>
      <c r="M112" s="429"/>
      <c r="N112" s="429"/>
      <c r="O112" s="430"/>
    </row>
    <row r="113" spans="2:39">
      <c r="B113" s="82" t="s">
        <v>553</v>
      </c>
      <c r="C113" s="422" t="s">
        <v>579</v>
      </c>
      <c r="D113" s="423"/>
      <c r="E113" s="423"/>
      <c r="F113" s="423"/>
      <c r="G113" s="423"/>
      <c r="H113" s="423"/>
      <c r="I113" s="423"/>
      <c r="J113" s="423"/>
      <c r="K113" s="423"/>
      <c r="L113" s="423"/>
      <c r="M113" s="423"/>
      <c r="N113" s="423"/>
      <c r="O113" s="424"/>
    </row>
    <row r="114" spans="2:39" ht="15" customHeight="1">
      <c r="B114" s="88"/>
      <c r="C114" s="88"/>
      <c r="D114" s="88"/>
      <c r="E114" s="88"/>
      <c r="F114" s="88"/>
      <c r="G114" s="88"/>
      <c r="H114" s="88"/>
      <c r="I114" s="88"/>
      <c r="J114" s="88"/>
      <c r="K114" s="88"/>
      <c r="L114" s="88"/>
      <c r="M114" s="88"/>
      <c r="N114" s="88"/>
      <c r="O114" s="88"/>
    </row>
    <row r="115" spans="2:39" ht="15" customHeight="1">
      <c r="B115" s="80" t="s">
        <v>343</v>
      </c>
      <c r="C115" s="88"/>
      <c r="D115" s="88"/>
      <c r="E115" s="88"/>
      <c r="F115" s="88"/>
      <c r="G115" s="88"/>
      <c r="H115" s="88"/>
      <c r="I115" s="88"/>
      <c r="J115" s="88"/>
      <c r="K115" s="88"/>
      <c r="L115" s="88"/>
      <c r="M115" s="88"/>
      <c r="N115" s="88"/>
      <c r="O115" s="88"/>
    </row>
    <row r="116" spans="2:39" ht="15" customHeight="1">
      <c r="B116" s="321" t="s">
        <v>62</v>
      </c>
      <c r="C116" s="425" t="s">
        <v>303</v>
      </c>
      <c r="D116" s="426"/>
      <c r="E116" s="426"/>
      <c r="F116" s="426"/>
      <c r="G116" s="426"/>
      <c r="H116" s="426"/>
      <c r="I116" s="426"/>
      <c r="J116" s="426"/>
      <c r="K116" s="426"/>
      <c r="L116" s="426"/>
      <c r="M116" s="426"/>
      <c r="N116" s="426"/>
      <c r="O116" s="427"/>
    </row>
    <row r="117" spans="2:39" ht="14.45" customHeight="1">
      <c r="B117" s="197" t="s">
        <v>550</v>
      </c>
      <c r="C117" s="428" t="s">
        <v>580</v>
      </c>
      <c r="D117" s="429"/>
      <c r="E117" s="429"/>
      <c r="F117" s="429"/>
      <c r="G117" s="429"/>
      <c r="H117" s="429"/>
      <c r="I117" s="429"/>
      <c r="J117" s="429"/>
      <c r="K117" s="429"/>
      <c r="L117" s="429"/>
      <c r="M117" s="429"/>
      <c r="N117" s="429"/>
      <c r="O117" s="430"/>
    </row>
    <row r="118" spans="2:39" ht="14.45" customHeight="1">
      <c r="B118" s="82" t="s">
        <v>549</v>
      </c>
      <c r="C118" s="422" t="s">
        <v>581</v>
      </c>
      <c r="D118" s="423"/>
      <c r="E118" s="423"/>
      <c r="F118" s="423"/>
      <c r="G118" s="423"/>
      <c r="H118" s="423"/>
      <c r="I118" s="423"/>
      <c r="J118" s="423"/>
      <c r="K118" s="423"/>
      <c r="L118" s="423"/>
      <c r="M118" s="423"/>
      <c r="N118" s="423"/>
      <c r="O118" s="424"/>
    </row>
    <row r="119" spans="2:39" ht="16.5" customHeight="1">
      <c r="B119" s="322" t="s">
        <v>327</v>
      </c>
      <c r="C119" s="439" t="s">
        <v>534</v>
      </c>
      <c r="D119" s="440"/>
      <c r="E119" s="440"/>
      <c r="F119" s="440"/>
      <c r="G119" s="440"/>
      <c r="H119" s="440"/>
      <c r="I119" s="440"/>
      <c r="J119" s="440"/>
      <c r="K119" s="440"/>
      <c r="L119" s="440"/>
      <c r="M119" s="440"/>
      <c r="N119" s="440"/>
      <c r="O119" s="441"/>
    </row>
    <row r="120" spans="2:39" ht="15" customHeight="1">
      <c r="B120" s="88"/>
      <c r="C120" s="88"/>
      <c r="D120" s="88"/>
      <c r="E120" s="88"/>
      <c r="F120" s="88"/>
      <c r="G120" s="88"/>
      <c r="H120" s="88"/>
      <c r="I120" s="88"/>
      <c r="J120" s="88"/>
      <c r="K120" s="88"/>
      <c r="L120" s="88"/>
      <c r="M120" s="88"/>
      <c r="N120" s="88"/>
      <c r="O120" s="88"/>
    </row>
    <row r="121" spans="2:39" ht="15" customHeight="1">
      <c r="B121" s="91" t="str">
        <f>"Заёмное финансирование: заём "&amp;IF(ISNUMBER(SEARCH("РФРП",Программа)),"ФРП и РФРП","ФРП")</f>
        <v>Заёмное финансирование: заём ФРП</v>
      </c>
      <c r="C121" s="88"/>
      <c r="D121" s="88"/>
      <c r="E121" s="88"/>
      <c r="F121" s="88"/>
      <c r="G121" s="88"/>
      <c r="H121" s="88"/>
      <c r="I121" s="88"/>
      <c r="J121" s="88"/>
      <c r="K121" s="88"/>
      <c r="L121" s="88"/>
      <c r="M121" s="88"/>
      <c r="N121" s="88"/>
      <c r="O121" s="88"/>
    </row>
    <row r="122" spans="2:39" ht="15" customHeight="1">
      <c r="B122" s="80" t="str">
        <f>"График привлечения и погашения средств "&amp;IF(ISNUMBER(SEARCH("РФРП",Программа)),"ФРП и РФРП","ФРП")&amp;" в проект"</f>
        <v>График привлечения и погашения средств ФРП в проект</v>
      </c>
      <c r="C122" s="88"/>
      <c r="D122" s="88"/>
      <c r="E122" s="88"/>
      <c r="F122" s="88"/>
      <c r="G122" s="88"/>
      <c r="H122" s="88"/>
      <c r="I122" s="88"/>
      <c r="J122" s="88"/>
      <c r="K122" s="88"/>
      <c r="L122" s="88"/>
      <c r="M122" s="88"/>
      <c r="N122" s="88"/>
      <c r="O122" s="88"/>
    </row>
    <row r="123" spans="2:39" ht="15" customHeight="1">
      <c r="B123" s="226" t="s">
        <v>62</v>
      </c>
      <c r="C123" s="425" t="s">
        <v>303</v>
      </c>
      <c r="D123" s="426"/>
      <c r="E123" s="426"/>
      <c r="F123" s="426"/>
      <c r="G123" s="426"/>
      <c r="H123" s="426"/>
      <c r="I123" s="426"/>
      <c r="J123" s="426"/>
      <c r="K123" s="426"/>
      <c r="L123" s="426"/>
      <c r="M123" s="426"/>
      <c r="N123" s="426"/>
      <c r="O123" s="427"/>
    </row>
    <row r="124" spans="2:39" ht="14.45" customHeight="1">
      <c r="B124" s="103" t="s">
        <v>405</v>
      </c>
      <c r="C124" s="428" t="s">
        <v>760</v>
      </c>
      <c r="D124" s="429"/>
      <c r="E124" s="429"/>
      <c r="F124" s="429"/>
      <c r="G124" s="429"/>
      <c r="H124" s="429"/>
      <c r="I124" s="429"/>
      <c r="J124" s="429"/>
      <c r="K124" s="429"/>
      <c r="L124" s="429"/>
      <c r="M124" s="429"/>
      <c r="N124" s="429"/>
      <c r="O124" s="430"/>
    </row>
    <row r="125" spans="2:39" ht="15" customHeight="1">
      <c r="B125" s="88"/>
      <c r="C125" s="88"/>
      <c r="D125" s="88"/>
      <c r="E125" s="88"/>
      <c r="F125" s="88"/>
      <c r="G125" s="88"/>
      <c r="H125" s="88"/>
      <c r="I125" s="88"/>
      <c r="J125" s="88"/>
      <c r="K125" s="88"/>
      <c r="L125" s="88"/>
      <c r="M125" s="88"/>
      <c r="N125" s="88"/>
      <c r="O125" s="88"/>
    </row>
    <row r="126" spans="2:39" ht="21">
      <c r="B126" s="89" t="s">
        <v>60</v>
      </c>
      <c r="C126" s="90"/>
      <c r="D126" s="90"/>
      <c r="E126" s="90"/>
      <c r="F126" s="90"/>
      <c r="G126" s="90"/>
      <c r="H126" s="90"/>
      <c r="I126" s="90"/>
      <c r="J126" s="90"/>
      <c r="K126" s="90"/>
      <c r="L126" s="90"/>
      <c r="M126" s="90"/>
      <c r="N126" s="90"/>
      <c r="O126" s="90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  <c r="AE126" s="5"/>
      <c r="AF126" s="5"/>
      <c r="AG126" s="5"/>
      <c r="AH126" s="5"/>
      <c r="AI126" s="5"/>
      <c r="AJ126" s="5"/>
      <c r="AK126" s="5"/>
      <c r="AL126" s="5"/>
      <c r="AM126" s="5"/>
    </row>
    <row r="127" spans="2:39" ht="15" customHeight="1">
      <c r="B127" s="91" t="s">
        <v>158</v>
      </c>
      <c r="C127" s="88"/>
      <c r="D127" s="88"/>
      <c r="E127" s="88"/>
      <c r="F127" s="88"/>
      <c r="G127" s="88"/>
      <c r="H127" s="88"/>
      <c r="I127" s="88"/>
      <c r="J127" s="88"/>
      <c r="K127" s="88"/>
      <c r="L127" s="88"/>
      <c r="M127" s="88"/>
      <c r="N127" s="88"/>
      <c r="O127" s="88"/>
    </row>
    <row r="128" spans="2:39" ht="15" customHeight="1">
      <c r="B128" s="226" t="s">
        <v>62</v>
      </c>
      <c r="C128" s="425" t="s">
        <v>303</v>
      </c>
      <c r="D128" s="426"/>
      <c r="E128" s="426"/>
      <c r="F128" s="426"/>
      <c r="G128" s="426"/>
      <c r="H128" s="426"/>
      <c r="I128" s="426"/>
      <c r="J128" s="426"/>
      <c r="K128" s="426"/>
      <c r="L128" s="426"/>
      <c r="M128" s="426"/>
      <c r="N128" s="426"/>
      <c r="O128" s="427"/>
    </row>
    <row r="129" spans="2:15" ht="14.45" customHeight="1">
      <c r="B129" s="103" t="s">
        <v>351</v>
      </c>
      <c r="C129" s="428" t="s">
        <v>582</v>
      </c>
      <c r="D129" s="429"/>
      <c r="E129" s="429"/>
      <c r="F129" s="429"/>
      <c r="G129" s="429"/>
      <c r="H129" s="429"/>
      <c r="I129" s="429"/>
      <c r="J129" s="429"/>
      <c r="K129" s="429"/>
      <c r="L129" s="429"/>
      <c r="M129" s="429"/>
      <c r="N129" s="429"/>
      <c r="O129" s="430"/>
    </row>
    <row r="130" spans="2:15" ht="16.5" customHeight="1">
      <c r="B130" s="238" t="s">
        <v>327</v>
      </c>
      <c r="C130" s="439" t="s">
        <v>533</v>
      </c>
      <c r="D130" s="440"/>
      <c r="E130" s="440"/>
      <c r="F130" s="440"/>
      <c r="G130" s="440"/>
      <c r="H130" s="440"/>
      <c r="I130" s="440"/>
      <c r="J130" s="440"/>
      <c r="K130" s="440"/>
      <c r="L130" s="440"/>
      <c r="M130" s="440"/>
      <c r="N130" s="440"/>
      <c r="O130" s="441"/>
    </row>
    <row r="131" spans="2:15" ht="15" customHeight="1">
      <c r="B131" s="88"/>
      <c r="C131" s="88"/>
      <c r="D131" s="88"/>
      <c r="E131" s="88"/>
      <c r="F131" s="88"/>
      <c r="G131" s="88"/>
      <c r="H131" s="88"/>
      <c r="I131" s="88"/>
      <c r="J131" s="88"/>
      <c r="K131" s="88"/>
      <c r="L131" s="88"/>
      <c r="M131" s="88"/>
      <c r="N131" s="88"/>
      <c r="O131" s="88"/>
    </row>
    <row r="132" spans="2:15" ht="21">
      <c r="B132" s="89" t="s">
        <v>230</v>
      </c>
      <c r="C132" s="88"/>
      <c r="D132" s="88"/>
      <c r="E132" s="88"/>
      <c r="F132" s="88"/>
      <c r="G132" s="88"/>
      <c r="H132" s="88"/>
      <c r="I132" s="88"/>
      <c r="J132" s="88"/>
      <c r="K132" s="88"/>
      <c r="L132" s="88"/>
      <c r="M132" s="88"/>
      <c r="N132" s="88"/>
      <c r="O132" s="88"/>
    </row>
    <row r="133" spans="2:15" ht="15" customHeight="1">
      <c r="B133" s="80" t="s">
        <v>583</v>
      </c>
      <c r="C133" s="88"/>
      <c r="D133" s="88"/>
      <c r="E133" s="88"/>
      <c r="F133" s="88"/>
      <c r="G133" s="88"/>
      <c r="H133" s="88"/>
      <c r="I133" s="88"/>
      <c r="J133" s="88"/>
      <c r="K133" s="88"/>
      <c r="L133" s="88"/>
      <c r="M133" s="88"/>
      <c r="N133" s="88"/>
      <c r="O133" s="88"/>
    </row>
    <row r="134" spans="2:15" ht="15" customHeight="1">
      <c r="B134" s="226" t="s">
        <v>62</v>
      </c>
      <c r="C134" s="425" t="s">
        <v>303</v>
      </c>
      <c r="D134" s="426"/>
      <c r="E134" s="426"/>
      <c r="F134" s="426"/>
      <c r="G134" s="426"/>
      <c r="H134" s="426"/>
      <c r="I134" s="426"/>
      <c r="J134" s="426"/>
      <c r="K134" s="426"/>
      <c r="L134" s="426"/>
      <c r="M134" s="426"/>
      <c r="N134" s="426"/>
      <c r="O134" s="427"/>
    </row>
    <row r="135" spans="2:15" ht="15" customHeight="1">
      <c r="B135" s="74" t="s">
        <v>87</v>
      </c>
      <c r="C135" s="428" t="s">
        <v>761</v>
      </c>
      <c r="D135" s="429"/>
      <c r="E135" s="429"/>
      <c r="F135" s="429"/>
      <c r="G135" s="429"/>
      <c r="H135" s="429"/>
      <c r="I135" s="429"/>
      <c r="J135" s="429"/>
      <c r="K135" s="429"/>
      <c r="L135" s="429"/>
      <c r="M135" s="429"/>
      <c r="N135" s="429"/>
      <c r="O135" s="430"/>
    </row>
    <row r="136" spans="2:15" ht="15" customHeight="1">
      <c r="B136" s="98" t="s">
        <v>368</v>
      </c>
      <c r="C136" s="422" t="s">
        <v>762</v>
      </c>
      <c r="D136" s="423"/>
      <c r="E136" s="423"/>
      <c r="F136" s="423"/>
      <c r="G136" s="423"/>
      <c r="H136" s="423"/>
      <c r="I136" s="423"/>
      <c r="J136" s="423"/>
      <c r="K136" s="423"/>
      <c r="L136" s="423"/>
      <c r="M136" s="423"/>
      <c r="N136" s="423"/>
      <c r="O136" s="424"/>
    </row>
    <row r="137" spans="2:15" ht="15" customHeight="1">
      <c r="B137" s="97" t="s">
        <v>93</v>
      </c>
      <c r="C137" s="422" t="s">
        <v>763</v>
      </c>
      <c r="D137" s="423"/>
      <c r="E137" s="423"/>
      <c r="F137" s="423"/>
      <c r="G137" s="423"/>
      <c r="H137" s="423"/>
      <c r="I137" s="423"/>
      <c r="J137" s="423"/>
      <c r="K137" s="423"/>
      <c r="L137" s="423"/>
      <c r="M137" s="423"/>
      <c r="N137" s="423"/>
      <c r="O137" s="424"/>
    </row>
    <row r="138" spans="2:15" ht="15" customHeight="1">
      <c r="B138" s="97" t="s">
        <v>131</v>
      </c>
      <c r="C138" s="422" t="s">
        <v>764</v>
      </c>
      <c r="D138" s="423"/>
      <c r="E138" s="423"/>
      <c r="F138" s="423"/>
      <c r="G138" s="423"/>
      <c r="H138" s="423"/>
      <c r="I138" s="423"/>
      <c r="J138" s="423"/>
      <c r="K138" s="423"/>
      <c r="L138" s="423"/>
      <c r="M138" s="423"/>
      <c r="N138" s="423"/>
      <c r="O138" s="424"/>
    </row>
    <row r="139" spans="2:15" ht="15" customHeight="1">
      <c r="B139" s="97" t="s">
        <v>97</v>
      </c>
      <c r="C139" s="422" t="s">
        <v>765</v>
      </c>
      <c r="D139" s="423"/>
      <c r="E139" s="423"/>
      <c r="F139" s="423"/>
      <c r="G139" s="423"/>
      <c r="H139" s="423"/>
      <c r="I139" s="423"/>
      <c r="J139" s="423"/>
      <c r="K139" s="423"/>
      <c r="L139" s="423"/>
      <c r="M139" s="423"/>
      <c r="N139" s="423"/>
      <c r="O139" s="424"/>
    </row>
    <row r="140" spans="2:15" ht="15" customHeight="1">
      <c r="B140" s="97" t="s">
        <v>99</v>
      </c>
      <c r="C140" s="422" t="s">
        <v>766</v>
      </c>
      <c r="D140" s="423"/>
      <c r="E140" s="423"/>
      <c r="F140" s="423"/>
      <c r="G140" s="423"/>
      <c r="H140" s="423"/>
      <c r="I140" s="423"/>
      <c r="J140" s="423"/>
      <c r="K140" s="423"/>
      <c r="L140" s="423"/>
      <c r="M140" s="423"/>
      <c r="N140" s="423"/>
      <c r="O140" s="424"/>
    </row>
    <row r="141" spans="2:15" ht="15" customHeight="1">
      <c r="B141" s="97" t="s">
        <v>129</v>
      </c>
      <c r="C141" s="422" t="s">
        <v>767</v>
      </c>
      <c r="D141" s="423"/>
      <c r="E141" s="423"/>
      <c r="F141" s="423"/>
      <c r="G141" s="423"/>
      <c r="H141" s="423"/>
      <c r="I141" s="423"/>
      <c r="J141" s="423"/>
      <c r="K141" s="423"/>
      <c r="L141" s="423"/>
      <c r="M141" s="423"/>
      <c r="N141" s="423"/>
      <c r="O141" s="424"/>
    </row>
    <row r="142" spans="2:15" ht="16.5" customHeight="1">
      <c r="B142" s="434" t="s">
        <v>327</v>
      </c>
      <c r="C142" s="436" t="s">
        <v>532</v>
      </c>
      <c r="D142" s="437"/>
      <c r="E142" s="437"/>
      <c r="F142" s="437"/>
      <c r="G142" s="437"/>
      <c r="H142" s="437"/>
      <c r="I142" s="437"/>
      <c r="J142" s="437"/>
      <c r="K142" s="437"/>
      <c r="L142" s="437"/>
      <c r="M142" s="437"/>
      <c r="N142" s="437"/>
      <c r="O142" s="438"/>
    </row>
    <row r="143" spans="2:15" ht="16.5" customHeight="1">
      <c r="B143" s="457"/>
      <c r="C143" s="460"/>
      <c r="D143" s="461"/>
      <c r="E143" s="461"/>
      <c r="F143" s="461"/>
      <c r="G143" s="461"/>
      <c r="H143" s="461"/>
      <c r="I143" s="461"/>
      <c r="J143" s="461"/>
      <c r="K143" s="461"/>
      <c r="L143" s="461"/>
      <c r="M143" s="461"/>
      <c r="N143" s="461"/>
      <c r="O143" s="462"/>
    </row>
    <row r="144" spans="2:15" ht="16.5" customHeight="1">
      <c r="B144" s="457"/>
      <c r="C144" s="460"/>
      <c r="D144" s="461"/>
      <c r="E144" s="461"/>
      <c r="F144" s="461"/>
      <c r="G144" s="461"/>
      <c r="H144" s="461"/>
      <c r="I144" s="461"/>
      <c r="J144" s="461"/>
      <c r="K144" s="461"/>
      <c r="L144" s="461"/>
      <c r="M144" s="461"/>
      <c r="N144" s="461"/>
      <c r="O144" s="462"/>
    </row>
    <row r="145" spans="2:15" ht="16.5" customHeight="1">
      <c r="B145" s="435"/>
      <c r="C145" s="439"/>
      <c r="D145" s="440"/>
      <c r="E145" s="440"/>
      <c r="F145" s="440"/>
      <c r="G145" s="440"/>
      <c r="H145" s="440"/>
      <c r="I145" s="440"/>
      <c r="J145" s="440"/>
      <c r="K145" s="440"/>
      <c r="L145" s="440"/>
      <c r="M145" s="440"/>
      <c r="N145" s="440"/>
      <c r="O145" s="441"/>
    </row>
    <row r="146" spans="2:15" ht="15" customHeight="1">
      <c r="B146" s="88"/>
      <c r="C146" s="88"/>
      <c r="D146" s="88"/>
      <c r="E146" s="88"/>
      <c r="F146" s="88"/>
      <c r="G146" s="88"/>
      <c r="H146" s="88"/>
      <c r="I146" s="88"/>
      <c r="J146" s="88"/>
      <c r="K146" s="88"/>
      <c r="L146" s="88"/>
      <c r="M146" s="88"/>
      <c r="N146" s="88"/>
      <c r="O146" s="88"/>
    </row>
    <row r="147" spans="2:15" ht="15" customHeight="1">
      <c r="B147" s="80" t="s">
        <v>584</v>
      </c>
      <c r="C147" s="88"/>
      <c r="D147" s="88"/>
      <c r="E147" s="88"/>
      <c r="F147" s="88"/>
      <c r="G147" s="88"/>
      <c r="H147" s="88"/>
      <c r="I147" s="88"/>
      <c r="J147" s="88"/>
      <c r="K147" s="88"/>
      <c r="L147" s="88"/>
      <c r="M147" s="88"/>
      <c r="N147" s="88"/>
      <c r="O147" s="88"/>
    </row>
    <row r="148" spans="2:15" ht="15" customHeight="1">
      <c r="B148" s="226" t="s">
        <v>62</v>
      </c>
      <c r="C148" s="425" t="s">
        <v>303</v>
      </c>
      <c r="D148" s="426"/>
      <c r="E148" s="426"/>
      <c r="F148" s="426"/>
      <c r="G148" s="426"/>
      <c r="H148" s="426"/>
      <c r="I148" s="426"/>
      <c r="J148" s="426"/>
      <c r="K148" s="426"/>
      <c r="L148" s="426"/>
      <c r="M148" s="426"/>
      <c r="N148" s="426"/>
      <c r="O148" s="427"/>
    </row>
    <row r="149" spans="2:15" ht="15" customHeight="1">
      <c r="B149" s="77" t="s">
        <v>371</v>
      </c>
      <c r="C149" s="428" t="s">
        <v>586</v>
      </c>
      <c r="D149" s="429"/>
      <c r="E149" s="429"/>
      <c r="F149" s="429"/>
      <c r="G149" s="429"/>
      <c r="H149" s="429"/>
      <c r="I149" s="429"/>
      <c r="J149" s="429"/>
      <c r="K149" s="429"/>
      <c r="L149" s="429"/>
      <c r="M149" s="429"/>
      <c r="N149" s="429"/>
      <c r="O149" s="430"/>
    </row>
    <row r="150" spans="2:15" ht="15" customHeight="1">
      <c r="B150" s="78" t="s">
        <v>372</v>
      </c>
      <c r="C150" s="422" t="s">
        <v>587</v>
      </c>
      <c r="D150" s="423"/>
      <c r="E150" s="423"/>
      <c r="F150" s="423"/>
      <c r="G150" s="423"/>
      <c r="H150" s="423"/>
      <c r="I150" s="423"/>
      <c r="J150" s="423"/>
      <c r="K150" s="423"/>
      <c r="L150" s="423"/>
      <c r="M150" s="423"/>
      <c r="N150" s="423"/>
      <c r="O150" s="424"/>
    </row>
    <row r="151" spans="2:15" ht="15" customHeight="1">
      <c r="B151" s="78" t="s">
        <v>373</v>
      </c>
      <c r="C151" s="422" t="s">
        <v>585</v>
      </c>
      <c r="D151" s="423"/>
      <c r="E151" s="423"/>
      <c r="F151" s="423"/>
      <c r="G151" s="423"/>
      <c r="H151" s="423"/>
      <c r="I151" s="423"/>
      <c r="J151" s="423"/>
      <c r="K151" s="423"/>
      <c r="L151" s="423"/>
      <c r="M151" s="423"/>
      <c r="N151" s="423"/>
      <c r="O151" s="424"/>
    </row>
    <row r="152" spans="2:15" ht="16.149999999999999" customHeight="1">
      <c r="B152" s="434" t="s">
        <v>327</v>
      </c>
      <c r="C152" s="436" t="s">
        <v>531</v>
      </c>
      <c r="D152" s="437"/>
      <c r="E152" s="437"/>
      <c r="F152" s="437"/>
      <c r="G152" s="437"/>
      <c r="H152" s="437"/>
      <c r="I152" s="437"/>
      <c r="J152" s="437"/>
      <c r="K152" s="437"/>
      <c r="L152" s="437"/>
      <c r="M152" s="437"/>
      <c r="N152" s="437"/>
      <c r="O152" s="438"/>
    </row>
    <row r="153" spans="2:15" ht="16.5" customHeight="1">
      <c r="B153" s="435"/>
      <c r="C153" s="439"/>
      <c r="D153" s="440"/>
      <c r="E153" s="440"/>
      <c r="F153" s="440"/>
      <c r="G153" s="440"/>
      <c r="H153" s="440"/>
      <c r="I153" s="440"/>
      <c r="J153" s="440"/>
      <c r="K153" s="440"/>
      <c r="L153" s="440"/>
      <c r="M153" s="440"/>
      <c r="N153" s="440"/>
      <c r="O153" s="441"/>
    </row>
    <row r="154" spans="2:15" ht="15" customHeight="1">
      <c r="B154" s="88"/>
      <c r="C154" s="88"/>
      <c r="D154" s="88"/>
      <c r="E154" s="88"/>
      <c r="F154" s="88"/>
      <c r="G154" s="88"/>
      <c r="H154" s="88"/>
      <c r="I154" s="88"/>
      <c r="J154" s="88"/>
      <c r="K154" s="88"/>
      <c r="L154" s="88"/>
      <c r="M154" s="88"/>
      <c r="N154" s="88"/>
      <c r="O154" s="88"/>
    </row>
    <row r="155" spans="2:15" ht="15" customHeight="1">
      <c r="B155" s="80" t="s">
        <v>588</v>
      </c>
      <c r="C155" s="88"/>
      <c r="D155" s="88"/>
      <c r="E155" s="88"/>
      <c r="F155" s="88"/>
      <c r="G155" s="88"/>
      <c r="H155" s="88"/>
      <c r="I155" s="88"/>
      <c r="J155" s="88"/>
      <c r="K155" s="88"/>
      <c r="L155" s="88"/>
      <c r="M155" s="88"/>
      <c r="N155" s="88"/>
      <c r="O155" s="88"/>
    </row>
    <row r="156" spans="2:15" ht="15" customHeight="1">
      <c r="B156" s="321" t="s">
        <v>62</v>
      </c>
      <c r="C156" s="425" t="s">
        <v>303</v>
      </c>
      <c r="D156" s="426"/>
      <c r="E156" s="426"/>
      <c r="F156" s="426"/>
      <c r="G156" s="426"/>
      <c r="H156" s="426"/>
      <c r="I156" s="426"/>
      <c r="J156" s="426"/>
      <c r="K156" s="426"/>
      <c r="L156" s="426"/>
      <c r="M156" s="426"/>
      <c r="N156" s="426"/>
      <c r="O156" s="427"/>
    </row>
    <row r="157" spans="2:15" ht="15" customHeight="1">
      <c r="B157" s="77" t="s">
        <v>589</v>
      </c>
      <c r="C157" s="428" t="s">
        <v>590</v>
      </c>
      <c r="D157" s="429"/>
      <c r="E157" s="429"/>
      <c r="F157" s="429"/>
      <c r="G157" s="429"/>
      <c r="H157" s="429"/>
      <c r="I157" s="429"/>
      <c r="J157" s="429"/>
      <c r="K157" s="429"/>
      <c r="L157" s="429"/>
      <c r="M157" s="429"/>
      <c r="N157" s="429"/>
      <c r="O157" s="430"/>
    </row>
    <row r="158" spans="2:15" ht="15" customHeight="1">
      <c r="B158" s="78" t="s">
        <v>591</v>
      </c>
      <c r="C158" s="422" t="s">
        <v>592</v>
      </c>
      <c r="D158" s="423"/>
      <c r="E158" s="423"/>
      <c r="F158" s="423"/>
      <c r="G158" s="423"/>
      <c r="H158" s="423"/>
      <c r="I158" s="423"/>
      <c r="J158" s="423"/>
      <c r="K158" s="423"/>
      <c r="L158" s="423"/>
      <c r="M158" s="423"/>
      <c r="N158" s="423"/>
      <c r="O158" s="424"/>
    </row>
    <row r="159" spans="2:15" s="337" customFormat="1" ht="30" customHeight="1">
      <c r="B159" s="97" t="s">
        <v>558</v>
      </c>
      <c r="C159" s="431" t="s">
        <v>768</v>
      </c>
      <c r="D159" s="432"/>
      <c r="E159" s="432"/>
      <c r="F159" s="432"/>
      <c r="G159" s="432"/>
      <c r="H159" s="432"/>
      <c r="I159" s="432"/>
      <c r="J159" s="432"/>
      <c r="K159" s="432"/>
      <c r="L159" s="432"/>
      <c r="M159" s="432"/>
      <c r="N159" s="432"/>
      <c r="O159" s="433"/>
    </row>
    <row r="160" spans="2:15" ht="15" customHeight="1">
      <c r="B160" s="88"/>
      <c r="C160" s="88"/>
      <c r="D160" s="88"/>
      <c r="E160" s="88"/>
      <c r="F160" s="88"/>
      <c r="G160" s="88"/>
      <c r="H160" s="88"/>
      <c r="I160" s="88"/>
      <c r="J160" s="88"/>
      <c r="K160" s="88"/>
      <c r="L160" s="88"/>
      <c r="M160" s="88"/>
      <c r="N160" s="88"/>
      <c r="O160" s="88"/>
    </row>
    <row r="161" spans="2:42" ht="15" customHeight="1">
      <c r="B161" s="80" t="s">
        <v>593</v>
      </c>
      <c r="C161" s="88"/>
      <c r="D161" s="88"/>
      <c r="E161" s="88"/>
      <c r="F161" s="88"/>
      <c r="G161" s="88"/>
      <c r="H161" s="88"/>
      <c r="I161" s="88"/>
      <c r="J161" s="88"/>
      <c r="K161" s="88"/>
      <c r="L161" s="88"/>
      <c r="M161" s="88"/>
      <c r="N161" s="88"/>
      <c r="O161" s="88"/>
    </row>
    <row r="162" spans="2:42" ht="15" customHeight="1">
      <c r="B162" s="226" t="s">
        <v>62</v>
      </c>
      <c r="C162" s="425" t="s">
        <v>303</v>
      </c>
      <c r="D162" s="426"/>
      <c r="E162" s="426"/>
      <c r="F162" s="426"/>
      <c r="G162" s="426"/>
      <c r="H162" s="426"/>
      <c r="I162" s="426"/>
      <c r="J162" s="426"/>
      <c r="K162" s="426"/>
      <c r="L162" s="426"/>
      <c r="M162" s="426"/>
      <c r="N162" s="426"/>
      <c r="O162" s="427"/>
    </row>
    <row r="163" spans="2:42" ht="15" customHeight="1">
      <c r="B163" s="78" t="s">
        <v>134</v>
      </c>
      <c r="C163" s="428" t="s">
        <v>769</v>
      </c>
      <c r="D163" s="429"/>
      <c r="E163" s="429"/>
      <c r="F163" s="429"/>
      <c r="G163" s="429"/>
      <c r="H163" s="429"/>
      <c r="I163" s="429"/>
      <c r="J163" s="429"/>
      <c r="K163" s="429"/>
      <c r="L163" s="429"/>
      <c r="M163" s="429"/>
      <c r="N163" s="429"/>
      <c r="O163" s="430"/>
    </row>
    <row r="164" spans="2:42" ht="15" customHeight="1">
      <c r="B164" s="77" t="s">
        <v>432</v>
      </c>
      <c r="C164" s="428" t="s">
        <v>770</v>
      </c>
      <c r="D164" s="429"/>
      <c r="E164" s="429"/>
      <c r="F164" s="429"/>
      <c r="G164" s="429"/>
      <c r="H164" s="429"/>
      <c r="I164" s="429"/>
      <c r="J164" s="429"/>
      <c r="K164" s="429"/>
      <c r="L164" s="429"/>
      <c r="M164" s="429"/>
      <c r="N164" s="429"/>
      <c r="O164" s="430"/>
    </row>
    <row r="165" spans="2:42" ht="15" customHeight="1">
      <c r="B165" s="77" t="s">
        <v>108</v>
      </c>
      <c r="C165" s="428" t="s">
        <v>771</v>
      </c>
      <c r="D165" s="429"/>
      <c r="E165" s="429"/>
      <c r="F165" s="429"/>
      <c r="G165" s="429"/>
      <c r="H165" s="429"/>
      <c r="I165" s="429"/>
      <c r="J165" s="429"/>
      <c r="K165" s="429"/>
      <c r="L165" s="429"/>
      <c r="M165" s="429"/>
      <c r="N165" s="429"/>
      <c r="O165" s="430"/>
    </row>
    <row r="166" spans="2:42" ht="15" customHeight="1">
      <c r="B166" s="78" t="s">
        <v>438</v>
      </c>
      <c r="C166" s="428" t="s">
        <v>772</v>
      </c>
      <c r="D166" s="429"/>
      <c r="E166" s="429"/>
      <c r="F166" s="429"/>
      <c r="G166" s="429"/>
      <c r="H166" s="429"/>
      <c r="I166" s="429"/>
      <c r="J166" s="429"/>
      <c r="K166" s="429"/>
      <c r="L166" s="429"/>
      <c r="M166" s="429"/>
      <c r="N166" s="429"/>
      <c r="O166" s="430"/>
    </row>
    <row r="167" spans="2:42" ht="16.149999999999999" customHeight="1">
      <c r="B167" s="434" t="s">
        <v>327</v>
      </c>
      <c r="C167" s="469" t="s">
        <v>530</v>
      </c>
      <c r="D167" s="452"/>
      <c r="E167" s="452"/>
      <c r="F167" s="452"/>
      <c r="G167" s="452"/>
      <c r="H167" s="452"/>
      <c r="I167" s="452"/>
      <c r="J167" s="452"/>
      <c r="K167" s="452"/>
      <c r="L167" s="452"/>
      <c r="M167" s="452"/>
      <c r="N167" s="452"/>
      <c r="O167" s="453"/>
    </row>
    <row r="168" spans="2:42" ht="16.5" customHeight="1">
      <c r="B168" s="435"/>
      <c r="C168" s="454"/>
      <c r="D168" s="455"/>
      <c r="E168" s="455"/>
      <c r="F168" s="455"/>
      <c r="G168" s="455"/>
      <c r="H168" s="455"/>
      <c r="I168" s="455"/>
      <c r="J168" s="455"/>
      <c r="K168" s="455"/>
      <c r="L168" s="455"/>
      <c r="M168" s="455"/>
      <c r="N168" s="455"/>
      <c r="O168" s="456"/>
    </row>
    <row r="169" spans="2:42" ht="15" customHeight="1">
      <c r="B169" s="88"/>
      <c r="C169" s="88"/>
      <c r="D169" s="88"/>
      <c r="E169" s="88"/>
      <c r="F169" s="88"/>
      <c r="G169" s="88"/>
      <c r="H169" s="88"/>
      <c r="I169" s="88"/>
      <c r="J169" s="88"/>
      <c r="K169" s="88"/>
      <c r="L169" s="88"/>
      <c r="M169" s="88"/>
      <c r="N169" s="88"/>
      <c r="O169" s="88"/>
    </row>
    <row r="170" spans="2:42" ht="15" customHeight="1">
      <c r="B170" s="88"/>
      <c r="C170" s="88"/>
      <c r="D170" s="88"/>
      <c r="E170" s="88"/>
      <c r="F170" s="88"/>
      <c r="G170" s="88"/>
      <c r="H170" s="88"/>
      <c r="I170" s="88"/>
      <c r="J170" s="88"/>
      <c r="K170" s="88"/>
      <c r="L170" s="88"/>
      <c r="M170" s="88"/>
      <c r="N170" s="88"/>
      <c r="O170" s="88"/>
    </row>
    <row r="171" spans="2:42" ht="31.5">
      <c r="B171" s="94" t="s">
        <v>352</v>
      </c>
      <c r="C171" s="94"/>
      <c r="D171" s="94"/>
      <c r="E171" s="94"/>
      <c r="F171" s="94"/>
      <c r="G171" s="94"/>
      <c r="H171" s="94"/>
      <c r="I171" s="94"/>
      <c r="J171" s="94"/>
      <c r="K171" s="94"/>
      <c r="L171" s="94"/>
      <c r="M171" s="94"/>
      <c r="N171" s="94"/>
      <c r="O171" s="94"/>
      <c r="P171" s="7"/>
      <c r="Q171" s="6"/>
      <c r="R171" s="6"/>
      <c r="S171" s="6"/>
      <c r="T171" s="24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</row>
    <row r="172" spans="2:42" ht="21">
      <c r="B172" s="89" t="s">
        <v>230</v>
      </c>
      <c r="C172" s="90"/>
      <c r="D172" s="90"/>
      <c r="E172" s="90"/>
      <c r="F172" s="90"/>
      <c r="G172" s="90"/>
      <c r="H172" s="90"/>
      <c r="I172" s="90"/>
      <c r="J172" s="90"/>
      <c r="K172" s="90"/>
      <c r="L172" s="90"/>
      <c r="M172" s="90"/>
      <c r="N172" s="90"/>
      <c r="O172" s="90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  <c r="AC172" s="5"/>
      <c r="AD172" s="5"/>
      <c r="AE172" s="5"/>
      <c r="AF172" s="5"/>
      <c r="AG172" s="5"/>
      <c r="AH172" s="5"/>
      <c r="AI172" s="5"/>
      <c r="AJ172" s="5"/>
      <c r="AK172" s="5"/>
      <c r="AL172" s="5"/>
      <c r="AM172" s="5"/>
    </row>
    <row r="173" spans="2:42">
      <c r="B173" s="80" t="s">
        <v>496</v>
      </c>
      <c r="C173" s="90"/>
      <c r="D173" s="90"/>
      <c r="E173" s="90"/>
      <c r="F173" s="90"/>
      <c r="G173" s="90"/>
      <c r="H173" s="90"/>
      <c r="I173" s="90"/>
      <c r="J173" s="90"/>
      <c r="K173" s="90"/>
      <c r="L173" s="90"/>
      <c r="M173" s="90"/>
      <c r="N173" s="90"/>
      <c r="O173" s="90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5"/>
      <c r="AE173" s="5"/>
      <c r="AF173" s="5"/>
      <c r="AG173" s="5"/>
      <c r="AH173" s="5"/>
      <c r="AI173" s="5"/>
      <c r="AJ173" s="5"/>
      <c r="AK173" s="5"/>
      <c r="AL173" s="5"/>
      <c r="AM173" s="5"/>
    </row>
    <row r="174" spans="2:42">
      <c r="B174" s="226" t="s">
        <v>62</v>
      </c>
      <c r="C174" s="425" t="s">
        <v>303</v>
      </c>
      <c r="D174" s="426"/>
      <c r="E174" s="426"/>
      <c r="F174" s="426"/>
      <c r="G174" s="426"/>
      <c r="H174" s="426"/>
      <c r="I174" s="426"/>
      <c r="J174" s="426"/>
      <c r="K174" s="426"/>
      <c r="L174" s="426"/>
      <c r="M174" s="426"/>
      <c r="N174" s="426"/>
      <c r="O174" s="427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  <c r="AC174" s="5"/>
      <c r="AD174" s="5"/>
      <c r="AE174" s="5"/>
      <c r="AF174" s="5"/>
      <c r="AG174" s="5"/>
      <c r="AH174" s="5"/>
      <c r="AI174" s="5"/>
      <c r="AJ174" s="5"/>
      <c r="AK174" s="5"/>
      <c r="AL174" s="5"/>
      <c r="AM174" s="5"/>
    </row>
    <row r="175" spans="2:42">
      <c r="B175" s="82" t="s">
        <v>494</v>
      </c>
      <c r="C175" s="422" t="s">
        <v>497</v>
      </c>
      <c r="D175" s="423"/>
      <c r="E175" s="423"/>
      <c r="F175" s="423"/>
      <c r="G175" s="423"/>
      <c r="H175" s="423"/>
      <c r="I175" s="423"/>
      <c r="J175" s="423"/>
      <c r="K175" s="423"/>
      <c r="L175" s="423"/>
      <c r="M175" s="423"/>
      <c r="N175" s="423"/>
      <c r="O175" s="424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  <c r="AC175" s="5"/>
      <c r="AD175" s="5"/>
      <c r="AE175" s="5"/>
      <c r="AF175" s="5"/>
      <c r="AG175" s="5"/>
      <c r="AH175" s="5"/>
      <c r="AI175" s="5"/>
      <c r="AJ175" s="5"/>
      <c r="AK175" s="5"/>
      <c r="AL175" s="5"/>
      <c r="AM175" s="5"/>
    </row>
    <row r="176" spans="2:42">
      <c r="B176" s="198"/>
      <c r="C176" s="199"/>
      <c r="D176" s="199"/>
      <c r="E176" s="199"/>
      <c r="F176" s="199"/>
      <c r="G176" s="199"/>
      <c r="H176" s="199"/>
      <c r="I176" s="199"/>
      <c r="J176" s="199"/>
      <c r="K176" s="199"/>
      <c r="L176" s="199"/>
      <c r="M176" s="199"/>
      <c r="N176" s="199"/>
      <c r="O176" s="199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  <c r="AC176" s="5"/>
      <c r="AD176" s="5"/>
      <c r="AE176" s="5"/>
      <c r="AF176" s="5"/>
      <c r="AG176" s="5"/>
      <c r="AH176" s="5"/>
      <c r="AI176" s="5"/>
      <c r="AJ176" s="5"/>
      <c r="AK176" s="5"/>
      <c r="AL176" s="5"/>
      <c r="AM176" s="5"/>
    </row>
    <row r="177" spans="2:15" ht="15" customHeight="1">
      <c r="B177" s="80" t="s">
        <v>86</v>
      </c>
      <c r="C177" s="88"/>
      <c r="D177" s="88"/>
      <c r="E177" s="88"/>
      <c r="F177" s="88"/>
      <c r="G177" s="88"/>
      <c r="H177" s="88"/>
      <c r="I177" s="88"/>
      <c r="J177" s="88"/>
      <c r="K177" s="88"/>
      <c r="L177" s="88"/>
      <c r="M177" s="88"/>
      <c r="N177" s="88"/>
      <c r="O177" s="88"/>
    </row>
    <row r="178" spans="2:15" ht="15" customHeight="1">
      <c r="B178" s="226" t="s">
        <v>62</v>
      </c>
      <c r="C178" s="425" t="s">
        <v>303</v>
      </c>
      <c r="D178" s="426"/>
      <c r="E178" s="426"/>
      <c r="F178" s="426"/>
      <c r="G178" s="426"/>
      <c r="H178" s="426"/>
      <c r="I178" s="426"/>
      <c r="J178" s="426"/>
      <c r="K178" s="426"/>
      <c r="L178" s="426"/>
      <c r="M178" s="426"/>
      <c r="N178" s="426"/>
      <c r="O178" s="427"/>
    </row>
    <row r="179" spans="2:15" ht="14.45" customHeight="1">
      <c r="B179" s="103" t="s">
        <v>86</v>
      </c>
      <c r="C179" s="428" t="s">
        <v>355</v>
      </c>
      <c r="D179" s="429"/>
      <c r="E179" s="429"/>
      <c r="F179" s="429"/>
      <c r="G179" s="429"/>
      <c r="H179" s="429"/>
      <c r="I179" s="429"/>
      <c r="J179" s="429"/>
      <c r="K179" s="429"/>
      <c r="L179" s="429"/>
      <c r="M179" s="429"/>
      <c r="N179" s="429"/>
      <c r="O179" s="430"/>
    </row>
    <row r="180" spans="2:15" ht="14.45" customHeight="1">
      <c r="B180" s="82" t="s">
        <v>129</v>
      </c>
      <c r="C180" s="422" t="s">
        <v>354</v>
      </c>
      <c r="D180" s="423"/>
      <c r="E180" s="423"/>
      <c r="F180" s="423"/>
      <c r="G180" s="423"/>
      <c r="H180" s="423"/>
      <c r="I180" s="423"/>
      <c r="J180" s="423"/>
      <c r="K180" s="423"/>
      <c r="L180" s="423"/>
      <c r="M180" s="423"/>
      <c r="N180" s="423"/>
      <c r="O180" s="424"/>
    </row>
    <row r="181" spans="2:15" ht="16.5" customHeight="1">
      <c r="B181" s="434" t="s">
        <v>327</v>
      </c>
      <c r="C181" s="436" t="s">
        <v>529</v>
      </c>
      <c r="D181" s="437"/>
      <c r="E181" s="437"/>
      <c r="F181" s="437"/>
      <c r="G181" s="437"/>
      <c r="H181" s="437"/>
      <c r="I181" s="437"/>
      <c r="J181" s="437"/>
      <c r="K181" s="437"/>
      <c r="L181" s="437"/>
      <c r="M181" s="437"/>
      <c r="N181" s="437"/>
      <c r="O181" s="438"/>
    </row>
    <row r="182" spans="2:15" ht="16.5" customHeight="1">
      <c r="B182" s="435"/>
      <c r="C182" s="439"/>
      <c r="D182" s="440"/>
      <c r="E182" s="440"/>
      <c r="F182" s="440"/>
      <c r="G182" s="440"/>
      <c r="H182" s="440"/>
      <c r="I182" s="440"/>
      <c r="J182" s="440"/>
      <c r="K182" s="440"/>
      <c r="L182" s="440"/>
      <c r="M182" s="440"/>
      <c r="N182" s="440"/>
      <c r="O182" s="441"/>
    </row>
    <row r="183" spans="2:15" ht="15" customHeight="1">
      <c r="B183" s="88"/>
      <c r="C183" s="88"/>
      <c r="D183" s="88"/>
      <c r="E183" s="88"/>
      <c r="F183" s="88"/>
      <c r="G183" s="88"/>
      <c r="H183" s="88"/>
      <c r="I183" s="88"/>
      <c r="J183" s="88"/>
      <c r="K183" s="88"/>
      <c r="L183" s="88"/>
      <c r="M183" s="88"/>
      <c r="N183" s="88"/>
      <c r="O183" s="88"/>
    </row>
    <row r="184" spans="2:15" ht="15" customHeight="1">
      <c r="B184" s="80" t="s">
        <v>101</v>
      </c>
      <c r="C184" s="88"/>
      <c r="D184" s="88"/>
      <c r="E184" s="88"/>
      <c r="F184" s="88"/>
      <c r="G184" s="88"/>
      <c r="H184" s="88"/>
      <c r="I184" s="88"/>
      <c r="J184" s="88"/>
      <c r="K184" s="88"/>
      <c r="L184" s="88"/>
      <c r="M184" s="88"/>
      <c r="N184" s="88"/>
      <c r="O184" s="88"/>
    </row>
    <row r="185" spans="2:15" ht="15" customHeight="1">
      <c r="B185" s="226" t="s">
        <v>62</v>
      </c>
      <c r="C185" s="425" t="s">
        <v>303</v>
      </c>
      <c r="D185" s="426"/>
      <c r="E185" s="426"/>
      <c r="F185" s="426"/>
      <c r="G185" s="426"/>
      <c r="H185" s="426"/>
      <c r="I185" s="426"/>
      <c r="J185" s="426"/>
      <c r="K185" s="426"/>
      <c r="L185" s="426"/>
      <c r="M185" s="426"/>
      <c r="N185" s="426"/>
      <c r="O185" s="427"/>
    </row>
    <row r="186" spans="2:15" ht="33" customHeight="1">
      <c r="B186" s="103" t="s">
        <v>101</v>
      </c>
      <c r="C186" s="442" t="s">
        <v>774</v>
      </c>
      <c r="D186" s="443"/>
      <c r="E186" s="443"/>
      <c r="F186" s="443"/>
      <c r="G186" s="443"/>
      <c r="H186" s="443"/>
      <c r="I186" s="443"/>
      <c r="J186" s="443"/>
      <c r="K186" s="443"/>
      <c r="L186" s="443"/>
      <c r="M186" s="443"/>
      <c r="N186" s="443"/>
      <c r="O186" s="444"/>
    </row>
    <row r="187" spans="2:15" ht="30.75" customHeight="1">
      <c r="B187" s="104" t="s">
        <v>356</v>
      </c>
      <c r="C187" s="445" t="s">
        <v>773</v>
      </c>
      <c r="D187" s="446"/>
      <c r="E187" s="446"/>
      <c r="F187" s="446"/>
      <c r="G187" s="446"/>
      <c r="H187" s="446"/>
      <c r="I187" s="446"/>
      <c r="J187" s="446"/>
      <c r="K187" s="446"/>
      <c r="L187" s="446"/>
      <c r="M187" s="446"/>
      <c r="N187" s="446"/>
      <c r="O187" s="447"/>
    </row>
    <row r="188" spans="2:15" ht="16.5" customHeight="1">
      <c r="B188" s="434" t="s">
        <v>327</v>
      </c>
      <c r="C188" s="436" t="s">
        <v>528</v>
      </c>
      <c r="D188" s="437"/>
      <c r="E188" s="437"/>
      <c r="F188" s="437"/>
      <c r="G188" s="437"/>
      <c r="H188" s="437"/>
      <c r="I188" s="437"/>
      <c r="J188" s="437"/>
      <c r="K188" s="437"/>
      <c r="L188" s="437"/>
      <c r="M188" s="437"/>
      <c r="N188" s="437"/>
      <c r="O188" s="438"/>
    </row>
    <row r="189" spans="2:15" ht="16.5" customHeight="1">
      <c r="B189" s="435"/>
      <c r="C189" s="439"/>
      <c r="D189" s="440"/>
      <c r="E189" s="440"/>
      <c r="F189" s="440"/>
      <c r="G189" s="440"/>
      <c r="H189" s="440"/>
      <c r="I189" s="440"/>
      <c r="J189" s="440"/>
      <c r="K189" s="440"/>
      <c r="L189" s="440"/>
      <c r="M189" s="440"/>
      <c r="N189" s="440"/>
      <c r="O189" s="441"/>
    </row>
    <row r="190" spans="2:15" ht="15" customHeight="1">
      <c r="B190" s="105"/>
      <c r="C190" s="106"/>
      <c r="D190" s="106"/>
      <c r="E190" s="106"/>
      <c r="F190" s="106"/>
      <c r="G190" s="106"/>
      <c r="H190" s="106"/>
      <c r="I190" s="106"/>
      <c r="J190" s="106"/>
      <c r="K190" s="106"/>
      <c r="L190" s="106"/>
      <c r="M190" s="106"/>
      <c r="N190" s="106"/>
      <c r="O190" s="107"/>
    </row>
    <row r="191" spans="2:15" ht="15" customHeight="1">
      <c r="B191" s="108" t="s">
        <v>67</v>
      </c>
      <c r="C191" s="106"/>
      <c r="D191" s="106"/>
      <c r="E191" s="106"/>
      <c r="F191" s="106"/>
      <c r="G191" s="106"/>
      <c r="H191" s="106"/>
      <c r="I191" s="106"/>
      <c r="J191" s="106"/>
      <c r="K191" s="106"/>
      <c r="L191" s="106"/>
      <c r="M191" s="106"/>
      <c r="N191" s="106"/>
      <c r="O191" s="107"/>
    </row>
    <row r="192" spans="2:15" ht="15" customHeight="1">
      <c r="B192" s="226" t="s">
        <v>62</v>
      </c>
      <c r="C192" s="425" t="s">
        <v>303</v>
      </c>
      <c r="D192" s="426"/>
      <c r="E192" s="426"/>
      <c r="F192" s="426"/>
      <c r="G192" s="426"/>
      <c r="H192" s="426"/>
      <c r="I192" s="426"/>
      <c r="J192" s="426"/>
      <c r="K192" s="426"/>
      <c r="L192" s="426"/>
      <c r="M192" s="426"/>
      <c r="N192" s="426"/>
      <c r="O192" s="427"/>
    </row>
    <row r="193" spans="2:42" ht="14.45" customHeight="1">
      <c r="B193" s="103" t="s">
        <v>67</v>
      </c>
      <c r="C193" s="428" t="s">
        <v>357</v>
      </c>
      <c r="D193" s="429"/>
      <c r="E193" s="429"/>
      <c r="F193" s="429"/>
      <c r="G193" s="429"/>
      <c r="H193" s="429"/>
      <c r="I193" s="429"/>
      <c r="J193" s="429"/>
      <c r="K193" s="429"/>
      <c r="L193" s="429"/>
      <c r="M193" s="429"/>
      <c r="N193" s="429"/>
      <c r="O193" s="430"/>
    </row>
    <row r="194" spans="2:42" ht="14.45" customHeight="1">
      <c r="B194" s="198"/>
      <c r="C194" s="199"/>
      <c r="D194" s="199"/>
      <c r="E194" s="199"/>
      <c r="F194" s="199"/>
      <c r="G194" s="199"/>
      <c r="H194" s="199"/>
      <c r="I194" s="199"/>
      <c r="J194" s="199"/>
      <c r="K194" s="199"/>
      <c r="L194" s="199"/>
      <c r="M194" s="199"/>
      <c r="N194" s="199"/>
      <c r="O194" s="199"/>
    </row>
    <row r="195" spans="2:42" ht="31.5">
      <c r="B195" s="94" t="s">
        <v>495</v>
      </c>
      <c r="C195" s="199"/>
      <c r="D195" s="199"/>
      <c r="E195" s="199"/>
      <c r="F195" s="199"/>
      <c r="G195" s="199"/>
      <c r="H195" s="199"/>
      <c r="I195" s="199"/>
      <c r="J195" s="199"/>
      <c r="K195" s="199"/>
      <c r="L195" s="199"/>
      <c r="M195" s="199"/>
      <c r="N195" s="199"/>
      <c r="O195" s="199"/>
    </row>
    <row r="196" spans="2:42">
      <c r="B196" s="120" t="s">
        <v>126</v>
      </c>
      <c r="C196" s="199"/>
      <c r="D196" s="199"/>
      <c r="E196" s="199"/>
      <c r="F196" s="199"/>
      <c r="G196" s="199"/>
      <c r="H196" s="199"/>
      <c r="I196" s="199"/>
      <c r="J196" s="199"/>
      <c r="K196" s="199"/>
      <c r="L196" s="199"/>
      <c r="M196" s="199"/>
      <c r="N196" s="199"/>
      <c r="O196" s="199"/>
    </row>
    <row r="197" spans="2:42" ht="15" customHeight="1">
      <c r="B197" s="226" t="s">
        <v>62</v>
      </c>
      <c r="C197" s="425" t="s">
        <v>303</v>
      </c>
      <c r="D197" s="426"/>
      <c r="E197" s="426"/>
      <c r="F197" s="426"/>
      <c r="G197" s="426"/>
      <c r="H197" s="426"/>
      <c r="I197" s="426"/>
      <c r="J197" s="426"/>
      <c r="K197" s="426"/>
      <c r="L197" s="426"/>
      <c r="M197" s="426"/>
      <c r="N197" s="426"/>
      <c r="O197" s="427"/>
    </row>
    <row r="198" spans="2:42" ht="15" customHeight="1">
      <c r="B198" s="201" t="s">
        <v>498</v>
      </c>
      <c r="C198" s="422" t="s">
        <v>499</v>
      </c>
      <c r="D198" s="423"/>
      <c r="E198" s="423"/>
      <c r="F198" s="423"/>
      <c r="G198" s="423"/>
      <c r="H198" s="423"/>
      <c r="I198" s="423"/>
      <c r="J198" s="423"/>
      <c r="K198" s="423"/>
      <c r="L198" s="423"/>
      <c r="M198" s="423"/>
      <c r="N198" s="423"/>
      <c r="O198" s="424"/>
    </row>
    <row r="199" spans="2:42" ht="15" customHeight="1">
      <c r="B199" s="198"/>
      <c r="C199" s="199"/>
      <c r="D199" s="199"/>
      <c r="E199" s="199"/>
      <c r="F199" s="199"/>
      <c r="G199" s="199"/>
      <c r="H199" s="199"/>
      <c r="I199" s="199"/>
      <c r="J199" s="199"/>
      <c r="K199" s="199"/>
      <c r="L199" s="199"/>
      <c r="M199" s="199"/>
      <c r="N199" s="199"/>
      <c r="O199" s="199"/>
    </row>
    <row r="200" spans="2:42" ht="31.5">
      <c r="B200" s="94" t="s">
        <v>353</v>
      </c>
      <c r="C200" s="94"/>
      <c r="D200" s="94"/>
      <c r="E200" s="94"/>
      <c r="F200" s="94"/>
      <c r="G200" s="94"/>
      <c r="H200" s="94"/>
      <c r="I200" s="94"/>
      <c r="J200" s="94"/>
      <c r="K200" s="94"/>
      <c r="L200" s="94"/>
      <c r="M200" s="94"/>
      <c r="N200" s="94"/>
      <c r="O200" s="94"/>
      <c r="P200" s="7"/>
      <c r="Q200" s="6"/>
      <c r="R200" s="6"/>
      <c r="S200" s="6"/>
      <c r="T200" s="24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</row>
    <row r="201" spans="2:42" ht="15" customHeight="1">
      <c r="B201" s="226" t="s">
        <v>62</v>
      </c>
      <c r="C201" s="425" t="s">
        <v>527</v>
      </c>
      <c r="D201" s="426"/>
      <c r="E201" s="426"/>
      <c r="F201" s="426"/>
      <c r="G201" s="426"/>
      <c r="H201" s="426"/>
      <c r="I201" s="426"/>
      <c r="J201" s="426"/>
      <c r="K201" s="426"/>
      <c r="L201" s="426"/>
      <c r="M201" s="426"/>
      <c r="N201" s="426"/>
      <c r="O201" s="427"/>
    </row>
    <row r="202" spans="2:42" ht="14.45" customHeight="1">
      <c r="B202" s="197" t="s">
        <v>302</v>
      </c>
      <c r="C202" s="428" t="s">
        <v>419</v>
      </c>
      <c r="D202" s="429"/>
      <c r="E202" s="429"/>
      <c r="F202" s="429"/>
      <c r="G202" s="429"/>
      <c r="H202" s="429"/>
      <c r="I202" s="429"/>
      <c r="J202" s="429"/>
      <c r="K202" s="429"/>
      <c r="L202" s="429"/>
      <c r="M202" s="429"/>
      <c r="N202" s="429"/>
      <c r="O202" s="430"/>
    </row>
    <row r="203" spans="2:42">
      <c r="B203" s="82" t="s">
        <v>299</v>
      </c>
      <c r="C203" s="422" t="s">
        <v>420</v>
      </c>
      <c r="D203" s="423"/>
      <c r="E203" s="423"/>
      <c r="F203" s="423"/>
      <c r="G203" s="423"/>
      <c r="H203" s="423"/>
      <c r="I203" s="423"/>
      <c r="J203" s="423"/>
      <c r="K203" s="423"/>
      <c r="L203" s="423"/>
      <c r="M203" s="423"/>
      <c r="N203" s="423"/>
      <c r="O203" s="424"/>
    </row>
    <row r="204" spans="2:42" ht="30">
      <c r="B204" s="82" t="s">
        <v>500</v>
      </c>
      <c r="C204" s="431" t="s">
        <v>501</v>
      </c>
      <c r="D204" s="432"/>
      <c r="E204" s="432"/>
      <c r="F204" s="432"/>
      <c r="G204" s="432"/>
      <c r="H204" s="432"/>
      <c r="I204" s="432"/>
      <c r="J204" s="432"/>
      <c r="K204" s="432"/>
      <c r="L204" s="432"/>
      <c r="M204" s="432"/>
      <c r="N204" s="432"/>
      <c r="O204" s="433"/>
    </row>
    <row r="205" spans="2:42">
      <c r="B205" s="96" t="s">
        <v>358</v>
      </c>
      <c r="C205" s="422" t="s">
        <v>421</v>
      </c>
      <c r="D205" s="423"/>
      <c r="E205" s="423"/>
      <c r="F205" s="423"/>
      <c r="G205" s="423"/>
      <c r="H205" s="423"/>
      <c r="I205" s="423"/>
      <c r="J205" s="423"/>
      <c r="K205" s="423"/>
      <c r="L205" s="423"/>
      <c r="M205" s="423"/>
      <c r="N205" s="423"/>
      <c r="O205" s="424"/>
    </row>
    <row r="206" spans="2:42">
      <c r="B206" s="96" t="s">
        <v>359</v>
      </c>
      <c r="C206" s="422" t="s">
        <v>422</v>
      </c>
      <c r="D206" s="423"/>
      <c r="E206" s="423"/>
      <c r="F206" s="423"/>
      <c r="G206" s="423"/>
      <c r="H206" s="423"/>
      <c r="I206" s="423"/>
      <c r="J206" s="423"/>
      <c r="K206" s="423"/>
      <c r="L206" s="423"/>
      <c r="M206" s="423"/>
      <c r="N206" s="423"/>
      <c r="O206" s="424"/>
    </row>
    <row r="207" spans="2:42">
      <c r="B207" s="96" t="s">
        <v>361</v>
      </c>
      <c r="C207" s="422" t="s">
        <v>418</v>
      </c>
      <c r="D207" s="423"/>
      <c r="E207" s="423"/>
      <c r="F207" s="423"/>
      <c r="G207" s="423"/>
      <c r="H207" s="423"/>
      <c r="I207" s="423"/>
      <c r="J207" s="423"/>
      <c r="K207" s="423"/>
      <c r="L207" s="423"/>
      <c r="M207" s="423"/>
      <c r="N207" s="423"/>
      <c r="O207" s="424"/>
    </row>
    <row r="208" spans="2:42">
      <c r="B208" s="96" t="s">
        <v>775</v>
      </c>
      <c r="C208" s="331" t="s">
        <v>776</v>
      </c>
      <c r="D208" s="332"/>
      <c r="E208" s="332"/>
      <c r="F208" s="332"/>
      <c r="G208" s="332"/>
      <c r="H208" s="332"/>
      <c r="I208" s="332"/>
      <c r="J208" s="332"/>
      <c r="K208" s="332"/>
      <c r="L208" s="332"/>
      <c r="M208" s="332"/>
      <c r="N208" s="332"/>
      <c r="O208" s="333"/>
    </row>
    <row r="209" spans="2:42">
      <c r="B209" s="96" t="s">
        <v>363</v>
      </c>
      <c r="C209" s="422" t="s">
        <v>596</v>
      </c>
      <c r="D209" s="423"/>
      <c r="E209" s="423"/>
      <c r="F209" s="423"/>
      <c r="G209" s="423"/>
      <c r="H209" s="423"/>
      <c r="I209" s="423"/>
      <c r="J209" s="423"/>
      <c r="K209" s="423"/>
      <c r="L209" s="423"/>
      <c r="M209" s="423"/>
      <c r="N209" s="423"/>
      <c r="O209" s="424"/>
    </row>
    <row r="210" spans="2:42">
      <c r="B210" s="96" t="s">
        <v>364</v>
      </c>
      <c r="C210" s="422" t="s">
        <v>597</v>
      </c>
      <c r="D210" s="423"/>
      <c r="E210" s="423"/>
      <c r="F210" s="423"/>
      <c r="G210" s="423"/>
      <c r="H210" s="423"/>
      <c r="I210" s="423"/>
      <c r="J210" s="423"/>
      <c r="K210" s="423"/>
      <c r="L210" s="423"/>
      <c r="M210" s="423"/>
      <c r="N210" s="423"/>
      <c r="O210" s="424"/>
    </row>
    <row r="211" spans="2:42" ht="30">
      <c r="B211" s="82" t="s">
        <v>572</v>
      </c>
      <c r="C211" s="419" t="s">
        <v>594</v>
      </c>
      <c r="D211" s="420"/>
      <c r="E211" s="420"/>
      <c r="F211" s="420"/>
      <c r="G211" s="420"/>
      <c r="H211" s="420"/>
      <c r="I211" s="420"/>
      <c r="J211" s="420"/>
      <c r="K211" s="420"/>
      <c r="L211" s="420"/>
      <c r="M211" s="420"/>
      <c r="N211" s="420"/>
      <c r="O211" s="421"/>
    </row>
    <row r="212" spans="2:42" ht="30">
      <c r="B212" s="82" t="s">
        <v>552</v>
      </c>
      <c r="C212" s="419" t="s">
        <v>595</v>
      </c>
      <c r="D212" s="420"/>
      <c r="E212" s="420"/>
      <c r="F212" s="420"/>
      <c r="G212" s="420"/>
      <c r="H212" s="420"/>
      <c r="I212" s="420"/>
      <c r="J212" s="420"/>
      <c r="K212" s="420"/>
      <c r="L212" s="420"/>
      <c r="M212" s="420"/>
      <c r="N212" s="420"/>
      <c r="O212" s="421"/>
    </row>
    <row r="213" spans="2:42" ht="15" customHeight="1">
      <c r="B213" s="88"/>
      <c r="C213" s="88"/>
      <c r="D213" s="88"/>
      <c r="E213" s="88"/>
      <c r="F213" s="88"/>
      <c r="G213" s="88"/>
      <c r="H213" s="88"/>
      <c r="I213" s="88"/>
      <c r="J213" s="88"/>
      <c r="K213" s="88"/>
      <c r="L213" s="88"/>
      <c r="M213" s="88"/>
      <c r="N213" s="88"/>
      <c r="O213" s="88"/>
    </row>
    <row r="214" spans="2:42" ht="31.5">
      <c r="B214" s="94" t="s">
        <v>379</v>
      </c>
      <c r="C214" s="94"/>
      <c r="D214" s="94"/>
      <c r="E214" s="94"/>
      <c r="F214" s="94"/>
      <c r="G214" s="94"/>
      <c r="H214" s="94"/>
      <c r="I214" s="94"/>
      <c r="J214" s="94"/>
      <c r="K214" s="94"/>
      <c r="L214" s="94"/>
      <c r="M214" s="94"/>
      <c r="N214" s="94"/>
      <c r="O214" s="94"/>
      <c r="P214" s="7"/>
      <c r="Q214" s="6"/>
      <c r="R214" s="6"/>
      <c r="S214" s="6"/>
      <c r="T214" s="24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</row>
    <row r="215" spans="2:42" ht="15" customHeight="1">
      <c r="B215" s="226" t="s">
        <v>62</v>
      </c>
      <c r="C215" s="425" t="s">
        <v>303</v>
      </c>
      <c r="D215" s="426"/>
      <c r="E215" s="426"/>
      <c r="F215" s="426"/>
      <c r="G215" s="426"/>
      <c r="H215" s="426"/>
      <c r="I215" s="426"/>
      <c r="J215" s="426"/>
      <c r="K215" s="426"/>
      <c r="L215" s="426"/>
      <c r="M215" s="426"/>
      <c r="N215" s="426"/>
      <c r="O215" s="427"/>
    </row>
    <row r="216" spans="2:42" ht="30.75" customHeight="1">
      <c r="B216" s="96" t="s">
        <v>380</v>
      </c>
      <c r="C216" s="448" t="s">
        <v>777</v>
      </c>
      <c r="D216" s="449"/>
      <c r="E216" s="449"/>
      <c r="F216" s="449"/>
      <c r="G216" s="449"/>
      <c r="H216" s="449"/>
      <c r="I216" s="449"/>
      <c r="J216" s="449"/>
      <c r="K216" s="449"/>
      <c r="L216" s="449"/>
      <c r="M216" s="449"/>
      <c r="N216" s="449"/>
      <c r="O216" s="450"/>
    </row>
    <row r="217" spans="2:42">
      <c r="B217" s="96" t="s">
        <v>382</v>
      </c>
      <c r="C217" s="422" t="s">
        <v>381</v>
      </c>
      <c r="D217" s="423"/>
      <c r="E217" s="423"/>
      <c r="F217" s="423"/>
      <c r="G217" s="423"/>
      <c r="H217" s="423"/>
      <c r="I217" s="423"/>
      <c r="J217" s="423"/>
      <c r="K217" s="423"/>
      <c r="L217" s="423"/>
      <c r="M217" s="423"/>
      <c r="N217" s="423"/>
      <c r="O217" s="424"/>
    </row>
    <row r="218" spans="2:42" ht="15" customHeight="1"/>
    <row r="219" spans="2:42" ht="15" customHeight="1"/>
    <row r="220" spans="2:42" ht="15" customHeight="1"/>
    <row r="221" spans="2:42" ht="15" customHeight="1"/>
    <row r="222" spans="2:42" ht="15" customHeight="1"/>
    <row r="223" spans="2:42" ht="15" customHeight="1"/>
    <row r="224" spans="2:42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  <row r="425" ht="15" customHeight="1"/>
    <row r="426" ht="15" customHeight="1"/>
    <row r="427" ht="15" customHeight="1"/>
    <row r="428" ht="15" customHeight="1"/>
    <row r="429" ht="15" customHeight="1"/>
    <row r="430" ht="15" customHeight="1"/>
    <row r="431" ht="15" customHeight="1"/>
    <row r="432" ht="15" customHeight="1"/>
    <row r="433" ht="15" customHeight="1"/>
    <row r="434" ht="15" customHeight="1"/>
    <row r="435" ht="15" customHeight="1"/>
    <row r="436" ht="15" customHeight="1"/>
    <row r="437" ht="15" customHeight="1"/>
    <row r="438" ht="15" customHeight="1"/>
    <row r="439" ht="15" customHeight="1"/>
    <row r="440" ht="15" customHeight="1"/>
    <row r="441" ht="15" customHeight="1"/>
    <row r="442" ht="15" customHeight="1"/>
    <row r="443" ht="15" customHeight="1"/>
    <row r="444" ht="15" customHeight="1"/>
    <row r="445" ht="15" customHeight="1"/>
    <row r="446" ht="15" customHeight="1"/>
    <row r="447" ht="15" customHeight="1"/>
    <row r="448" ht="15" customHeight="1"/>
    <row r="449" ht="15" customHeight="1"/>
    <row r="450" ht="15" customHeight="1"/>
    <row r="451" ht="15" customHeight="1"/>
    <row r="452" ht="15" customHeight="1"/>
    <row r="453" ht="15" customHeight="1"/>
    <row r="454" ht="15" customHeight="1"/>
    <row r="455" ht="15" customHeight="1"/>
    <row r="456" ht="15" customHeight="1"/>
    <row r="457" ht="15" customHeight="1"/>
    <row r="458" ht="15" customHeight="1"/>
    <row r="459" ht="15" customHeight="1"/>
    <row r="460" ht="15" customHeight="1"/>
    <row r="461" ht="15" customHeight="1"/>
    <row r="462" ht="15" customHeight="1"/>
    <row r="463" ht="15" customHeight="1"/>
    <row r="464" ht="15" customHeight="1"/>
    <row r="465" ht="15" customHeight="1"/>
    <row r="466" ht="15" customHeight="1"/>
    <row r="467" ht="15" customHeight="1"/>
    <row r="468" ht="15" customHeight="1"/>
  </sheetData>
  <sheetProtection algorithmName="SHA-512" hashValue="0hiJKPeuWjNYY8xs+rG6ItKim9u6iP5MxAwtV3pV9TgTP/22nzrEYIsdLJ//9guSS2ZfgFBf061QoC2L83SlpA==" saltValue="bIWwtusDmkjUgEGq7HFPAg==" spinCount="100000" sheet="1" objects="1" scenarios="1"/>
  <dataConsolidate link="1"/>
  <mergeCells count="130">
    <mergeCell ref="C128:O128"/>
    <mergeCell ref="C129:O129"/>
    <mergeCell ref="C150:O150"/>
    <mergeCell ref="C152:O153"/>
    <mergeCell ref="C113:O113"/>
    <mergeCell ref="C123:O123"/>
    <mergeCell ref="C107:O107"/>
    <mergeCell ref="C87:O87"/>
    <mergeCell ref="C70:O70"/>
    <mergeCell ref="C111:O111"/>
    <mergeCell ref="C117:O117"/>
    <mergeCell ref="C118:O118"/>
    <mergeCell ref="C119:O119"/>
    <mergeCell ref="C81:O81"/>
    <mergeCell ref="C116:O116"/>
    <mergeCell ref="C91:O91"/>
    <mergeCell ref="C92:O92"/>
    <mergeCell ref="C88:O88"/>
    <mergeCell ref="C85:O85"/>
    <mergeCell ref="C112:O112"/>
    <mergeCell ref="B167:B168"/>
    <mergeCell ref="C167:O168"/>
    <mergeCell ref="B142:B145"/>
    <mergeCell ref="C142:O145"/>
    <mergeCell ref="C136:O136"/>
    <mergeCell ref="C71:O71"/>
    <mergeCell ref="C86:O86"/>
    <mergeCell ref="C135:O135"/>
    <mergeCell ref="B152:B153"/>
    <mergeCell ref="C163:O163"/>
    <mergeCell ref="C164:O164"/>
    <mergeCell ref="C165:O165"/>
    <mergeCell ref="C166:O166"/>
    <mergeCell ref="C99:O99"/>
    <mergeCell ref="C100:O100"/>
    <mergeCell ref="C101:O101"/>
    <mergeCell ref="C104:O104"/>
    <mergeCell ref="C105:O105"/>
    <mergeCell ref="C106:O106"/>
    <mergeCell ref="C93:O93"/>
    <mergeCell ref="C76:O76"/>
    <mergeCell ref="C77:O77"/>
    <mergeCell ref="C80:O80"/>
    <mergeCell ref="C156:O156"/>
    <mergeCell ref="C215:O215"/>
    <mergeCell ref="C216:O216"/>
    <mergeCell ref="C217:O217"/>
    <mergeCell ref="C94:O94"/>
    <mergeCell ref="C98:O98"/>
    <mergeCell ref="C124:O124"/>
    <mergeCell ref="C130:O130"/>
    <mergeCell ref="B17:B18"/>
    <mergeCell ref="C17:O18"/>
    <mergeCell ref="C34:O34"/>
    <mergeCell ref="C37:O37"/>
    <mergeCell ref="C42:O42"/>
    <mergeCell ref="C43:O43"/>
    <mergeCell ref="C36:O36"/>
    <mergeCell ref="C39:O39"/>
    <mergeCell ref="B54:B59"/>
    <mergeCell ref="C54:O59"/>
    <mergeCell ref="C62:O62"/>
    <mergeCell ref="C63:O63"/>
    <mergeCell ref="C66:O66"/>
    <mergeCell ref="C67:O67"/>
    <mergeCell ref="C24:O24"/>
    <mergeCell ref="C52:O52"/>
    <mergeCell ref="C22:O22"/>
    <mergeCell ref="C9:O9"/>
    <mergeCell ref="C10:O10"/>
    <mergeCell ref="C11:O11"/>
    <mergeCell ref="C12:O12"/>
    <mergeCell ref="C13:O13"/>
    <mergeCell ref="C53:O53"/>
    <mergeCell ref="C47:O47"/>
    <mergeCell ref="C48:O48"/>
    <mergeCell ref="C49:O49"/>
    <mergeCell ref="C50:O50"/>
    <mergeCell ref="C51:O51"/>
    <mergeCell ref="C35:O35"/>
    <mergeCell ref="C14:O14"/>
    <mergeCell ref="C38:O38"/>
    <mergeCell ref="C15:O15"/>
    <mergeCell ref="C25:O25"/>
    <mergeCell ref="C26:O26"/>
    <mergeCell ref="C23:O23"/>
    <mergeCell ref="C28:O28"/>
    <mergeCell ref="C33:O33"/>
    <mergeCell ref="C16:O16"/>
    <mergeCell ref="C27:O27"/>
    <mergeCell ref="B181:B182"/>
    <mergeCell ref="B188:B189"/>
    <mergeCell ref="C203:O203"/>
    <mergeCell ref="C201:O201"/>
    <mergeCell ref="C178:O178"/>
    <mergeCell ref="C204:O204"/>
    <mergeCell ref="C210:O210"/>
    <mergeCell ref="C181:O182"/>
    <mergeCell ref="C186:O186"/>
    <mergeCell ref="C187:O187"/>
    <mergeCell ref="C188:O189"/>
    <mergeCell ref="C192:O192"/>
    <mergeCell ref="C193:O193"/>
    <mergeCell ref="C205:O205"/>
    <mergeCell ref="C206:O206"/>
    <mergeCell ref="C207:O207"/>
    <mergeCell ref="C185:O185"/>
    <mergeCell ref="C212:O212"/>
    <mergeCell ref="C151:O151"/>
    <mergeCell ref="C134:O134"/>
    <mergeCell ref="C139:O139"/>
    <mergeCell ref="C137:O137"/>
    <mergeCell ref="C138:O138"/>
    <mergeCell ref="C179:O179"/>
    <mergeCell ref="C211:O211"/>
    <mergeCell ref="C180:O180"/>
    <mergeCell ref="C197:O197"/>
    <mergeCell ref="C198:O198"/>
    <mergeCell ref="C174:O174"/>
    <mergeCell ref="C175:O175"/>
    <mergeCell ref="C158:O158"/>
    <mergeCell ref="C159:O159"/>
    <mergeCell ref="C209:O209"/>
    <mergeCell ref="C202:O202"/>
    <mergeCell ref="C141:O141"/>
    <mergeCell ref="C140:O140"/>
    <mergeCell ref="C162:O162"/>
    <mergeCell ref="C148:O148"/>
    <mergeCell ref="C149:O149"/>
    <mergeCell ref="C157:O157"/>
  </mergeCells>
  <pageMargins left="0.70866141732283472" right="0.70866141732283472" top="0.74803149606299213" bottom="0.74803149606299213" header="0.31496062992125984" footer="0.31496062992125984"/>
  <pageSetup paperSize="9" scale="50" fitToHeight="0" orientation="landscape" r:id="rId1"/>
  <rowBreaks count="4" manualBreakCount="4">
    <brk id="43" min="1" max="14" man="1"/>
    <brk id="94" min="1" max="14" man="1"/>
    <brk id="153" min="1" max="14" man="1"/>
    <brk id="169" min="1" max="14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">
    <tabColor rgb="FFFFF6DD"/>
    <pageSetUpPr fitToPage="1"/>
  </sheetPr>
  <dimension ref="A1:AF7453"/>
  <sheetViews>
    <sheetView showGridLines="0" zoomScale="80" zoomScaleNormal="80" workbookViewId="0">
      <selection activeCell="E8" sqref="E8"/>
    </sheetView>
  </sheetViews>
  <sheetFormatPr defaultColWidth="0" defaultRowHeight="15" customHeight="1" zeroHeight="1"/>
  <cols>
    <col min="1" max="1" width="2.85546875" style="37" customWidth="1"/>
    <col min="2" max="2" width="52" style="37" customWidth="1"/>
    <col min="3" max="4" width="44.42578125" style="37" hidden="1" customWidth="1"/>
    <col min="5" max="7" width="45" style="37" customWidth="1"/>
    <col min="8" max="9" width="44.42578125" style="37" hidden="1" customWidth="1"/>
    <col min="10" max="10" width="45" style="37" customWidth="1"/>
    <col min="11" max="11" width="3.7109375" style="168" customWidth="1"/>
    <col min="12" max="16" width="33.28515625" style="37" hidden="1" customWidth="1"/>
    <col min="17" max="31" width="15.7109375" style="37" hidden="1" customWidth="1"/>
    <col min="32" max="32" width="2.85546875" style="37" hidden="1" customWidth="1"/>
    <col min="33" max="16384" width="9.140625" style="37" hidden="1"/>
  </cols>
  <sheetData>
    <row r="1" spans="2:31" ht="17.25" customHeight="1">
      <c r="D1" s="165"/>
      <c r="E1" s="165"/>
      <c r="F1" s="470" t="str">
        <f>IF(AND(Программа="Лизинг",E12=1%),"оборудование должно быть включено в реестр российской промышленной продукции, в соответствии с постановлением Правительства Российской Федерации от 17.07.2015 № 719.","")</f>
        <v/>
      </c>
      <c r="G1" s="471"/>
      <c r="H1" s="165"/>
      <c r="I1" s="165"/>
    </row>
    <row r="2" spans="2:31" ht="33" customHeight="1">
      <c r="C2" s="224"/>
      <c r="D2" s="165"/>
      <c r="E2" s="165"/>
      <c r="F2" s="471"/>
      <c r="G2" s="471"/>
      <c r="H2" s="165"/>
      <c r="I2" s="165"/>
      <c r="J2" s="167"/>
    </row>
    <row r="3" spans="2:31" ht="15" customHeight="1">
      <c r="C3" s="224"/>
      <c r="D3" s="165"/>
      <c r="E3" s="165"/>
      <c r="F3" s="166"/>
      <c r="G3" s="219"/>
      <c r="H3" s="165"/>
      <c r="I3" s="165"/>
    </row>
    <row r="4" spans="2:31" ht="15" customHeight="1">
      <c r="D4" s="165"/>
      <c r="E4" s="165"/>
      <c r="F4" s="346"/>
      <c r="G4" s="166"/>
      <c r="H4" s="165"/>
      <c r="I4" s="165"/>
    </row>
    <row r="5" spans="2:31" ht="31.5">
      <c r="B5" s="38" t="s">
        <v>28</v>
      </c>
      <c r="C5" s="38"/>
      <c r="D5" s="38"/>
      <c r="E5" s="39"/>
      <c r="F5" s="155">
        <f>Дата_получения_Займа+support!B3</f>
        <v>46250</v>
      </c>
      <c r="G5" s="39"/>
      <c r="H5" s="38"/>
      <c r="I5" s="38"/>
      <c r="J5" s="472" t="s">
        <v>451</v>
      </c>
      <c r="K5" s="169"/>
      <c r="L5" s="38" t="s">
        <v>396</v>
      </c>
      <c r="M5" s="39"/>
      <c r="N5" s="39"/>
      <c r="O5" s="39"/>
      <c r="P5" s="39"/>
      <c r="Q5" s="39"/>
      <c r="R5" s="39"/>
      <c r="S5" s="39"/>
      <c r="T5" s="39"/>
      <c r="U5" s="39"/>
      <c r="V5" s="39"/>
      <c r="W5" s="39"/>
      <c r="X5" s="39"/>
      <c r="Y5" s="39"/>
      <c r="Z5" s="39"/>
      <c r="AA5" s="39"/>
      <c r="AB5" s="39"/>
      <c r="AC5" s="39"/>
      <c r="AD5" s="39"/>
      <c r="AE5" s="39"/>
    </row>
    <row r="6" spans="2:31" ht="21">
      <c r="B6" s="40" t="s">
        <v>208</v>
      </c>
      <c r="C6" s="40" t="s">
        <v>239</v>
      </c>
      <c r="D6" s="40"/>
      <c r="E6" s="41"/>
      <c r="F6" s="41"/>
      <c r="G6" s="40" t="s">
        <v>209</v>
      </c>
      <c r="J6" s="473"/>
      <c r="K6" s="170"/>
      <c r="L6" s="40" t="s">
        <v>374</v>
      </c>
      <c r="M6" s="41"/>
      <c r="N6" s="41"/>
      <c r="O6" s="41"/>
      <c r="P6" s="41"/>
      <c r="Q6" s="41"/>
      <c r="R6" s="41"/>
      <c r="S6" s="41"/>
      <c r="T6" s="41"/>
      <c r="U6" s="41"/>
      <c r="V6" s="41"/>
      <c r="W6" s="41"/>
      <c r="X6" s="41"/>
      <c r="Y6" s="41"/>
      <c r="Z6" s="41"/>
      <c r="AA6" s="41"/>
      <c r="AB6" s="41"/>
      <c r="AC6" s="41"/>
      <c r="AD6" s="41"/>
      <c r="AE6" s="41"/>
    </row>
    <row r="7" spans="2:31" ht="43.9" customHeight="1">
      <c r="B7" s="56" t="s">
        <v>25</v>
      </c>
      <c r="C7" s="61" t="s">
        <v>240</v>
      </c>
      <c r="D7" s="43">
        <f>DATE(YEAR($J$10),ROUNDUP(MONTH($J$10)/Месяцев_в_квартале,0)*Месяцев_в_квартале-1,15)</f>
        <v>48075</v>
      </c>
      <c r="E7" s="366" t="s">
        <v>21</v>
      </c>
      <c r="F7" s="86" t="str">
        <f>IF(ISBLANK(Программа),"выберите программу","")</f>
        <v/>
      </c>
      <c r="G7" s="68" t="s">
        <v>205</v>
      </c>
      <c r="J7" s="239">
        <f>IF(ISBLANK(Программа),"-",IF(F5&gt;=DATE(D11,12,20),DATE(D11+1,3,20),DATE(D11,D9,20)))</f>
        <v>46285</v>
      </c>
      <c r="L7" s="55" t="s">
        <v>376</v>
      </c>
    </row>
    <row r="8" spans="2:31" ht="15" customHeight="1">
      <c r="B8" s="57" t="s">
        <v>33</v>
      </c>
      <c r="C8" s="62" t="s">
        <v>241</v>
      </c>
      <c r="D8" s="44">
        <f>MONTH(Дата_погашения_Займа)</f>
        <v>8</v>
      </c>
      <c r="E8" s="281">
        <v>100000</v>
      </c>
      <c r="F8" s="87" t="str">
        <f>IFERROR(IF(ISBLANK(E8),"установите значение",IF(OR(E8&lt;VLOOKUP(Программа,'Программы финансирования'!$B$8:$F$15,2,FALSE),E8&gt;VLOOKUP(Программа,'Программы финансирования'!$B$8:$F$15,3,FALSE)),"не соответствует требованиям","")),"")</f>
        <v/>
      </c>
      <c r="G8" s="68" t="s">
        <v>393</v>
      </c>
      <c r="J8" s="239">
        <f>IF(ISBLANK(Программа),"-",EDATE(F5,Месяцев_в_году*3)+1)</f>
        <v>47347</v>
      </c>
      <c r="L8" s="55" t="s">
        <v>377</v>
      </c>
    </row>
    <row r="9" spans="2:31" ht="15" customHeight="1">
      <c r="B9" s="57" t="s">
        <v>211</v>
      </c>
      <c r="C9" s="62" t="s">
        <v>244</v>
      </c>
      <c r="D9" s="44">
        <f>ROUNDUP(MONTH(F5)/Месяцев_в_квартале,0)*Месяцев_в_квартале</f>
        <v>9</v>
      </c>
      <c r="E9" s="345">
        <v>60</v>
      </c>
      <c r="F9" s="86" t="str">
        <f>IFERROR(IF(ISBLANK(E9),"установите значение",
IF(E9&gt;VLOOKUP(Программа,'Программы финансирования'!$B$8:$F$15,4,FALSE),"не соответствует",
IF(AND((Программа='Программы финансирования'!B13),(E9&lt;24)),"не соответствует",
IF(AND((Программа='Программы финансирования'!B12),(E9&lt;24)),"не соответствует",
IF(AND((Программа='Программы финансирования'!B11),(E9&lt;6)),"не соответствует",
IF(AND((Программа='Программы финансирования'!B15),(E9&lt;48)),"не соответствует","")))))),"")</f>
        <v/>
      </c>
      <c r="G9" s="68" t="s">
        <v>204</v>
      </c>
      <c r="I9" s="164"/>
      <c r="J9" s="240">
        <f>IF(OR(ISBLANK(Программа),ISBLANK(E11)),"-",EOMONTH(EDATE(DATE(YEAR($J$10)-IF(D8&gt;D10,0,1),D10,15),SUM(-E11,Месяцев_в_квартале*IF($J$10&lt;=D7,1,2))),0))</f>
        <v>47483</v>
      </c>
      <c r="L9" s="55" t="s">
        <v>442</v>
      </c>
    </row>
    <row r="10" spans="2:31" ht="15" customHeight="1">
      <c r="B10" s="57" t="s">
        <v>305</v>
      </c>
      <c r="C10" s="62" t="s">
        <v>242</v>
      </c>
      <c r="D10" s="44">
        <f>IF(ROUNDUP(D8/3,0)=1,4,ROUNDUP(D8/3,0)-1)*Месяцев_в_квартале</f>
        <v>6</v>
      </c>
      <c r="E10" s="283">
        <v>46250</v>
      </c>
      <c r="F10" s="86" t="str">
        <f>IF(ISBLANK(E10),"установите значение","")</f>
        <v/>
      </c>
      <c r="G10" s="68" t="s">
        <v>30</v>
      </c>
      <c r="J10" s="240">
        <f>IF(ISBLANK(Программа),"-",EDATE(F5,E9))</f>
        <v>48076</v>
      </c>
      <c r="L10" s="55" t="s">
        <v>19</v>
      </c>
    </row>
    <row r="11" spans="2:31" ht="15" customHeight="1">
      <c r="B11" s="56" t="s">
        <v>210</v>
      </c>
      <c r="C11" s="62" t="s">
        <v>243</v>
      </c>
      <c r="D11" s="44">
        <f>YEAR(F5)</f>
        <v>2026</v>
      </c>
      <c r="E11" s="310">
        <f>IF(E9=0,"Установите срок займа",
IF(Программа='Программы финансирования'!B11,INT((E9-3)/3)*3,
IF(Программа='Программы финансирования'!B12,INT((E9-12)/3)*3,
IF(Программа='Программы финансирования'!B13,24,
IF(Программа='Программы финансирования'!B14,24,
IF(Программа='Программы финансирования'!B15,48,""))))))</f>
        <v>24</v>
      </c>
      <c r="F11" s="86"/>
      <c r="G11" s="68" t="s">
        <v>36</v>
      </c>
      <c r="J11" s="241">
        <f>IFERROR(E8/E11*Месяцев_в_квартале,0)</f>
        <v>12500</v>
      </c>
      <c r="L11" s="55" t="s">
        <v>165</v>
      </c>
    </row>
    <row r="12" spans="2:31" ht="15" customHeight="1">
      <c r="B12" s="475" t="s">
        <v>523</v>
      </c>
      <c r="C12" s="63" t="s">
        <v>300</v>
      </c>
      <c r="D12" s="48" t="str">
        <f>IFERROR(IF(COUNTBLANK($E$7:$E$12)=0,"R","Q"),"Q")</f>
        <v>R</v>
      </c>
      <c r="E12" s="477">
        <v>0.05</v>
      </c>
      <c r="F12" s="87" t="str">
        <f>IFERROR(IF(ISBLANK(E12),"установите значение",IF(AND(E12&lt;&gt;VLOOKUP(Программа,'Программы финансирования'!$B$21:$C$25,2,FALSE),E12&lt;&gt;VLOOKUP(Программа,'Программы финансирования'!$B$11:$F$15,5,FALSE)),"не соответствует требованиям","")),"")</f>
        <v/>
      </c>
      <c r="G12" s="68" t="s">
        <v>207</v>
      </c>
      <c r="J12" s="241">
        <f>SUM(E81,J81)</f>
        <v>121214.04109589041</v>
      </c>
      <c r="L12" s="55" t="s">
        <v>20</v>
      </c>
    </row>
    <row r="13" spans="2:31" ht="18.75" customHeight="1">
      <c r="B13" s="476"/>
      <c r="C13" s="63" t="s">
        <v>301</v>
      </c>
      <c r="D13" s="48" t="str">
        <f>IFERROR(IF(COUNTIF(F7:F13,"не соответствует требованиям")&gt;0,"Q","R"),"Q")</f>
        <v>R</v>
      </c>
      <c r="E13" s="478"/>
      <c r="F13" s="86"/>
      <c r="G13" s="68" t="s">
        <v>32</v>
      </c>
      <c r="J13" s="242">
        <f>CEILING(IF(D14="R",SUM(E81,P5498),J12)/1000,0.5)*1000</f>
        <v>121500</v>
      </c>
      <c r="L13" s="55" t="s">
        <v>22</v>
      </c>
    </row>
    <row r="14" spans="2:31" ht="18">
      <c r="B14" s="56" t="s">
        <v>408</v>
      </c>
      <c r="C14" s="64" t="s">
        <v>375</v>
      </c>
      <c r="D14" s="48" t="s">
        <v>522</v>
      </c>
      <c r="E14" s="298" t="s">
        <v>450</v>
      </c>
      <c r="F14" s="86" t="str">
        <f>IF(ISBLANK(E14),"установите значение","")</f>
        <v/>
      </c>
      <c r="G14" s="68" t="s">
        <v>444</v>
      </c>
      <c r="J14" s="258">
        <f>support!C6</f>
        <v>121500</v>
      </c>
      <c r="L14" s="66" t="s">
        <v>378</v>
      </c>
    </row>
    <row r="15" spans="2:31" ht="30">
      <c r="B15" s="56" t="s">
        <v>783</v>
      </c>
      <c r="C15" s="42"/>
      <c r="D15" s="42"/>
      <c r="E15" s="48" t="str">
        <f>IFERROR(IF(E81&lt;&gt;E8,"Q","R"),"Q")</f>
        <v>R</v>
      </c>
      <c r="G15" s="68" t="s">
        <v>445</v>
      </c>
      <c r="H15" s="42"/>
      <c r="I15" s="42"/>
      <c r="J15" s="243">
        <f>support!C7</f>
        <v>46251</v>
      </c>
    </row>
    <row r="16" spans="2:31" ht="21">
      <c r="B16" s="474" t="s">
        <v>39</v>
      </c>
      <c r="C16" s="474"/>
      <c r="D16" s="474"/>
      <c r="E16" s="474"/>
      <c r="F16" s="474"/>
      <c r="G16" s="474" t="s">
        <v>34</v>
      </c>
      <c r="H16" s="474"/>
      <c r="I16" s="474"/>
      <c r="J16" s="474"/>
      <c r="K16" s="170"/>
      <c r="L16" s="40" t="s">
        <v>394</v>
      </c>
      <c r="M16" s="41"/>
      <c r="N16" s="41"/>
      <c r="O16" s="41"/>
      <c r="P16" s="67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pans="2:30" ht="15" customHeight="1">
      <c r="B17" s="472" t="s">
        <v>40</v>
      </c>
      <c r="C17" s="472" t="s">
        <v>53</v>
      </c>
      <c r="D17" s="472" t="s">
        <v>52</v>
      </c>
      <c r="E17" s="472" t="s">
        <v>320</v>
      </c>
      <c r="F17" s="472" t="s">
        <v>206</v>
      </c>
      <c r="G17" s="472" t="s">
        <v>31</v>
      </c>
      <c r="H17" s="472" t="s">
        <v>53</v>
      </c>
      <c r="I17" s="472" t="s">
        <v>52</v>
      </c>
      <c r="J17" s="472" t="s">
        <v>35</v>
      </c>
      <c r="L17" s="472" t="s">
        <v>391</v>
      </c>
      <c r="M17" s="472" t="s">
        <v>320</v>
      </c>
      <c r="N17" s="472" t="s">
        <v>206</v>
      </c>
      <c r="O17" s="472" t="s">
        <v>392</v>
      </c>
      <c r="P17" s="472" t="s">
        <v>395</v>
      </c>
    </row>
    <row r="18" spans="2:30" ht="15" customHeight="1">
      <c r="B18" s="473"/>
      <c r="C18" s="473"/>
      <c r="D18" s="473"/>
      <c r="E18" s="473"/>
      <c r="F18" s="473"/>
      <c r="G18" s="473"/>
      <c r="H18" s="473"/>
      <c r="I18" s="473"/>
      <c r="J18" s="473"/>
      <c r="L18" s="473"/>
      <c r="M18" s="473"/>
      <c r="N18" s="473"/>
      <c r="O18" s="473"/>
      <c r="P18" s="473"/>
    </row>
    <row r="19" spans="2:30">
      <c r="B19" s="84">
        <f t="shared" ref="B19:B61" si="0">IFERROR(IF(OR(COUNTIF($D$12:$D$13,"Q")&gt;0,B18=Дата_погашения_Займа),"-",MIN(EOMONTH(G19,0)+IF(MONTH(G19)=12,15,0),$J$10)),"-")</f>
        <v>46295</v>
      </c>
      <c r="C19" s="85">
        <f t="shared" ref="C19" si="1">IFERROR(YEAR(B19),"-")</f>
        <v>2026</v>
      </c>
      <c r="D19" s="85">
        <f t="shared" ref="D19" si="2">IFERROR(ROUNDUP(MONTH(B19)/Месяцев_в_квартале,0),"-")</f>
        <v>3</v>
      </c>
      <c r="E19" s="79">
        <f t="shared" ref="E19:E80" si="3">IFERROR(IF(B19=$J$10,$J$11,IF(OR(AND(B20=$J$10,B20&gt;=DATE(YEAR(B20),1,15),B20&lt;=$D$7)),0,IF(AND(B19&gt;=$J$9,B19&lt;=$J$10),$J$11,0))),0)</f>
        <v>0</v>
      </c>
      <c r="F19" s="79">
        <f t="shared" ref="F19:F61" si="4">IF(COUNTIF($D$12:$D$13,"Q")&gt;0,"-",IF(ISNUMBER(F18),F18-E19,$E$8))</f>
        <v>100000</v>
      </c>
      <c r="G19" s="84">
        <f t="shared" ref="G19:G80" si="5">IF(OR(COUNTIF($D$12:$D$13,"Q")&gt;0,G18=$J$10,G18="-"),"-",IF(ISNUMBER(G18),MIN(EDATE(G18,3),$J$10),$J$7))</f>
        <v>46285</v>
      </c>
      <c r="H19" s="85">
        <f t="shared" ref="H19:H80" si="6">IFERROR(YEAR(G19),"-")</f>
        <v>2026</v>
      </c>
      <c r="I19" s="85">
        <f t="shared" ref="I19" si="7">IFERROR(ROUNDUP(MONTH(G19)/Месяцев_в_квартале,0),"-")</f>
        <v>3</v>
      </c>
      <c r="J19" s="79">
        <f t="shared" ref="J19:J61" si="8">SUMIFS($O$19:$O$5498,$L$19:$L$5498,"&gt;"&amp;IF(ISNUMBER(G18),G18,$F$5),$L$19:$L$5498,"&lt;="&amp;G19)</f>
        <v>479.45205479452073</v>
      </c>
      <c r="K19" s="170"/>
      <c r="L19" s="58">
        <f t="shared" ref="L19:L97" si="9">IFERROR(IF(MAX(L18+1,$F$5+1)&gt;Дата_погашения_Займа,"-",MAX(L18+1,$F$5+1)),"-")</f>
        <v>46251</v>
      </c>
      <c r="M19" s="59">
        <f t="shared" ref="M19:M82" si="10">IFERROR(VLOOKUP(L19,$B$19:$E$80,4,FALSE),0)</f>
        <v>0</v>
      </c>
      <c r="N19" s="59">
        <f>IF(ISNUMBER(N18),N18-M19,$E$8)</f>
        <v>100000</v>
      </c>
      <c r="O19" s="59">
        <f t="shared" ref="O19:O82" si="11">IFERROR(IF(ISNUMBER(N18),N18,$E$8)*IF(L19&gt;=$J$8,$E$12,$E$12)/IF(MOD(YEAR(L19),4),365,366)*IF(ISBLANK(L18),L19-$F$5,L19-L18),0)</f>
        <v>13.698630136986301</v>
      </c>
      <c r="P19" s="59">
        <f>IFERROR(IF(ISNUMBER(N18),N18,$E$8)*3%/IF(MOD(YEAR(L19),4),365,366)*IF(ISBLANK(L18),(L19-$F$5),L19-L18),0)</f>
        <v>8.2191780821917817</v>
      </c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</row>
    <row r="20" spans="2:30" ht="15" customHeight="1">
      <c r="B20" s="84">
        <f t="shared" si="0"/>
        <v>46402</v>
      </c>
      <c r="C20" s="85">
        <f t="shared" ref="C20:C59" si="12">IFERROR(YEAR(B20),"-")</f>
        <v>2027</v>
      </c>
      <c r="D20" s="85">
        <f t="shared" ref="D20:D59" si="13">IFERROR(ROUNDUP(MONTH(B20)/Месяцев_в_квартале,0),"-")</f>
        <v>1</v>
      </c>
      <c r="E20" s="79">
        <f t="shared" si="3"/>
        <v>0</v>
      </c>
      <c r="F20" s="79">
        <f t="shared" si="4"/>
        <v>100000</v>
      </c>
      <c r="G20" s="84">
        <f>IF(OR(COUNTIF($D$12:$D$13,"Q")&gt;0,G19=$J$10,G19="-"),"-",IF(ISNUMBER(G19),MIN(EDATE(G19,3),$J$10),$J$7))</f>
        <v>46376</v>
      </c>
      <c r="H20" s="85">
        <f t="shared" si="6"/>
        <v>2026</v>
      </c>
      <c r="I20" s="85">
        <f t="shared" ref="I20:I59" si="14">IFERROR(ROUNDUP(MONTH(G20)/Месяцев_в_квартале,0),"-")</f>
        <v>4</v>
      </c>
      <c r="J20" s="79">
        <f t="shared" si="8"/>
        <v>1246.575342465753</v>
      </c>
      <c r="K20" s="170"/>
      <c r="L20" s="58">
        <f t="shared" si="9"/>
        <v>46252</v>
      </c>
      <c r="M20" s="59">
        <f t="shared" si="10"/>
        <v>0</v>
      </c>
      <c r="N20" s="59">
        <f t="shared" ref="N20:N47" si="15">IF(ISNUMBER(N19),N19-M20,$E$8)</f>
        <v>100000</v>
      </c>
      <c r="O20" s="59">
        <f t="shared" si="11"/>
        <v>13.698630136986301</v>
      </c>
      <c r="P20" s="59">
        <f t="shared" ref="P20:P47" si="16">IFERROR(IF(ISNUMBER(N19),N19,$E$8)*3%/IF(MOD(YEAR(L20),4),365,366)*IF(ISBLANK(L19),(L20-$F$5),L20-L19),0)</f>
        <v>8.2191780821917817</v>
      </c>
    </row>
    <row r="21" spans="2:30" ht="15" customHeight="1">
      <c r="B21" s="84">
        <f t="shared" si="0"/>
        <v>46477</v>
      </c>
      <c r="C21" s="85">
        <f t="shared" si="12"/>
        <v>2027</v>
      </c>
      <c r="D21" s="85">
        <f t="shared" si="13"/>
        <v>1</v>
      </c>
      <c r="E21" s="79">
        <f t="shared" si="3"/>
        <v>0</v>
      </c>
      <c r="F21" s="79">
        <f t="shared" si="4"/>
        <v>100000</v>
      </c>
      <c r="G21" s="84">
        <f t="shared" si="5"/>
        <v>46466</v>
      </c>
      <c r="H21" s="85">
        <f t="shared" si="6"/>
        <v>2027</v>
      </c>
      <c r="I21" s="85">
        <f t="shared" si="14"/>
        <v>1</v>
      </c>
      <c r="J21" s="79">
        <f t="shared" si="8"/>
        <v>1232.8767123287666</v>
      </c>
      <c r="K21" s="170"/>
      <c r="L21" s="58">
        <f t="shared" si="9"/>
        <v>46253</v>
      </c>
      <c r="M21" s="59">
        <f t="shared" si="10"/>
        <v>0</v>
      </c>
      <c r="N21" s="59">
        <f t="shared" si="15"/>
        <v>100000</v>
      </c>
      <c r="O21" s="59">
        <f t="shared" si="11"/>
        <v>13.698630136986301</v>
      </c>
      <c r="P21" s="59">
        <f t="shared" si="16"/>
        <v>8.2191780821917817</v>
      </c>
    </row>
    <row r="22" spans="2:30" ht="15" customHeight="1">
      <c r="B22" s="84">
        <f t="shared" si="0"/>
        <v>46568</v>
      </c>
      <c r="C22" s="85">
        <f t="shared" si="12"/>
        <v>2027</v>
      </c>
      <c r="D22" s="85">
        <f t="shared" si="13"/>
        <v>2</v>
      </c>
      <c r="E22" s="79">
        <f t="shared" si="3"/>
        <v>0</v>
      </c>
      <c r="F22" s="79">
        <f t="shared" si="4"/>
        <v>100000</v>
      </c>
      <c r="G22" s="84">
        <f t="shared" si="5"/>
        <v>46558</v>
      </c>
      <c r="H22" s="85">
        <f t="shared" si="6"/>
        <v>2027</v>
      </c>
      <c r="I22" s="85">
        <f t="shared" si="14"/>
        <v>2</v>
      </c>
      <c r="J22" s="79">
        <f t="shared" si="8"/>
        <v>1260.2739726027394</v>
      </c>
      <c r="K22" s="170"/>
      <c r="L22" s="58">
        <f t="shared" si="9"/>
        <v>46254</v>
      </c>
      <c r="M22" s="59">
        <f t="shared" si="10"/>
        <v>0</v>
      </c>
      <c r="N22" s="59">
        <f t="shared" si="15"/>
        <v>100000</v>
      </c>
      <c r="O22" s="59">
        <f t="shared" si="11"/>
        <v>13.698630136986301</v>
      </c>
      <c r="P22" s="59">
        <f t="shared" si="16"/>
        <v>8.2191780821917817</v>
      </c>
    </row>
    <row r="23" spans="2:30" ht="15" customHeight="1">
      <c r="B23" s="84">
        <f t="shared" si="0"/>
        <v>46660</v>
      </c>
      <c r="C23" s="85">
        <f t="shared" si="12"/>
        <v>2027</v>
      </c>
      <c r="D23" s="85">
        <f t="shared" si="13"/>
        <v>3</v>
      </c>
      <c r="E23" s="79">
        <f t="shared" si="3"/>
        <v>0</v>
      </c>
      <c r="F23" s="79">
        <f t="shared" si="4"/>
        <v>100000</v>
      </c>
      <c r="G23" s="84">
        <f t="shared" si="5"/>
        <v>46650</v>
      </c>
      <c r="H23" s="85">
        <f t="shared" si="6"/>
        <v>2027</v>
      </c>
      <c r="I23" s="85">
        <f t="shared" si="14"/>
        <v>3</v>
      </c>
      <c r="J23" s="79">
        <f t="shared" si="8"/>
        <v>1260.2739726027394</v>
      </c>
      <c r="K23" s="170"/>
      <c r="L23" s="58">
        <f t="shared" si="9"/>
        <v>46255</v>
      </c>
      <c r="M23" s="59">
        <f t="shared" si="10"/>
        <v>0</v>
      </c>
      <c r="N23" s="59">
        <f t="shared" si="15"/>
        <v>100000</v>
      </c>
      <c r="O23" s="59">
        <f t="shared" si="11"/>
        <v>13.698630136986301</v>
      </c>
      <c r="P23" s="59">
        <f t="shared" si="16"/>
        <v>8.2191780821917817</v>
      </c>
    </row>
    <row r="24" spans="2:30" ht="15" customHeight="1">
      <c r="B24" s="84">
        <f t="shared" si="0"/>
        <v>46767</v>
      </c>
      <c r="C24" s="85">
        <f t="shared" si="12"/>
        <v>2028</v>
      </c>
      <c r="D24" s="85">
        <f t="shared" si="13"/>
        <v>1</v>
      </c>
      <c r="E24" s="79">
        <f t="shared" si="3"/>
        <v>0</v>
      </c>
      <c r="F24" s="79">
        <f t="shared" si="4"/>
        <v>100000</v>
      </c>
      <c r="G24" s="84">
        <f t="shared" si="5"/>
        <v>46741</v>
      </c>
      <c r="H24" s="85">
        <f t="shared" si="6"/>
        <v>2027</v>
      </c>
      <c r="I24" s="85">
        <f t="shared" si="14"/>
        <v>4</v>
      </c>
      <c r="J24" s="79">
        <f t="shared" si="8"/>
        <v>1246.575342465753</v>
      </c>
      <c r="K24" s="170"/>
      <c r="L24" s="58">
        <f t="shared" si="9"/>
        <v>46256</v>
      </c>
      <c r="M24" s="59">
        <f t="shared" si="10"/>
        <v>0</v>
      </c>
      <c r="N24" s="59">
        <f t="shared" si="15"/>
        <v>100000</v>
      </c>
      <c r="O24" s="59">
        <f t="shared" si="11"/>
        <v>13.698630136986301</v>
      </c>
      <c r="P24" s="59">
        <f t="shared" si="16"/>
        <v>8.2191780821917817</v>
      </c>
    </row>
    <row r="25" spans="2:30" ht="15" customHeight="1">
      <c r="B25" s="84">
        <f t="shared" si="0"/>
        <v>46843</v>
      </c>
      <c r="C25" s="85">
        <f t="shared" si="12"/>
        <v>2028</v>
      </c>
      <c r="D25" s="85">
        <f t="shared" si="13"/>
        <v>1</v>
      </c>
      <c r="E25" s="79">
        <f t="shared" si="3"/>
        <v>0</v>
      </c>
      <c r="F25" s="79">
        <f t="shared" si="4"/>
        <v>100000</v>
      </c>
      <c r="G25" s="84">
        <f t="shared" si="5"/>
        <v>46832</v>
      </c>
      <c r="H25" s="85">
        <f t="shared" si="6"/>
        <v>2028</v>
      </c>
      <c r="I25" s="85">
        <f t="shared" si="14"/>
        <v>1</v>
      </c>
      <c r="J25" s="79">
        <f t="shared" si="8"/>
        <v>1243.5811063702372</v>
      </c>
      <c r="K25" s="170"/>
      <c r="L25" s="58">
        <f t="shared" si="9"/>
        <v>46257</v>
      </c>
      <c r="M25" s="59">
        <f t="shared" si="10"/>
        <v>0</v>
      </c>
      <c r="N25" s="59">
        <f t="shared" si="15"/>
        <v>100000</v>
      </c>
      <c r="O25" s="59">
        <f t="shared" si="11"/>
        <v>13.698630136986301</v>
      </c>
      <c r="P25" s="59">
        <f t="shared" si="16"/>
        <v>8.2191780821917817</v>
      </c>
    </row>
    <row r="26" spans="2:30" ht="15" customHeight="1">
      <c r="B26" s="84">
        <f t="shared" si="0"/>
        <v>46934</v>
      </c>
      <c r="C26" s="85">
        <f t="shared" si="12"/>
        <v>2028</v>
      </c>
      <c r="D26" s="85">
        <f t="shared" si="13"/>
        <v>2</v>
      </c>
      <c r="E26" s="79">
        <f t="shared" si="3"/>
        <v>0</v>
      </c>
      <c r="F26" s="79">
        <f t="shared" si="4"/>
        <v>100000</v>
      </c>
      <c r="G26" s="84">
        <f t="shared" si="5"/>
        <v>46924</v>
      </c>
      <c r="H26" s="85">
        <f t="shared" si="6"/>
        <v>2028</v>
      </c>
      <c r="I26" s="85">
        <f t="shared" si="14"/>
        <v>2</v>
      </c>
      <c r="J26" s="79">
        <f t="shared" si="8"/>
        <v>1256.8306010928961</v>
      </c>
      <c r="K26" s="170"/>
      <c r="L26" s="58">
        <f t="shared" si="9"/>
        <v>46258</v>
      </c>
      <c r="M26" s="59">
        <f t="shared" si="10"/>
        <v>0</v>
      </c>
      <c r="N26" s="59">
        <f t="shared" si="15"/>
        <v>100000</v>
      </c>
      <c r="O26" s="59">
        <f t="shared" si="11"/>
        <v>13.698630136986301</v>
      </c>
      <c r="P26" s="59">
        <f t="shared" si="16"/>
        <v>8.2191780821917817</v>
      </c>
    </row>
    <row r="27" spans="2:30" ht="15" customHeight="1">
      <c r="B27" s="84">
        <f t="shared" si="0"/>
        <v>47026</v>
      </c>
      <c r="C27" s="85">
        <f t="shared" si="12"/>
        <v>2028</v>
      </c>
      <c r="D27" s="85">
        <f t="shared" si="13"/>
        <v>3</v>
      </c>
      <c r="E27" s="79">
        <f t="shared" si="3"/>
        <v>0</v>
      </c>
      <c r="F27" s="79">
        <f t="shared" si="4"/>
        <v>100000</v>
      </c>
      <c r="G27" s="84">
        <f t="shared" si="5"/>
        <v>47016</v>
      </c>
      <c r="H27" s="85">
        <f t="shared" si="6"/>
        <v>2028</v>
      </c>
      <c r="I27" s="85">
        <f t="shared" si="14"/>
        <v>3</v>
      </c>
      <c r="J27" s="79">
        <f t="shared" si="8"/>
        <v>1256.8306010928961</v>
      </c>
      <c r="K27" s="170"/>
      <c r="L27" s="58">
        <f t="shared" si="9"/>
        <v>46259</v>
      </c>
      <c r="M27" s="59">
        <f t="shared" si="10"/>
        <v>0</v>
      </c>
      <c r="N27" s="59">
        <f t="shared" si="15"/>
        <v>100000</v>
      </c>
      <c r="O27" s="59">
        <f t="shared" si="11"/>
        <v>13.698630136986301</v>
      </c>
      <c r="P27" s="59">
        <f t="shared" si="16"/>
        <v>8.2191780821917817</v>
      </c>
    </row>
    <row r="28" spans="2:30" ht="15" customHeight="1">
      <c r="B28" s="84">
        <f t="shared" si="0"/>
        <v>47133</v>
      </c>
      <c r="C28" s="85">
        <f t="shared" si="12"/>
        <v>2029</v>
      </c>
      <c r="D28" s="85">
        <f t="shared" si="13"/>
        <v>1</v>
      </c>
      <c r="E28" s="79">
        <f t="shared" si="3"/>
        <v>0</v>
      </c>
      <c r="F28" s="79">
        <f t="shared" si="4"/>
        <v>100000</v>
      </c>
      <c r="G28" s="84">
        <f t="shared" si="5"/>
        <v>47107</v>
      </c>
      <c r="H28" s="85">
        <f t="shared" si="6"/>
        <v>2028</v>
      </c>
      <c r="I28" s="85">
        <f t="shared" si="14"/>
        <v>4</v>
      </c>
      <c r="J28" s="79">
        <f t="shared" si="8"/>
        <v>1243.1693989071039</v>
      </c>
      <c r="K28" s="170"/>
      <c r="L28" s="58">
        <f t="shared" si="9"/>
        <v>46260</v>
      </c>
      <c r="M28" s="59">
        <f t="shared" si="10"/>
        <v>0</v>
      </c>
      <c r="N28" s="59">
        <f t="shared" si="15"/>
        <v>100000</v>
      </c>
      <c r="O28" s="59">
        <f t="shared" si="11"/>
        <v>13.698630136986301</v>
      </c>
      <c r="P28" s="59">
        <f t="shared" si="16"/>
        <v>8.2191780821917817</v>
      </c>
    </row>
    <row r="29" spans="2:30" ht="15" customHeight="1">
      <c r="B29" s="84">
        <f t="shared" si="0"/>
        <v>47208</v>
      </c>
      <c r="C29" s="85">
        <f t="shared" si="12"/>
        <v>2029</v>
      </c>
      <c r="D29" s="85">
        <f t="shared" si="13"/>
        <v>1</v>
      </c>
      <c r="E29" s="79">
        <f t="shared" si="3"/>
        <v>0</v>
      </c>
      <c r="F29" s="79">
        <f t="shared" si="4"/>
        <v>100000</v>
      </c>
      <c r="G29" s="84">
        <f t="shared" si="5"/>
        <v>47197</v>
      </c>
      <c r="H29" s="85">
        <f t="shared" si="6"/>
        <v>2029</v>
      </c>
      <c r="I29" s="85">
        <f t="shared" si="14"/>
        <v>1</v>
      </c>
      <c r="J29" s="79">
        <f t="shared" si="8"/>
        <v>1232.4650048656331</v>
      </c>
      <c r="K29" s="170"/>
      <c r="L29" s="58">
        <f t="shared" si="9"/>
        <v>46261</v>
      </c>
      <c r="M29" s="59">
        <f t="shared" si="10"/>
        <v>0</v>
      </c>
      <c r="N29" s="59">
        <f t="shared" si="15"/>
        <v>100000</v>
      </c>
      <c r="O29" s="59">
        <f t="shared" si="11"/>
        <v>13.698630136986301</v>
      </c>
      <c r="P29" s="59">
        <f t="shared" si="16"/>
        <v>8.2191780821917817</v>
      </c>
    </row>
    <row r="30" spans="2:30" ht="15" customHeight="1">
      <c r="B30" s="84">
        <f t="shared" si="0"/>
        <v>47299</v>
      </c>
      <c r="C30" s="85">
        <f t="shared" si="12"/>
        <v>2029</v>
      </c>
      <c r="D30" s="85">
        <f t="shared" si="13"/>
        <v>2</v>
      </c>
      <c r="E30" s="79">
        <f t="shared" si="3"/>
        <v>0</v>
      </c>
      <c r="F30" s="79">
        <f t="shared" si="4"/>
        <v>100000</v>
      </c>
      <c r="G30" s="84">
        <f t="shared" si="5"/>
        <v>47289</v>
      </c>
      <c r="H30" s="85">
        <f t="shared" si="6"/>
        <v>2029</v>
      </c>
      <c r="I30" s="85">
        <f t="shared" si="14"/>
        <v>2</v>
      </c>
      <c r="J30" s="79">
        <f t="shared" si="8"/>
        <v>1260.2739726027394</v>
      </c>
      <c r="K30" s="170"/>
      <c r="L30" s="58">
        <f t="shared" si="9"/>
        <v>46262</v>
      </c>
      <c r="M30" s="59">
        <f t="shared" si="10"/>
        <v>0</v>
      </c>
      <c r="N30" s="59">
        <f t="shared" si="15"/>
        <v>100000</v>
      </c>
      <c r="O30" s="59">
        <f t="shared" si="11"/>
        <v>13.698630136986301</v>
      </c>
      <c r="P30" s="59">
        <f t="shared" si="16"/>
        <v>8.2191780821917817</v>
      </c>
    </row>
    <row r="31" spans="2:30" ht="15" customHeight="1">
      <c r="B31" s="84">
        <f t="shared" si="0"/>
        <v>47391</v>
      </c>
      <c r="C31" s="85">
        <f t="shared" si="12"/>
        <v>2029</v>
      </c>
      <c r="D31" s="85">
        <f t="shared" si="13"/>
        <v>3</v>
      </c>
      <c r="E31" s="79">
        <f t="shared" si="3"/>
        <v>0</v>
      </c>
      <c r="F31" s="79">
        <f t="shared" si="4"/>
        <v>100000</v>
      </c>
      <c r="G31" s="84">
        <f t="shared" si="5"/>
        <v>47381</v>
      </c>
      <c r="H31" s="85">
        <f t="shared" si="6"/>
        <v>2029</v>
      </c>
      <c r="I31" s="85">
        <f t="shared" si="14"/>
        <v>3</v>
      </c>
      <c r="J31" s="79">
        <f t="shared" si="8"/>
        <v>1260.2739726027394</v>
      </c>
      <c r="K31" s="170"/>
      <c r="L31" s="58">
        <f t="shared" si="9"/>
        <v>46263</v>
      </c>
      <c r="M31" s="59">
        <f t="shared" si="10"/>
        <v>0</v>
      </c>
      <c r="N31" s="59">
        <f t="shared" si="15"/>
        <v>100000</v>
      </c>
      <c r="O31" s="59">
        <f t="shared" si="11"/>
        <v>13.698630136986301</v>
      </c>
      <c r="P31" s="59">
        <f t="shared" si="16"/>
        <v>8.2191780821917817</v>
      </c>
    </row>
    <row r="32" spans="2:30" ht="15" customHeight="1">
      <c r="B32" s="84">
        <f t="shared" si="0"/>
        <v>47498</v>
      </c>
      <c r="C32" s="85">
        <f t="shared" si="12"/>
        <v>2030</v>
      </c>
      <c r="D32" s="85">
        <f t="shared" si="13"/>
        <v>1</v>
      </c>
      <c r="E32" s="225">
        <f t="shared" si="3"/>
        <v>12500</v>
      </c>
      <c r="F32" s="79">
        <f t="shared" si="4"/>
        <v>87500</v>
      </c>
      <c r="G32" s="84">
        <f t="shared" si="5"/>
        <v>47472</v>
      </c>
      <c r="H32" s="85">
        <f t="shared" si="6"/>
        <v>2029</v>
      </c>
      <c r="I32" s="85">
        <f t="shared" si="14"/>
        <v>4</v>
      </c>
      <c r="J32" s="79">
        <f t="shared" si="8"/>
        <v>1246.575342465753</v>
      </c>
      <c r="K32" s="170"/>
      <c r="L32" s="58">
        <f t="shared" si="9"/>
        <v>46264</v>
      </c>
      <c r="M32" s="59">
        <f t="shared" si="10"/>
        <v>0</v>
      </c>
      <c r="N32" s="59">
        <f t="shared" si="15"/>
        <v>100000</v>
      </c>
      <c r="O32" s="59">
        <f t="shared" si="11"/>
        <v>13.698630136986301</v>
      </c>
      <c r="P32" s="59">
        <f t="shared" si="16"/>
        <v>8.2191780821917817</v>
      </c>
    </row>
    <row r="33" spans="2:16" ht="15" customHeight="1">
      <c r="B33" s="84">
        <f t="shared" si="0"/>
        <v>47573</v>
      </c>
      <c r="C33" s="85">
        <f t="shared" si="12"/>
        <v>2030</v>
      </c>
      <c r="D33" s="85">
        <f t="shared" si="13"/>
        <v>1</v>
      </c>
      <c r="E33" s="79">
        <f t="shared" si="3"/>
        <v>12500</v>
      </c>
      <c r="F33" s="79">
        <f t="shared" si="4"/>
        <v>75000</v>
      </c>
      <c r="G33" s="84">
        <f t="shared" si="5"/>
        <v>47562</v>
      </c>
      <c r="H33" s="85">
        <f t="shared" si="6"/>
        <v>2030</v>
      </c>
      <c r="I33" s="85">
        <f t="shared" si="14"/>
        <v>1</v>
      </c>
      <c r="J33" s="79">
        <f t="shared" si="8"/>
        <v>1123.287671232875</v>
      </c>
      <c r="K33" s="170"/>
      <c r="L33" s="58">
        <f t="shared" si="9"/>
        <v>46265</v>
      </c>
      <c r="M33" s="59">
        <f t="shared" si="10"/>
        <v>0</v>
      </c>
      <c r="N33" s="59">
        <f t="shared" si="15"/>
        <v>100000</v>
      </c>
      <c r="O33" s="59">
        <f t="shared" si="11"/>
        <v>13.698630136986301</v>
      </c>
      <c r="P33" s="59">
        <f t="shared" si="16"/>
        <v>8.2191780821917817</v>
      </c>
    </row>
    <row r="34" spans="2:16" ht="15" customHeight="1">
      <c r="B34" s="84">
        <f t="shared" si="0"/>
        <v>47664</v>
      </c>
      <c r="C34" s="85">
        <f t="shared" si="12"/>
        <v>2030</v>
      </c>
      <c r="D34" s="85">
        <f t="shared" si="13"/>
        <v>2</v>
      </c>
      <c r="E34" s="79">
        <f t="shared" si="3"/>
        <v>12500</v>
      </c>
      <c r="F34" s="79">
        <f t="shared" si="4"/>
        <v>62500</v>
      </c>
      <c r="G34" s="84">
        <f t="shared" si="5"/>
        <v>47654</v>
      </c>
      <c r="H34" s="85">
        <f t="shared" si="6"/>
        <v>2030</v>
      </c>
      <c r="I34" s="85">
        <f t="shared" si="14"/>
        <v>2</v>
      </c>
      <c r="J34" s="79">
        <f t="shared" si="8"/>
        <v>964.04109589041036</v>
      </c>
      <c r="K34" s="170"/>
      <c r="L34" s="58">
        <f t="shared" si="9"/>
        <v>46266</v>
      </c>
      <c r="M34" s="59">
        <f t="shared" si="10"/>
        <v>0</v>
      </c>
      <c r="N34" s="59">
        <f t="shared" si="15"/>
        <v>100000</v>
      </c>
      <c r="O34" s="59">
        <f t="shared" si="11"/>
        <v>13.698630136986301</v>
      </c>
      <c r="P34" s="59">
        <f t="shared" si="16"/>
        <v>8.2191780821917817</v>
      </c>
    </row>
    <row r="35" spans="2:16" ht="15" customHeight="1">
      <c r="B35" s="84">
        <f t="shared" si="0"/>
        <v>47756</v>
      </c>
      <c r="C35" s="85">
        <f t="shared" si="12"/>
        <v>2030</v>
      </c>
      <c r="D35" s="85">
        <f t="shared" si="13"/>
        <v>3</v>
      </c>
      <c r="E35" s="79">
        <f t="shared" si="3"/>
        <v>12500</v>
      </c>
      <c r="F35" s="79">
        <f t="shared" si="4"/>
        <v>50000</v>
      </c>
      <c r="G35" s="84">
        <f t="shared" si="5"/>
        <v>47746</v>
      </c>
      <c r="H35" s="85">
        <f t="shared" si="6"/>
        <v>2030</v>
      </c>
      <c r="I35" s="85">
        <f t="shared" si="14"/>
        <v>3</v>
      </c>
      <c r="J35" s="79">
        <f t="shared" si="8"/>
        <v>804.79452054794615</v>
      </c>
      <c r="K35" s="170"/>
      <c r="L35" s="58">
        <f t="shared" si="9"/>
        <v>46267</v>
      </c>
      <c r="M35" s="59">
        <f t="shared" si="10"/>
        <v>0</v>
      </c>
      <c r="N35" s="59">
        <f t="shared" si="15"/>
        <v>100000</v>
      </c>
      <c r="O35" s="59">
        <f t="shared" si="11"/>
        <v>13.698630136986301</v>
      </c>
      <c r="P35" s="59">
        <f t="shared" si="16"/>
        <v>8.2191780821917817</v>
      </c>
    </row>
    <row r="36" spans="2:16" ht="15" customHeight="1">
      <c r="B36" s="84">
        <f t="shared" si="0"/>
        <v>47863</v>
      </c>
      <c r="C36" s="85">
        <f t="shared" si="12"/>
        <v>2031</v>
      </c>
      <c r="D36" s="85">
        <f t="shared" si="13"/>
        <v>1</v>
      </c>
      <c r="E36" s="79">
        <f t="shared" si="3"/>
        <v>12500</v>
      </c>
      <c r="F36" s="79">
        <f t="shared" si="4"/>
        <v>37500</v>
      </c>
      <c r="G36" s="84">
        <f t="shared" si="5"/>
        <v>47837</v>
      </c>
      <c r="H36" s="85">
        <f t="shared" si="6"/>
        <v>2030</v>
      </c>
      <c r="I36" s="85">
        <f t="shared" si="14"/>
        <v>4</v>
      </c>
      <c r="J36" s="79">
        <f t="shared" si="8"/>
        <v>640.41095890410941</v>
      </c>
      <c r="K36" s="170"/>
      <c r="L36" s="58">
        <f t="shared" si="9"/>
        <v>46268</v>
      </c>
      <c r="M36" s="59">
        <f t="shared" si="10"/>
        <v>0</v>
      </c>
      <c r="N36" s="59">
        <f t="shared" si="15"/>
        <v>100000</v>
      </c>
      <c r="O36" s="59">
        <f t="shared" si="11"/>
        <v>13.698630136986301</v>
      </c>
      <c r="P36" s="59">
        <f t="shared" si="16"/>
        <v>8.2191780821917817</v>
      </c>
    </row>
    <row r="37" spans="2:16" ht="15" customHeight="1">
      <c r="B37" s="84">
        <f t="shared" si="0"/>
        <v>47938</v>
      </c>
      <c r="C37" s="85">
        <f t="shared" si="12"/>
        <v>2031</v>
      </c>
      <c r="D37" s="85">
        <f t="shared" si="13"/>
        <v>1</v>
      </c>
      <c r="E37" s="79">
        <f t="shared" si="3"/>
        <v>12500</v>
      </c>
      <c r="F37" s="79">
        <f t="shared" si="4"/>
        <v>25000</v>
      </c>
      <c r="G37" s="84">
        <f t="shared" si="5"/>
        <v>47927</v>
      </c>
      <c r="H37" s="85">
        <f t="shared" si="6"/>
        <v>2031</v>
      </c>
      <c r="I37" s="85">
        <f t="shared" si="14"/>
        <v>1</v>
      </c>
      <c r="J37" s="79">
        <f t="shared" si="8"/>
        <v>506.84931506849296</v>
      </c>
      <c r="K37" s="170"/>
      <c r="L37" s="58">
        <f t="shared" si="9"/>
        <v>46269</v>
      </c>
      <c r="M37" s="59">
        <f t="shared" si="10"/>
        <v>0</v>
      </c>
      <c r="N37" s="59">
        <f t="shared" si="15"/>
        <v>100000</v>
      </c>
      <c r="O37" s="59">
        <f t="shared" si="11"/>
        <v>13.698630136986301</v>
      </c>
      <c r="P37" s="59">
        <f t="shared" si="16"/>
        <v>8.2191780821917817</v>
      </c>
    </row>
    <row r="38" spans="2:16" ht="15" customHeight="1">
      <c r="B38" s="84">
        <f t="shared" si="0"/>
        <v>48029</v>
      </c>
      <c r="C38" s="85">
        <f t="shared" si="12"/>
        <v>2031</v>
      </c>
      <c r="D38" s="85">
        <f t="shared" si="13"/>
        <v>2</v>
      </c>
      <c r="E38" s="79">
        <f t="shared" si="3"/>
        <v>12500</v>
      </c>
      <c r="F38" s="79">
        <f t="shared" si="4"/>
        <v>12500</v>
      </c>
      <c r="G38" s="84">
        <f t="shared" si="5"/>
        <v>48019</v>
      </c>
      <c r="H38" s="85">
        <f t="shared" si="6"/>
        <v>2031</v>
      </c>
      <c r="I38" s="85">
        <f t="shared" si="14"/>
        <v>2</v>
      </c>
      <c r="J38" s="79">
        <f t="shared" si="8"/>
        <v>333.90410958904101</v>
      </c>
      <c r="K38" s="170"/>
      <c r="L38" s="58">
        <f t="shared" si="9"/>
        <v>46270</v>
      </c>
      <c r="M38" s="59">
        <f t="shared" si="10"/>
        <v>0</v>
      </c>
      <c r="N38" s="59">
        <f t="shared" si="15"/>
        <v>100000</v>
      </c>
      <c r="O38" s="59">
        <f t="shared" si="11"/>
        <v>13.698630136986301</v>
      </c>
      <c r="P38" s="59">
        <f t="shared" si="16"/>
        <v>8.2191780821917817</v>
      </c>
    </row>
    <row r="39" spans="2:16" ht="15" customHeight="1">
      <c r="B39" s="84">
        <f t="shared" si="0"/>
        <v>48076</v>
      </c>
      <c r="C39" s="85">
        <f t="shared" si="12"/>
        <v>2031</v>
      </c>
      <c r="D39" s="85">
        <f t="shared" si="13"/>
        <v>3</v>
      </c>
      <c r="E39" s="79">
        <f t="shared" si="3"/>
        <v>12500</v>
      </c>
      <c r="F39" s="79">
        <f t="shared" si="4"/>
        <v>0</v>
      </c>
      <c r="G39" s="84">
        <f t="shared" si="5"/>
        <v>48076</v>
      </c>
      <c r="H39" s="85">
        <f t="shared" si="6"/>
        <v>2031</v>
      </c>
      <c r="I39" s="85">
        <f t="shared" si="14"/>
        <v>3</v>
      </c>
      <c r="J39" s="79">
        <f t="shared" si="8"/>
        <v>114.72602739726011</v>
      </c>
      <c r="K39" s="170"/>
      <c r="L39" s="58">
        <f t="shared" si="9"/>
        <v>46271</v>
      </c>
      <c r="M39" s="59">
        <f t="shared" si="10"/>
        <v>0</v>
      </c>
      <c r="N39" s="59">
        <f t="shared" si="15"/>
        <v>100000</v>
      </c>
      <c r="O39" s="59">
        <f t="shared" si="11"/>
        <v>13.698630136986301</v>
      </c>
      <c r="P39" s="59">
        <f t="shared" si="16"/>
        <v>8.2191780821917817</v>
      </c>
    </row>
    <row r="40" spans="2:16" ht="15" customHeight="1">
      <c r="B40" s="84" t="str">
        <f t="shared" si="0"/>
        <v>-</v>
      </c>
      <c r="C40" s="85" t="str">
        <f t="shared" si="12"/>
        <v>-</v>
      </c>
      <c r="D40" s="85" t="str">
        <f t="shared" si="13"/>
        <v>-</v>
      </c>
      <c r="E40" s="79">
        <f t="shared" si="3"/>
        <v>0</v>
      </c>
      <c r="F40" s="79">
        <f t="shared" si="4"/>
        <v>0</v>
      </c>
      <c r="G40" s="84" t="str">
        <f t="shared" si="5"/>
        <v>-</v>
      </c>
      <c r="H40" s="85" t="str">
        <f t="shared" si="6"/>
        <v>-</v>
      </c>
      <c r="I40" s="85" t="str">
        <f t="shared" si="14"/>
        <v>-</v>
      </c>
      <c r="J40" s="79">
        <f t="shared" si="8"/>
        <v>0</v>
      </c>
      <c r="K40" s="170"/>
      <c r="L40" s="58">
        <f t="shared" si="9"/>
        <v>46272</v>
      </c>
      <c r="M40" s="59">
        <f t="shared" si="10"/>
        <v>0</v>
      </c>
      <c r="N40" s="59">
        <f t="shared" si="15"/>
        <v>100000</v>
      </c>
      <c r="O40" s="59">
        <f t="shared" si="11"/>
        <v>13.698630136986301</v>
      </c>
      <c r="P40" s="59">
        <f t="shared" si="16"/>
        <v>8.2191780821917817</v>
      </c>
    </row>
    <row r="41" spans="2:16" ht="15" customHeight="1">
      <c r="B41" s="84" t="str">
        <f t="shared" si="0"/>
        <v>-</v>
      </c>
      <c r="C41" s="85" t="str">
        <f t="shared" si="12"/>
        <v>-</v>
      </c>
      <c r="D41" s="85" t="str">
        <f t="shared" si="13"/>
        <v>-</v>
      </c>
      <c r="E41" s="79">
        <f t="shared" si="3"/>
        <v>0</v>
      </c>
      <c r="F41" s="79">
        <f t="shared" si="4"/>
        <v>0</v>
      </c>
      <c r="G41" s="84" t="str">
        <f t="shared" si="5"/>
        <v>-</v>
      </c>
      <c r="H41" s="85" t="str">
        <f t="shared" si="6"/>
        <v>-</v>
      </c>
      <c r="I41" s="85" t="str">
        <f t="shared" si="14"/>
        <v>-</v>
      </c>
      <c r="J41" s="79">
        <f t="shared" si="8"/>
        <v>0</v>
      </c>
      <c r="K41" s="170"/>
      <c r="L41" s="58">
        <f t="shared" si="9"/>
        <v>46273</v>
      </c>
      <c r="M41" s="59">
        <f t="shared" si="10"/>
        <v>0</v>
      </c>
      <c r="N41" s="59">
        <f t="shared" si="15"/>
        <v>100000</v>
      </c>
      <c r="O41" s="59">
        <f t="shared" si="11"/>
        <v>13.698630136986301</v>
      </c>
      <c r="P41" s="59">
        <f t="shared" si="16"/>
        <v>8.2191780821917817</v>
      </c>
    </row>
    <row r="42" spans="2:16" ht="15" customHeight="1">
      <c r="B42" s="84" t="str">
        <f t="shared" si="0"/>
        <v>-</v>
      </c>
      <c r="C42" s="85" t="str">
        <f t="shared" si="12"/>
        <v>-</v>
      </c>
      <c r="D42" s="85" t="str">
        <f t="shared" si="13"/>
        <v>-</v>
      </c>
      <c r="E42" s="79">
        <f t="shared" si="3"/>
        <v>0</v>
      </c>
      <c r="F42" s="79">
        <f t="shared" si="4"/>
        <v>0</v>
      </c>
      <c r="G42" s="84" t="str">
        <f t="shared" si="5"/>
        <v>-</v>
      </c>
      <c r="H42" s="85" t="str">
        <f t="shared" si="6"/>
        <v>-</v>
      </c>
      <c r="I42" s="85" t="str">
        <f t="shared" si="14"/>
        <v>-</v>
      </c>
      <c r="J42" s="79">
        <f t="shared" si="8"/>
        <v>0</v>
      </c>
      <c r="K42" s="170"/>
      <c r="L42" s="58">
        <f t="shared" si="9"/>
        <v>46274</v>
      </c>
      <c r="M42" s="59">
        <f t="shared" si="10"/>
        <v>0</v>
      </c>
      <c r="N42" s="59">
        <f t="shared" si="15"/>
        <v>100000</v>
      </c>
      <c r="O42" s="59">
        <f t="shared" si="11"/>
        <v>13.698630136986301</v>
      </c>
      <c r="P42" s="59">
        <f t="shared" si="16"/>
        <v>8.2191780821917817</v>
      </c>
    </row>
    <row r="43" spans="2:16" ht="15" customHeight="1">
      <c r="B43" s="84" t="str">
        <f t="shared" si="0"/>
        <v>-</v>
      </c>
      <c r="C43" s="85" t="str">
        <f t="shared" si="12"/>
        <v>-</v>
      </c>
      <c r="D43" s="85" t="str">
        <f t="shared" si="13"/>
        <v>-</v>
      </c>
      <c r="E43" s="79">
        <f t="shared" si="3"/>
        <v>0</v>
      </c>
      <c r="F43" s="79">
        <f t="shared" si="4"/>
        <v>0</v>
      </c>
      <c r="G43" s="84" t="str">
        <f t="shared" si="5"/>
        <v>-</v>
      </c>
      <c r="H43" s="85" t="str">
        <f t="shared" si="6"/>
        <v>-</v>
      </c>
      <c r="I43" s="85" t="str">
        <f t="shared" si="14"/>
        <v>-</v>
      </c>
      <c r="J43" s="79">
        <f t="shared" si="8"/>
        <v>0</v>
      </c>
      <c r="K43" s="170"/>
      <c r="L43" s="58">
        <f t="shared" si="9"/>
        <v>46275</v>
      </c>
      <c r="M43" s="59">
        <f t="shared" si="10"/>
        <v>0</v>
      </c>
      <c r="N43" s="59">
        <f t="shared" si="15"/>
        <v>100000</v>
      </c>
      <c r="O43" s="59">
        <f t="shared" si="11"/>
        <v>13.698630136986301</v>
      </c>
      <c r="P43" s="59">
        <f t="shared" si="16"/>
        <v>8.2191780821917817</v>
      </c>
    </row>
    <row r="44" spans="2:16" ht="15" customHeight="1">
      <c r="B44" s="84" t="str">
        <f t="shared" si="0"/>
        <v>-</v>
      </c>
      <c r="C44" s="85" t="str">
        <f t="shared" si="12"/>
        <v>-</v>
      </c>
      <c r="D44" s="85" t="str">
        <f t="shared" si="13"/>
        <v>-</v>
      </c>
      <c r="E44" s="79">
        <f t="shared" si="3"/>
        <v>0</v>
      </c>
      <c r="F44" s="79">
        <f t="shared" si="4"/>
        <v>0</v>
      </c>
      <c r="G44" s="84" t="str">
        <f t="shared" si="5"/>
        <v>-</v>
      </c>
      <c r="H44" s="85" t="str">
        <f t="shared" si="6"/>
        <v>-</v>
      </c>
      <c r="I44" s="85" t="str">
        <f t="shared" si="14"/>
        <v>-</v>
      </c>
      <c r="J44" s="79">
        <f t="shared" si="8"/>
        <v>0</v>
      </c>
      <c r="K44" s="170"/>
      <c r="L44" s="58">
        <f t="shared" si="9"/>
        <v>46276</v>
      </c>
      <c r="M44" s="59">
        <f t="shared" si="10"/>
        <v>0</v>
      </c>
      <c r="N44" s="59">
        <f t="shared" si="15"/>
        <v>100000</v>
      </c>
      <c r="O44" s="59">
        <f t="shared" si="11"/>
        <v>13.698630136986301</v>
      </c>
      <c r="P44" s="59">
        <f t="shared" si="16"/>
        <v>8.2191780821917817</v>
      </c>
    </row>
    <row r="45" spans="2:16" ht="15" customHeight="1">
      <c r="B45" s="84" t="str">
        <f t="shared" si="0"/>
        <v>-</v>
      </c>
      <c r="C45" s="85" t="str">
        <f t="shared" si="12"/>
        <v>-</v>
      </c>
      <c r="D45" s="85" t="str">
        <f t="shared" si="13"/>
        <v>-</v>
      </c>
      <c r="E45" s="79">
        <f t="shared" si="3"/>
        <v>0</v>
      </c>
      <c r="F45" s="79">
        <f t="shared" si="4"/>
        <v>0</v>
      </c>
      <c r="G45" s="84" t="str">
        <f t="shared" si="5"/>
        <v>-</v>
      </c>
      <c r="H45" s="85" t="str">
        <f t="shared" si="6"/>
        <v>-</v>
      </c>
      <c r="I45" s="85" t="str">
        <f t="shared" si="14"/>
        <v>-</v>
      </c>
      <c r="J45" s="79">
        <f t="shared" si="8"/>
        <v>0</v>
      </c>
      <c r="K45" s="170"/>
      <c r="L45" s="58">
        <f t="shared" si="9"/>
        <v>46277</v>
      </c>
      <c r="M45" s="59">
        <f t="shared" si="10"/>
        <v>0</v>
      </c>
      <c r="N45" s="59">
        <f t="shared" si="15"/>
        <v>100000</v>
      </c>
      <c r="O45" s="59">
        <f t="shared" si="11"/>
        <v>13.698630136986301</v>
      </c>
      <c r="P45" s="59">
        <f t="shared" si="16"/>
        <v>8.2191780821917817</v>
      </c>
    </row>
    <row r="46" spans="2:16" ht="15" customHeight="1">
      <c r="B46" s="84" t="str">
        <f t="shared" si="0"/>
        <v>-</v>
      </c>
      <c r="C46" s="85" t="str">
        <f t="shared" si="12"/>
        <v>-</v>
      </c>
      <c r="D46" s="85" t="str">
        <f t="shared" si="13"/>
        <v>-</v>
      </c>
      <c r="E46" s="79">
        <f t="shared" si="3"/>
        <v>0</v>
      </c>
      <c r="F46" s="79">
        <f t="shared" si="4"/>
        <v>0</v>
      </c>
      <c r="G46" s="84" t="str">
        <f t="shared" si="5"/>
        <v>-</v>
      </c>
      <c r="H46" s="85" t="str">
        <f t="shared" si="6"/>
        <v>-</v>
      </c>
      <c r="I46" s="85" t="str">
        <f t="shared" si="14"/>
        <v>-</v>
      </c>
      <c r="J46" s="79">
        <f t="shared" si="8"/>
        <v>0</v>
      </c>
      <c r="K46" s="170"/>
      <c r="L46" s="58">
        <f t="shared" si="9"/>
        <v>46278</v>
      </c>
      <c r="M46" s="59">
        <f t="shared" si="10"/>
        <v>0</v>
      </c>
      <c r="N46" s="59">
        <f t="shared" si="15"/>
        <v>100000</v>
      </c>
      <c r="O46" s="59">
        <f t="shared" si="11"/>
        <v>13.698630136986301</v>
      </c>
      <c r="P46" s="59">
        <f t="shared" si="16"/>
        <v>8.2191780821917817</v>
      </c>
    </row>
    <row r="47" spans="2:16" ht="15" customHeight="1">
      <c r="B47" s="84" t="str">
        <f t="shared" si="0"/>
        <v>-</v>
      </c>
      <c r="C47" s="85" t="str">
        <f t="shared" si="12"/>
        <v>-</v>
      </c>
      <c r="D47" s="85" t="str">
        <f t="shared" si="13"/>
        <v>-</v>
      </c>
      <c r="E47" s="79">
        <f t="shared" si="3"/>
        <v>0</v>
      </c>
      <c r="F47" s="79">
        <f t="shared" si="4"/>
        <v>0</v>
      </c>
      <c r="G47" s="84" t="str">
        <f t="shared" si="5"/>
        <v>-</v>
      </c>
      <c r="H47" s="85" t="str">
        <f t="shared" si="6"/>
        <v>-</v>
      </c>
      <c r="I47" s="85" t="str">
        <f t="shared" si="14"/>
        <v>-</v>
      </c>
      <c r="J47" s="79">
        <f t="shared" si="8"/>
        <v>0</v>
      </c>
      <c r="K47" s="170"/>
      <c r="L47" s="58">
        <f t="shared" si="9"/>
        <v>46279</v>
      </c>
      <c r="M47" s="59">
        <f t="shared" si="10"/>
        <v>0</v>
      </c>
      <c r="N47" s="59">
        <f t="shared" si="15"/>
        <v>100000</v>
      </c>
      <c r="O47" s="59">
        <f t="shared" si="11"/>
        <v>13.698630136986301</v>
      </c>
      <c r="P47" s="59">
        <f t="shared" si="16"/>
        <v>8.2191780821917817</v>
      </c>
    </row>
    <row r="48" spans="2:16" ht="15" customHeight="1">
      <c r="B48" s="84" t="str">
        <f t="shared" si="0"/>
        <v>-</v>
      </c>
      <c r="C48" s="85" t="str">
        <f t="shared" si="12"/>
        <v>-</v>
      </c>
      <c r="D48" s="85" t="str">
        <f t="shared" si="13"/>
        <v>-</v>
      </c>
      <c r="E48" s="79">
        <f t="shared" si="3"/>
        <v>0</v>
      </c>
      <c r="F48" s="79">
        <f t="shared" si="4"/>
        <v>0</v>
      </c>
      <c r="G48" s="84" t="str">
        <f t="shared" si="5"/>
        <v>-</v>
      </c>
      <c r="H48" s="85" t="str">
        <f t="shared" si="6"/>
        <v>-</v>
      </c>
      <c r="I48" s="85" t="str">
        <f t="shared" si="14"/>
        <v>-</v>
      </c>
      <c r="J48" s="79">
        <f t="shared" si="8"/>
        <v>0</v>
      </c>
      <c r="K48" s="170"/>
      <c r="L48" s="58">
        <f t="shared" si="9"/>
        <v>46280</v>
      </c>
      <c r="M48" s="59">
        <f t="shared" si="10"/>
        <v>0</v>
      </c>
      <c r="N48" s="59">
        <f t="shared" ref="N48:N111" si="17">IF(ISNUMBER(N47),N47-M48,$E$8)</f>
        <v>100000</v>
      </c>
      <c r="O48" s="59">
        <f t="shared" si="11"/>
        <v>13.698630136986301</v>
      </c>
      <c r="P48" s="59">
        <f t="shared" ref="P48:P111" si="18">IFERROR(IF(ISNUMBER(N47),N47,$E$8)*3%/IF(MOD(YEAR(L48),4),365,366)*IF(ISBLANK(L47),(L48-$F$5),L48-L47),0)</f>
        <v>8.2191780821917817</v>
      </c>
    </row>
    <row r="49" spans="2:16" ht="15" customHeight="1">
      <c r="B49" s="84" t="str">
        <f t="shared" si="0"/>
        <v>-</v>
      </c>
      <c r="C49" s="85" t="str">
        <f t="shared" si="12"/>
        <v>-</v>
      </c>
      <c r="D49" s="85" t="str">
        <f t="shared" si="13"/>
        <v>-</v>
      </c>
      <c r="E49" s="79">
        <f t="shared" si="3"/>
        <v>0</v>
      </c>
      <c r="F49" s="79">
        <f t="shared" si="4"/>
        <v>0</v>
      </c>
      <c r="G49" s="84" t="str">
        <f t="shared" si="5"/>
        <v>-</v>
      </c>
      <c r="H49" s="85" t="str">
        <f t="shared" si="6"/>
        <v>-</v>
      </c>
      <c r="I49" s="85" t="str">
        <f t="shared" si="14"/>
        <v>-</v>
      </c>
      <c r="J49" s="79">
        <f t="shared" si="8"/>
        <v>0</v>
      </c>
      <c r="K49" s="170"/>
      <c r="L49" s="58">
        <f t="shared" si="9"/>
        <v>46281</v>
      </c>
      <c r="M49" s="59">
        <f t="shared" si="10"/>
        <v>0</v>
      </c>
      <c r="N49" s="59">
        <f t="shared" si="17"/>
        <v>100000</v>
      </c>
      <c r="O49" s="59">
        <f t="shared" si="11"/>
        <v>13.698630136986301</v>
      </c>
      <c r="P49" s="59">
        <f t="shared" si="18"/>
        <v>8.2191780821917817</v>
      </c>
    </row>
    <row r="50" spans="2:16" ht="15" customHeight="1">
      <c r="B50" s="84" t="str">
        <f t="shared" si="0"/>
        <v>-</v>
      </c>
      <c r="C50" s="85" t="str">
        <f t="shared" si="12"/>
        <v>-</v>
      </c>
      <c r="D50" s="85" t="str">
        <f t="shared" si="13"/>
        <v>-</v>
      </c>
      <c r="E50" s="79">
        <f t="shared" si="3"/>
        <v>0</v>
      </c>
      <c r="F50" s="79">
        <f t="shared" si="4"/>
        <v>0</v>
      </c>
      <c r="G50" s="84" t="str">
        <f t="shared" si="5"/>
        <v>-</v>
      </c>
      <c r="H50" s="85" t="str">
        <f t="shared" si="6"/>
        <v>-</v>
      </c>
      <c r="I50" s="85" t="str">
        <f t="shared" si="14"/>
        <v>-</v>
      </c>
      <c r="J50" s="79">
        <f t="shared" si="8"/>
        <v>0</v>
      </c>
      <c r="K50" s="170"/>
      <c r="L50" s="58">
        <f t="shared" si="9"/>
        <v>46282</v>
      </c>
      <c r="M50" s="59">
        <f t="shared" si="10"/>
        <v>0</v>
      </c>
      <c r="N50" s="59">
        <f t="shared" si="17"/>
        <v>100000</v>
      </c>
      <c r="O50" s="59">
        <f t="shared" si="11"/>
        <v>13.698630136986301</v>
      </c>
      <c r="P50" s="59">
        <f t="shared" si="18"/>
        <v>8.2191780821917817</v>
      </c>
    </row>
    <row r="51" spans="2:16" ht="15" customHeight="1">
      <c r="B51" s="84" t="str">
        <f t="shared" si="0"/>
        <v>-</v>
      </c>
      <c r="C51" s="85" t="str">
        <f t="shared" si="12"/>
        <v>-</v>
      </c>
      <c r="D51" s="85" t="str">
        <f t="shared" si="13"/>
        <v>-</v>
      </c>
      <c r="E51" s="79">
        <f t="shared" si="3"/>
        <v>0</v>
      </c>
      <c r="F51" s="79">
        <f t="shared" si="4"/>
        <v>0</v>
      </c>
      <c r="G51" s="84" t="str">
        <f t="shared" si="5"/>
        <v>-</v>
      </c>
      <c r="H51" s="85" t="str">
        <f t="shared" si="6"/>
        <v>-</v>
      </c>
      <c r="I51" s="85" t="str">
        <f t="shared" si="14"/>
        <v>-</v>
      </c>
      <c r="J51" s="79">
        <f t="shared" si="8"/>
        <v>0</v>
      </c>
      <c r="K51" s="170"/>
      <c r="L51" s="58">
        <f t="shared" si="9"/>
        <v>46283</v>
      </c>
      <c r="M51" s="59">
        <f t="shared" si="10"/>
        <v>0</v>
      </c>
      <c r="N51" s="59">
        <f t="shared" si="17"/>
        <v>100000</v>
      </c>
      <c r="O51" s="59">
        <f t="shared" si="11"/>
        <v>13.698630136986301</v>
      </c>
      <c r="P51" s="59">
        <f t="shared" si="18"/>
        <v>8.2191780821917817</v>
      </c>
    </row>
    <row r="52" spans="2:16" ht="15" customHeight="1">
      <c r="B52" s="84" t="str">
        <f t="shared" si="0"/>
        <v>-</v>
      </c>
      <c r="C52" s="85" t="str">
        <f t="shared" si="12"/>
        <v>-</v>
      </c>
      <c r="D52" s="85" t="str">
        <f t="shared" si="13"/>
        <v>-</v>
      </c>
      <c r="E52" s="79">
        <f t="shared" si="3"/>
        <v>0</v>
      </c>
      <c r="F52" s="79">
        <f t="shared" si="4"/>
        <v>0</v>
      </c>
      <c r="G52" s="84" t="str">
        <f t="shared" si="5"/>
        <v>-</v>
      </c>
      <c r="H52" s="85" t="str">
        <f t="shared" si="6"/>
        <v>-</v>
      </c>
      <c r="I52" s="85" t="str">
        <f t="shared" si="14"/>
        <v>-</v>
      </c>
      <c r="J52" s="79">
        <f t="shared" si="8"/>
        <v>0</v>
      </c>
      <c r="K52" s="170"/>
      <c r="L52" s="58">
        <f t="shared" si="9"/>
        <v>46284</v>
      </c>
      <c r="M52" s="59">
        <f t="shared" si="10"/>
        <v>0</v>
      </c>
      <c r="N52" s="59">
        <f t="shared" si="17"/>
        <v>100000</v>
      </c>
      <c r="O52" s="59">
        <f t="shared" si="11"/>
        <v>13.698630136986301</v>
      </c>
      <c r="P52" s="59">
        <f t="shared" si="18"/>
        <v>8.2191780821917817</v>
      </c>
    </row>
    <row r="53" spans="2:16" ht="15" customHeight="1">
      <c r="B53" s="84" t="str">
        <f t="shared" si="0"/>
        <v>-</v>
      </c>
      <c r="C53" s="85" t="str">
        <f t="shared" si="12"/>
        <v>-</v>
      </c>
      <c r="D53" s="85" t="str">
        <f t="shared" si="13"/>
        <v>-</v>
      </c>
      <c r="E53" s="79">
        <f t="shared" si="3"/>
        <v>0</v>
      </c>
      <c r="F53" s="79">
        <f t="shared" si="4"/>
        <v>0</v>
      </c>
      <c r="G53" s="84" t="str">
        <f t="shared" si="5"/>
        <v>-</v>
      </c>
      <c r="H53" s="85" t="str">
        <f t="shared" si="6"/>
        <v>-</v>
      </c>
      <c r="I53" s="85" t="str">
        <f t="shared" si="14"/>
        <v>-</v>
      </c>
      <c r="J53" s="79">
        <f t="shared" si="8"/>
        <v>0</v>
      </c>
      <c r="K53" s="170"/>
      <c r="L53" s="58">
        <f t="shared" si="9"/>
        <v>46285</v>
      </c>
      <c r="M53" s="59">
        <f t="shared" si="10"/>
        <v>0</v>
      </c>
      <c r="N53" s="59">
        <f t="shared" si="17"/>
        <v>100000</v>
      </c>
      <c r="O53" s="59">
        <f t="shared" si="11"/>
        <v>13.698630136986301</v>
      </c>
      <c r="P53" s="59">
        <f t="shared" si="18"/>
        <v>8.2191780821917817</v>
      </c>
    </row>
    <row r="54" spans="2:16" ht="15" customHeight="1">
      <c r="B54" s="84" t="str">
        <f t="shared" si="0"/>
        <v>-</v>
      </c>
      <c r="C54" s="85" t="str">
        <f t="shared" si="12"/>
        <v>-</v>
      </c>
      <c r="D54" s="85" t="str">
        <f t="shared" si="13"/>
        <v>-</v>
      </c>
      <c r="E54" s="79">
        <f t="shared" si="3"/>
        <v>0</v>
      </c>
      <c r="F54" s="79">
        <f t="shared" si="4"/>
        <v>0</v>
      </c>
      <c r="G54" s="84" t="str">
        <f t="shared" si="5"/>
        <v>-</v>
      </c>
      <c r="H54" s="85" t="str">
        <f t="shared" si="6"/>
        <v>-</v>
      </c>
      <c r="I54" s="85" t="str">
        <f t="shared" si="14"/>
        <v>-</v>
      </c>
      <c r="J54" s="79">
        <f t="shared" si="8"/>
        <v>0</v>
      </c>
      <c r="K54" s="170"/>
      <c r="L54" s="58">
        <f t="shared" si="9"/>
        <v>46286</v>
      </c>
      <c r="M54" s="59">
        <f t="shared" si="10"/>
        <v>0</v>
      </c>
      <c r="N54" s="59">
        <f t="shared" si="17"/>
        <v>100000</v>
      </c>
      <c r="O54" s="59">
        <f t="shared" si="11"/>
        <v>13.698630136986301</v>
      </c>
      <c r="P54" s="59">
        <f t="shared" si="18"/>
        <v>8.2191780821917817</v>
      </c>
    </row>
    <row r="55" spans="2:16" ht="15" customHeight="1">
      <c r="B55" s="84" t="str">
        <f t="shared" si="0"/>
        <v>-</v>
      </c>
      <c r="C55" s="85" t="str">
        <f t="shared" si="12"/>
        <v>-</v>
      </c>
      <c r="D55" s="85" t="str">
        <f t="shared" si="13"/>
        <v>-</v>
      </c>
      <c r="E55" s="79">
        <f t="shared" si="3"/>
        <v>0</v>
      </c>
      <c r="F55" s="79">
        <f t="shared" si="4"/>
        <v>0</v>
      </c>
      <c r="G55" s="84" t="str">
        <f t="shared" si="5"/>
        <v>-</v>
      </c>
      <c r="H55" s="85" t="str">
        <f t="shared" si="6"/>
        <v>-</v>
      </c>
      <c r="I55" s="85" t="str">
        <f t="shared" si="14"/>
        <v>-</v>
      </c>
      <c r="J55" s="79">
        <f t="shared" si="8"/>
        <v>0</v>
      </c>
      <c r="K55" s="170"/>
      <c r="L55" s="58">
        <f t="shared" si="9"/>
        <v>46287</v>
      </c>
      <c r="M55" s="59">
        <f t="shared" si="10"/>
        <v>0</v>
      </c>
      <c r="N55" s="59">
        <f t="shared" si="17"/>
        <v>100000</v>
      </c>
      <c r="O55" s="59">
        <f t="shared" si="11"/>
        <v>13.698630136986301</v>
      </c>
      <c r="P55" s="59">
        <f t="shared" si="18"/>
        <v>8.2191780821917817</v>
      </c>
    </row>
    <row r="56" spans="2:16" ht="15" customHeight="1">
      <c r="B56" s="84" t="str">
        <f t="shared" si="0"/>
        <v>-</v>
      </c>
      <c r="C56" s="85" t="str">
        <f t="shared" si="12"/>
        <v>-</v>
      </c>
      <c r="D56" s="85" t="str">
        <f t="shared" si="13"/>
        <v>-</v>
      </c>
      <c r="E56" s="79">
        <f t="shared" si="3"/>
        <v>0</v>
      </c>
      <c r="F56" s="79">
        <f t="shared" si="4"/>
        <v>0</v>
      </c>
      <c r="G56" s="84" t="str">
        <f t="shared" si="5"/>
        <v>-</v>
      </c>
      <c r="H56" s="85" t="str">
        <f t="shared" si="6"/>
        <v>-</v>
      </c>
      <c r="I56" s="85" t="str">
        <f t="shared" si="14"/>
        <v>-</v>
      </c>
      <c r="J56" s="79">
        <f t="shared" si="8"/>
        <v>0</v>
      </c>
      <c r="K56" s="170"/>
      <c r="L56" s="58">
        <f t="shared" si="9"/>
        <v>46288</v>
      </c>
      <c r="M56" s="59">
        <f t="shared" si="10"/>
        <v>0</v>
      </c>
      <c r="N56" s="59">
        <f t="shared" si="17"/>
        <v>100000</v>
      </c>
      <c r="O56" s="59">
        <f t="shared" si="11"/>
        <v>13.698630136986301</v>
      </c>
      <c r="P56" s="59">
        <f t="shared" si="18"/>
        <v>8.2191780821917817</v>
      </c>
    </row>
    <row r="57" spans="2:16" ht="15" customHeight="1">
      <c r="B57" s="84" t="str">
        <f t="shared" si="0"/>
        <v>-</v>
      </c>
      <c r="C57" s="85" t="str">
        <f t="shared" si="12"/>
        <v>-</v>
      </c>
      <c r="D57" s="85" t="str">
        <f t="shared" si="13"/>
        <v>-</v>
      </c>
      <c r="E57" s="79">
        <f t="shared" si="3"/>
        <v>0</v>
      </c>
      <c r="F57" s="79">
        <f t="shared" si="4"/>
        <v>0</v>
      </c>
      <c r="G57" s="84" t="str">
        <f t="shared" si="5"/>
        <v>-</v>
      </c>
      <c r="H57" s="85" t="str">
        <f t="shared" si="6"/>
        <v>-</v>
      </c>
      <c r="I57" s="85" t="str">
        <f t="shared" si="14"/>
        <v>-</v>
      </c>
      <c r="J57" s="79">
        <f t="shared" si="8"/>
        <v>0</v>
      </c>
      <c r="K57" s="170"/>
      <c r="L57" s="58">
        <f t="shared" si="9"/>
        <v>46289</v>
      </c>
      <c r="M57" s="59">
        <f t="shared" si="10"/>
        <v>0</v>
      </c>
      <c r="N57" s="59">
        <f t="shared" si="17"/>
        <v>100000</v>
      </c>
      <c r="O57" s="59">
        <f t="shared" si="11"/>
        <v>13.698630136986301</v>
      </c>
      <c r="P57" s="59">
        <f t="shared" si="18"/>
        <v>8.2191780821917817</v>
      </c>
    </row>
    <row r="58" spans="2:16" ht="15" customHeight="1">
      <c r="B58" s="84" t="str">
        <f t="shared" si="0"/>
        <v>-</v>
      </c>
      <c r="C58" s="85" t="str">
        <f t="shared" si="12"/>
        <v>-</v>
      </c>
      <c r="D58" s="85" t="str">
        <f t="shared" si="13"/>
        <v>-</v>
      </c>
      <c r="E58" s="79">
        <f t="shared" si="3"/>
        <v>0</v>
      </c>
      <c r="F58" s="79">
        <f t="shared" si="4"/>
        <v>0</v>
      </c>
      <c r="G58" s="84" t="str">
        <f t="shared" si="5"/>
        <v>-</v>
      </c>
      <c r="H58" s="85" t="str">
        <f t="shared" si="6"/>
        <v>-</v>
      </c>
      <c r="I58" s="85" t="str">
        <f t="shared" si="14"/>
        <v>-</v>
      </c>
      <c r="J58" s="79">
        <f t="shared" si="8"/>
        <v>0</v>
      </c>
      <c r="K58" s="170"/>
      <c r="L58" s="58">
        <f t="shared" si="9"/>
        <v>46290</v>
      </c>
      <c r="M58" s="59">
        <f t="shared" si="10"/>
        <v>0</v>
      </c>
      <c r="N58" s="59">
        <f t="shared" si="17"/>
        <v>100000</v>
      </c>
      <c r="O58" s="59">
        <f t="shared" si="11"/>
        <v>13.698630136986301</v>
      </c>
      <c r="P58" s="59">
        <f t="shared" si="18"/>
        <v>8.2191780821917817</v>
      </c>
    </row>
    <row r="59" spans="2:16" ht="15" customHeight="1">
      <c r="B59" s="84" t="str">
        <f t="shared" si="0"/>
        <v>-</v>
      </c>
      <c r="C59" s="85" t="str">
        <f t="shared" si="12"/>
        <v>-</v>
      </c>
      <c r="D59" s="85" t="str">
        <f t="shared" si="13"/>
        <v>-</v>
      </c>
      <c r="E59" s="79">
        <f t="shared" si="3"/>
        <v>0</v>
      </c>
      <c r="F59" s="79">
        <f t="shared" si="4"/>
        <v>0</v>
      </c>
      <c r="G59" s="84" t="str">
        <f t="shared" si="5"/>
        <v>-</v>
      </c>
      <c r="H59" s="85" t="str">
        <f t="shared" si="6"/>
        <v>-</v>
      </c>
      <c r="I59" s="85" t="str">
        <f t="shared" si="14"/>
        <v>-</v>
      </c>
      <c r="J59" s="79">
        <f t="shared" si="8"/>
        <v>0</v>
      </c>
      <c r="K59" s="170"/>
      <c r="L59" s="58">
        <f t="shared" si="9"/>
        <v>46291</v>
      </c>
      <c r="M59" s="59">
        <f t="shared" si="10"/>
        <v>0</v>
      </c>
      <c r="N59" s="59">
        <f t="shared" si="17"/>
        <v>100000</v>
      </c>
      <c r="O59" s="59">
        <f t="shared" si="11"/>
        <v>13.698630136986301</v>
      </c>
      <c r="P59" s="59">
        <f t="shared" si="18"/>
        <v>8.2191780821917817</v>
      </c>
    </row>
    <row r="60" spans="2:16" ht="15" customHeight="1">
      <c r="B60" s="84" t="str">
        <f t="shared" si="0"/>
        <v>-</v>
      </c>
      <c r="C60" s="85" t="str">
        <f t="shared" ref="C60:C80" si="19">IFERROR(YEAR(B60),"-")</f>
        <v>-</v>
      </c>
      <c r="D60" s="85" t="str">
        <f t="shared" ref="D60:D80" si="20">IFERROR(ROUNDUP(MONTH(B60)/Месяцев_в_квартале,0),"-")</f>
        <v>-</v>
      </c>
      <c r="E60" s="79">
        <f t="shared" si="3"/>
        <v>0</v>
      </c>
      <c r="F60" s="79">
        <f t="shared" si="4"/>
        <v>0</v>
      </c>
      <c r="G60" s="84" t="str">
        <f t="shared" si="5"/>
        <v>-</v>
      </c>
      <c r="H60" s="85" t="str">
        <f t="shared" si="6"/>
        <v>-</v>
      </c>
      <c r="I60" s="85" t="str">
        <f t="shared" ref="I60:I80" si="21">IFERROR(ROUNDUP(MONTH(G60)/Месяцев_в_квартале,0),"-")</f>
        <v>-</v>
      </c>
      <c r="J60" s="79">
        <f t="shared" si="8"/>
        <v>0</v>
      </c>
      <c r="K60" s="170"/>
      <c r="L60" s="58">
        <f t="shared" si="9"/>
        <v>46292</v>
      </c>
      <c r="M60" s="59">
        <f t="shared" si="10"/>
        <v>0</v>
      </c>
      <c r="N60" s="59">
        <f t="shared" si="17"/>
        <v>100000</v>
      </c>
      <c r="O60" s="59">
        <f t="shared" si="11"/>
        <v>13.698630136986301</v>
      </c>
      <c r="P60" s="59">
        <f t="shared" si="18"/>
        <v>8.2191780821917817</v>
      </c>
    </row>
    <row r="61" spans="2:16" ht="15" customHeight="1">
      <c r="B61" s="84" t="str">
        <f t="shared" si="0"/>
        <v>-</v>
      </c>
      <c r="C61" s="85" t="str">
        <f t="shared" si="19"/>
        <v>-</v>
      </c>
      <c r="D61" s="85" t="str">
        <f t="shared" si="20"/>
        <v>-</v>
      </c>
      <c r="E61" s="79">
        <f t="shared" si="3"/>
        <v>0</v>
      </c>
      <c r="F61" s="79">
        <f t="shared" si="4"/>
        <v>0</v>
      </c>
      <c r="G61" s="84" t="str">
        <f t="shared" si="5"/>
        <v>-</v>
      </c>
      <c r="H61" s="85" t="str">
        <f t="shared" si="6"/>
        <v>-</v>
      </c>
      <c r="I61" s="85" t="str">
        <f t="shared" si="21"/>
        <v>-</v>
      </c>
      <c r="J61" s="79">
        <f t="shared" si="8"/>
        <v>0</v>
      </c>
      <c r="K61" s="170"/>
      <c r="L61" s="58">
        <f t="shared" si="9"/>
        <v>46293</v>
      </c>
      <c r="M61" s="59">
        <f t="shared" si="10"/>
        <v>0</v>
      </c>
      <c r="N61" s="59">
        <f t="shared" si="17"/>
        <v>100000</v>
      </c>
      <c r="O61" s="59">
        <f t="shared" si="11"/>
        <v>13.698630136986301</v>
      </c>
      <c r="P61" s="59">
        <f t="shared" si="18"/>
        <v>8.2191780821917817</v>
      </c>
    </row>
    <row r="62" spans="2:16" ht="15" customHeight="1">
      <c r="B62" s="84" t="str">
        <f t="shared" ref="B62:B73" si="22">IFERROR(IF(OR(COUNTIF($D$12:$D$13,"Q")&gt;0,B61=Дата_погашения_Займа),"-",MIN(EOMONTH(G62,0)+IF(MONTH(G62)=12,15,0),$J$10)),"-")</f>
        <v>-</v>
      </c>
      <c r="C62" s="85" t="str">
        <f t="shared" ref="C62:C73" si="23">IFERROR(YEAR(B62),"-")</f>
        <v>-</v>
      </c>
      <c r="D62" s="85" t="str">
        <f t="shared" ref="D62:D73" si="24">IFERROR(ROUNDUP(MONTH(B62)/Месяцев_в_квартале,0),"-")</f>
        <v>-</v>
      </c>
      <c r="E62" s="79">
        <f t="shared" si="3"/>
        <v>0</v>
      </c>
      <c r="F62" s="79">
        <f t="shared" ref="F62:F73" si="25">IF(COUNTIF($D$12:$D$13,"Q")&gt;0,"-",IF(ISNUMBER(F61),F61-E62,$E$8))</f>
        <v>0</v>
      </c>
      <c r="G62" s="84" t="str">
        <f t="shared" si="5"/>
        <v>-</v>
      </c>
      <c r="H62" s="85" t="str">
        <f t="shared" ref="H62:H73" si="26">IFERROR(YEAR(G62),"-")</f>
        <v>-</v>
      </c>
      <c r="I62" s="85" t="str">
        <f t="shared" ref="I62:I73" si="27">IFERROR(ROUNDUP(MONTH(G62)/Месяцев_в_квартале,0),"-")</f>
        <v>-</v>
      </c>
      <c r="J62" s="79">
        <f t="shared" ref="J62:J72" si="28">SUMIFS($O$19:$O$5498,$L$19:$L$5498,"&gt;"&amp;IF(ISNUMBER(G61),G61,$F$5),$L$19:$L$5498,"&lt;="&amp;G62)</f>
        <v>0</v>
      </c>
      <c r="K62" s="170"/>
      <c r="L62" s="58">
        <f>IFERROR(IF(MAX(L61+1,$F$5+1)&gt;Дата_погашения_Займа,"-",MAX(L61+1,$F$5+1)),"-")</f>
        <v>46294</v>
      </c>
      <c r="M62" s="59">
        <f t="shared" si="10"/>
        <v>0</v>
      </c>
      <c r="N62" s="59">
        <f>IF(ISNUMBER(N61),N61-M62,$E$8)</f>
        <v>100000</v>
      </c>
      <c r="O62" s="59">
        <f t="shared" si="11"/>
        <v>13.698630136986301</v>
      </c>
      <c r="P62" s="59">
        <f>IFERROR(IF(ISNUMBER(N61),N61,$E$8)*3%/IF(MOD(YEAR(L62),4),365,366)*IF(ISBLANK(L61),(L62-$F$5),L62-L61),0)</f>
        <v>8.2191780821917817</v>
      </c>
    </row>
    <row r="63" spans="2:16" ht="15" customHeight="1">
      <c r="B63" s="84" t="str">
        <f t="shared" si="22"/>
        <v>-</v>
      </c>
      <c r="C63" s="85" t="str">
        <f t="shared" si="23"/>
        <v>-</v>
      </c>
      <c r="D63" s="85" t="str">
        <f t="shared" si="24"/>
        <v>-</v>
      </c>
      <c r="E63" s="79">
        <f t="shared" si="3"/>
        <v>0</v>
      </c>
      <c r="F63" s="79">
        <f t="shared" si="25"/>
        <v>0</v>
      </c>
      <c r="G63" s="84" t="str">
        <f t="shared" si="5"/>
        <v>-</v>
      </c>
      <c r="H63" s="85" t="str">
        <f t="shared" si="26"/>
        <v>-</v>
      </c>
      <c r="I63" s="85" t="str">
        <f t="shared" si="27"/>
        <v>-</v>
      </c>
      <c r="J63" s="79">
        <f t="shared" si="28"/>
        <v>0</v>
      </c>
      <c r="L63" s="58">
        <f t="shared" si="9"/>
        <v>46295</v>
      </c>
      <c r="M63" s="59">
        <f t="shared" si="10"/>
        <v>0</v>
      </c>
      <c r="N63" s="59">
        <f t="shared" si="17"/>
        <v>100000</v>
      </c>
      <c r="O63" s="59">
        <f t="shared" si="11"/>
        <v>13.698630136986301</v>
      </c>
      <c r="P63" s="59">
        <f t="shared" si="18"/>
        <v>8.2191780821917817</v>
      </c>
    </row>
    <row r="64" spans="2:16" ht="15" customHeight="1">
      <c r="B64" s="84" t="str">
        <f t="shared" si="22"/>
        <v>-</v>
      </c>
      <c r="C64" s="85" t="str">
        <f t="shared" si="23"/>
        <v>-</v>
      </c>
      <c r="D64" s="85" t="str">
        <f t="shared" si="24"/>
        <v>-</v>
      </c>
      <c r="E64" s="79">
        <f t="shared" si="3"/>
        <v>0</v>
      </c>
      <c r="F64" s="79">
        <f t="shared" si="25"/>
        <v>0</v>
      </c>
      <c r="G64" s="84" t="str">
        <f t="shared" si="5"/>
        <v>-</v>
      </c>
      <c r="H64" s="85" t="str">
        <f t="shared" si="26"/>
        <v>-</v>
      </c>
      <c r="I64" s="85" t="str">
        <f t="shared" si="27"/>
        <v>-</v>
      </c>
      <c r="J64" s="79">
        <f t="shared" si="28"/>
        <v>0</v>
      </c>
      <c r="L64" s="58">
        <f t="shared" si="9"/>
        <v>46296</v>
      </c>
      <c r="M64" s="59">
        <f t="shared" si="10"/>
        <v>0</v>
      </c>
      <c r="N64" s="59">
        <f t="shared" si="17"/>
        <v>100000</v>
      </c>
      <c r="O64" s="59">
        <f t="shared" si="11"/>
        <v>13.698630136986301</v>
      </c>
      <c r="P64" s="59">
        <f t="shared" si="18"/>
        <v>8.2191780821917817</v>
      </c>
    </row>
    <row r="65" spans="2:16" ht="15" customHeight="1">
      <c r="B65" s="84" t="str">
        <f t="shared" si="22"/>
        <v>-</v>
      </c>
      <c r="C65" s="85" t="str">
        <f t="shared" si="23"/>
        <v>-</v>
      </c>
      <c r="D65" s="85" t="str">
        <f t="shared" si="24"/>
        <v>-</v>
      </c>
      <c r="E65" s="79">
        <f t="shared" si="3"/>
        <v>0</v>
      </c>
      <c r="F65" s="79">
        <f t="shared" si="25"/>
        <v>0</v>
      </c>
      <c r="G65" s="84" t="str">
        <f t="shared" si="5"/>
        <v>-</v>
      </c>
      <c r="H65" s="85" t="str">
        <f t="shared" si="26"/>
        <v>-</v>
      </c>
      <c r="I65" s="85" t="str">
        <f t="shared" si="27"/>
        <v>-</v>
      </c>
      <c r="J65" s="79">
        <f t="shared" si="28"/>
        <v>0</v>
      </c>
      <c r="L65" s="58">
        <f t="shared" si="9"/>
        <v>46297</v>
      </c>
      <c r="M65" s="59">
        <f t="shared" si="10"/>
        <v>0</v>
      </c>
      <c r="N65" s="59">
        <f t="shared" si="17"/>
        <v>100000</v>
      </c>
      <c r="O65" s="59">
        <f t="shared" si="11"/>
        <v>13.698630136986301</v>
      </c>
      <c r="P65" s="59">
        <f t="shared" si="18"/>
        <v>8.2191780821917817</v>
      </c>
    </row>
    <row r="66" spans="2:16" ht="15" customHeight="1">
      <c r="B66" s="84" t="str">
        <f t="shared" si="22"/>
        <v>-</v>
      </c>
      <c r="C66" s="85" t="str">
        <f t="shared" si="23"/>
        <v>-</v>
      </c>
      <c r="D66" s="85" t="str">
        <f t="shared" si="24"/>
        <v>-</v>
      </c>
      <c r="E66" s="79">
        <f t="shared" si="3"/>
        <v>0</v>
      </c>
      <c r="F66" s="79">
        <f t="shared" si="25"/>
        <v>0</v>
      </c>
      <c r="G66" s="84" t="str">
        <f t="shared" si="5"/>
        <v>-</v>
      </c>
      <c r="H66" s="85" t="str">
        <f t="shared" si="26"/>
        <v>-</v>
      </c>
      <c r="I66" s="85" t="str">
        <f t="shared" si="27"/>
        <v>-</v>
      </c>
      <c r="J66" s="79">
        <f t="shared" si="28"/>
        <v>0</v>
      </c>
      <c r="L66" s="58">
        <f t="shared" si="9"/>
        <v>46298</v>
      </c>
      <c r="M66" s="59">
        <f t="shared" si="10"/>
        <v>0</v>
      </c>
      <c r="N66" s="59">
        <f t="shared" si="17"/>
        <v>100000</v>
      </c>
      <c r="O66" s="59">
        <f t="shared" si="11"/>
        <v>13.698630136986301</v>
      </c>
      <c r="P66" s="59">
        <f t="shared" si="18"/>
        <v>8.2191780821917817</v>
      </c>
    </row>
    <row r="67" spans="2:16" ht="15" customHeight="1">
      <c r="B67" s="84" t="str">
        <f t="shared" si="22"/>
        <v>-</v>
      </c>
      <c r="C67" s="85" t="str">
        <f t="shared" si="23"/>
        <v>-</v>
      </c>
      <c r="D67" s="85" t="str">
        <f t="shared" si="24"/>
        <v>-</v>
      </c>
      <c r="E67" s="79">
        <f t="shared" si="3"/>
        <v>0</v>
      </c>
      <c r="F67" s="79">
        <f t="shared" si="25"/>
        <v>0</v>
      </c>
      <c r="G67" s="84" t="str">
        <f t="shared" si="5"/>
        <v>-</v>
      </c>
      <c r="H67" s="85" t="str">
        <f t="shared" si="26"/>
        <v>-</v>
      </c>
      <c r="I67" s="85" t="str">
        <f t="shared" si="27"/>
        <v>-</v>
      </c>
      <c r="J67" s="79">
        <f t="shared" si="28"/>
        <v>0</v>
      </c>
      <c r="L67" s="58">
        <f t="shared" si="9"/>
        <v>46299</v>
      </c>
      <c r="M67" s="59">
        <f t="shared" si="10"/>
        <v>0</v>
      </c>
      <c r="N67" s="59">
        <f t="shared" si="17"/>
        <v>100000</v>
      </c>
      <c r="O67" s="59">
        <f t="shared" si="11"/>
        <v>13.698630136986301</v>
      </c>
      <c r="P67" s="59">
        <f t="shared" si="18"/>
        <v>8.2191780821917817</v>
      </c>
    </row>
    <row r="68" spans="2:16" ht="15" customHeight="1">
      <c r="B68" s="84" t="str">
        <f t="shared" si="22"/>
        <v>-</v>
      </c>
      <c r="C68" s="85" t="str">
        <f t="shared" si="23"/>
        <v>-</v>
      </c>
      <c r="D68" s="85" t="str">
        <f t="shared" si="24"/>
        <v>-</v>
      </c>
      <c r="E68" s="79">
        <f t="shared" si="3"/>
        <v>0</v>
      </c>
      <c r="F68" s="79">
        <f t="shared" si="25"/>
        <v>0</v>
      </c>
      <c r="G68" s="84" t="str">
        <f t="shared" si="5"/>
        <v>-</v>
      </c>
      <c r="H68" s="85" t="str">
        <f t="shared" si="26"/>
        <v>-</v>
      </c>
      <c r="I68" s="85" t="str">
        <f t="shared" si="27"/>
        <v>-</v>
      </c>
      <c r="J68" s="79">
        <f t="shared" si="28"/>
        <v>0</v>
      </c>
      <c r="L68" s="58">
        <f t="shared" si="9"/>
        <v>46300</v>
      </c>
      <c r="M68" s="59">
        <f t="shared" si="10"/>
        <v>0</v>
      </c>
      <c r="N68" s="59">
        <f t="shared" si="17"/>
        <v>100000</v>
      </c>
      <c r="O68" s="59">
        <f t="shared" si="11"/>
        <v>13.698630136986301</v>
      </c>
      <c r="P68" s="59">
        <f t="shared" si="18"/>
        <v>8.2191780821917817</v>
      </c>
    </row>
    <row r="69" spans="2:16" ht="15" customHeight="1">
      <c r="B69" s="84" t="str">
        <f t="shared" si="22"/>
        <v>-</v>
      </c>
      <c r="C69" s="85" t="str">
        <f t="shared" si="23"/>
        <v>-</v>
      </c>
      <c r="D69" s="85" t="str">
        <f t="shared" si="24"/>
        <v>-</v>
      </c>
      <c r="E69" s="79">
        <f t="shared" si="3"/>
        <v>0</v>
      </c>
      <c r="F69" s="79">
        <f t="shared" si="25"/>
        <v>0</v>
      </c>
      <c r="G69" s="84" t="str">
        <f t="shared" si="5"/>
        <v>-</v>
      </c>
      <c r="H69" s="85" t="str">
        <f t="shared" si="26"/>
        <v>-</v>
      </c>
      <c r="I69" s="85" t="str">
        <f t="shared" si="27"/>
        <v>-</v>
      </c>
      <c r="J69" s="79">
        <f t="shared" si="28"/>
        <v>0</v>
      </c>
      <c r="L69" s="58">
        <f t="shared" si="9"/>
        <v>46301</v>
      </c>
      <c r="M69" s="59">
        <f t="shared" si="10"/>
        <v>0</v>
      </c>
      <c r="N69" s="59">
        <f t="shared" si="17"/>
        <v>100000</v>
      </c>
      <c r="O69" s="59">
        <f t="shared" si="11"/>
        <v>13.698630136986301</v>
      </c>
      <c r="P69" s="59">
        <f t="shared" si="18"/>
        <v>8.2191780821917817</v>
      </c>
    </row>
    <row r="70" spans="2:16" ht="15" customHeight="1">
      <c r="B70" s="84" t="str">
        <f t="shared" si="22"/>
        <v>-</v>
      </c>
      <c r="C70" s="85" t="str">
        <f t="shared" si="23"/>
        <v>-</v>
      </c>
      <c r="D70" s="85" t="str">
        <f t="shared" si="24"/>
        <v>-</v>
      </c>
      <c r="E70" s="79">
        <f t="shared" si="3"/>
        <v>0</v>
      </c>
      <c r="F70" s="79">
        <f t="shared" si="25"/>
        <v>0</v>
      </c>
      <c r="G70" s="84" t="str">
        <f t="shared" si="5"/>
        <v>-</v>
      </c>
      <c r="H70" s="85" t="str">
        <f t="shared" si="26"/>
        <v>-</v>
      </c>
      <c r="I70" s="85" t="str">
        <f t="shared" si="27"/>
        <v>-</v>
      </c>
      <c r="J70" s="79">
        <f t="shared" si="28"/>
        <v>0</v>
      </c>
      <c r="L70" s="58">
        <f t="shared" si="9"/>
        <v>46302</v>
      </c>
      <c r="M70" s="59">
        <f t="shared" si="10"/>
        <v>0</v>
      </c>
      <c r="N70" s="59">
        <f t="shared" si="17"/>
        <v>100000</v>
      </c>
      <c r="O70" s="59">
        <f t="shared" si="11"/>
        <v>13.698630136986301</v>
      </c>
      <c r="P70" s="59">
        <f t="shared" si="18"/>
        <v>8.2191780821917817</v>
      </c>
    </row>
    <row r="71" spans="2:16" ht="15" customHeight="1">
      <c r="B71" s="84" t="str">
        <f t="shared" si="22"/>
        <v>-</v>
      </c>
      <c r="C71" s="85" t="str">
        <f t="shared" si="23"/>
        <v>-</v>
      </c>
      <c r="D71" s="85" t="str">
        <f t="shared" si="24"/>
        <v>-</v>
      </c>
      <c r="E71" s="79">
        <f t="shared" si="3"/>
        <v>0</v>
      </c>
      <c r="F71" s="79">
        <f t="shared" si="25"/>
        <v>0</v>
      </c>
      <c r="G71" s="84" t="str">
        <f t="shared" si="5"/>
        <v>-</v>
      </c>
      <c r="H71" s="85" t="str">
        <f t="shared" si="26"/>
        <v>-</v>
      </c>
      <c r="I71" s="85" t="str">
        <f t="shared" si="27"/>
        <v>-</v>
      </c>
      <c r="J71" s="79">
        <f t="shared" si="28"/>
        <v>0</v>
      </c>
      <c r="L71" s="58">
        <f t="shared" si="9"/>
        <v>46303</v>
      </c>
      <c r="M71" s="59">
        <f t="shared" si="10"/>
        <v>0</v>
      </c>
      <c r="N71" s="59">
        <f t="shared" si="17"/>
        <v>100000</v>
      </c>
      <c r="O71" s="59">
        <f t="shared" si="11"/>
        <v>13.698630136986301</v>
      </c>
      <c r="P71" s="59">
        <f t="shared" si="18"/>
        <v>8.2191780821917817</v>
      </c>
    </row>
    <row r="72" spans="2:16" ht="15" customHeight="1">
      <c r="B72" s="84" t="str">
        <f t="shared" si="22"/>
        <v>-</v>
      </c>
      <c r="C72" s="85" t="str">
        <f t="shared" si="23"/>
        <v>-</v>
      </c>
      <c r="D72" s="85" t="str">
        <f t="shared" si="24"/>
        <v>-</v>
      </c>
      <c r="E72" s="79">
        <f t="shared" si="3"/>
        <v>0</v>
      </c>
      <c r="F72" s="79">
        <f t="shared" si="25"/>
        <v>0</v>
      </c>
      <c r="G72" s="84" t="str">
        <f t="shared" si="5"/>
        <v>-</v>
      </c>
      <c r="H72" s="85" t="str">
        <f t="shared" si="26"/>
        <v>-</v>
      </c>
      <c r="I72" s="85" t="str">
        <f t="shared" si="27"/>
        <v>-</v>
      </c>
      <c r="J72" s="79">
        <f t="shared" si="28"/>
        <v>0</v>
      </c>
      <c r="L72" s="58">
        <f t="shared" si="9"/>
        <v>46304</v>
      </c>
      <c r="M72" s="59">
        <f t="shared" si="10"/>
        <v>0</v>
      </c>
      <c r="N72" s="59">
        <f t="shared" si="17"/>
        <v>100000</v>
      </c>
      <c r="O72" s="59">
        <f t="shared" si="11"/>
        <v>13.698630136986301</v>
      </c>
      <c r="P72" s="59">
        <f t="shared" si="18"/>
        <v>8.2191780821917817</v>
      </c>
    </row>
    <row r="73" spans="2:16" ht="15" customHeight="1">
      <c r="B73" s="84" t="str">
        <f t="shared" si="22"/>
        <v>-</v>
      </c>
      <c r="C73" s="85" t="str">
        <f t="shared" si="23"/>
        <v>-</v>
      </c>
      <c r="D73" s="85" t="str">
        <f t="shared" si="24"/>
        <v>-</v>
      </c>
      <c r="E73" s="79">
        <f t="shared" si="3"/>
        <v>0</v>
      </c>
      <c r="F73" s="79">
        <f t="shared" si="25"/>
        <v>0</v>
      </c>
      <c r="G73" s="84" t="str">
        <f t="shared" si="5"/>
        <v>-</v>
      </c>
      <c r="H73" s="85" t="str">
        <f t="shared" si="26"/>
        <v>-</v>
      </c>
      <c r="I73" s="85" t="str">
        <f t="shared" si="27"/>
        <v>-</v>
      </c>
      <c r="J73" s="79">
        <f>SUMIFS($O$19:$O$5498,$L$19:$L$5498,"&gt;"&amp;IF(ISNUMBER(G72),G72,$F$5),$L$19:$L$5498,"&lt;="&amp;G73)</f>
        <v>0</v>
      </c>
      <c r="L73" s="58">
        <f t="shared" si="9"/>
        <v>46305</v>
      </c>
      <c r="M73" s="59">
        <f t="shared" si="10"/>
        <v>0</v>
      </c>
      <c r="N73" s="59">
        <f t="shared" si="17"/>
        <v>100000</v>
      </c>
      <c r="O73" s="59">
        <f t="shared" si="11"/>
        <v>13.698630136986301</v>
      </c>
      <c r="P73" s="59">
        <f t="shared" si="18"/>
        <v>8.2191780821917817</v>
      </c>
    </row>
    <row r="74" spans="2:16" ht="15" customHeight="1">
      <c r="B74" s="84" t="str">
        <f t="shared" ref="B74:B80" si="29">IFERROR(IF(OR(COUNTIF($D$12:$D$13,"Q")&gt;0,B73=Дата_погашения_Займа),"-",MIN(EOMONTH(G74,0)+IF(MONTH(G74)=12,15,0),$J$10)),"-")</f>
        <v>-</v>
      </c>
      <c r="C74" s="85" t="str">
        <f t="shared" ref="C74:C79" si="30">IFERROR(YEAR(B74),"-")</f>
        <v>-</v>
      </c>
      <c r="D74" s="85" t="str">
        <f t="shared" ref="D74:D79" si="31">IFERROR(ROUNDUP(MONTH(B74)/Месяцев_в_квартале,0),"-")</f>
        <v>-</v>
      </c>
      <c r="E74" s="79">
        <f t="shared" si="3"/>
        <v>0</v>
      </c>
      <c r="F74" s="79">
        <f t="shared" ref="F74:F80" si="32">IF(COUNTIF($D$12:$D$13,"Q")&gt;0,"-",IF(ISNUMBER(F73),F73-E74,$E$8))</f>
        <v>0</v>
      </c>
      <c r="G74" s="84" t="str">
        <f t="shared" si="5"/>
        <v>-</v>
      </c>
      <c r="H74" s="85" t="str">
        <f t="shared" ref="H74:H79" si="33">IFERROR(YEAR(G74),"-")</f>
        <v>-</v>
      </c>
      <c r="I74" s="85" t="str">
        <f t="shared" ref="I74:I79" si="34">IFERROR(ROUNDUP(MONTH(G74)/Месяцев_в_квартале,0),"-")</f>
        <v>-</v>
      </c>
      <c r="J74" s="79">
        <f t="shared" ref="J74:J80" si="35">SUMIFS($O$19:$O$5498,$L$19:$L$5498,"&gt;"&amp;IF(ISNUMBER(G73),G73,$F$5),$L$19:$L$5498,"&lt;="&amp;G74)</f>
        <v>0</v>
      </c>
      <c r="L74" s="58">
        <f t="shared" si="9"/>
        <v>46306</v>
      </c>
      <c r="M74" s="59">
        <f t="shared" si="10"/>
        <v>0</v>
      </c>
      <c r="N74" s="59">
        <f t="shared" si="17"/>
        <v>100000</v>
      </c>
      <c r="O74" s="59">
        <f t="shared" si="11"/>
        <v>13.698630136986301</v>
      </c>
      <c r="P74" s="59">
        <f t="shared" si="18"/>
        <v>8.2191780821917817</v>
      </c>
    </row>
    <row r="75" spans="2:16" ht="15" customHeight="1">
      <c r="B75" s="84" t="str">
        <f t="shared" si="29"/>
        <v>-</v>
      </c>
      <c r="C75" s="85" t="str">
        <f t="shared" si="30"/>
        <v>-</v>
      </c>
      <c r="D75" s="85" t="str">
        <f t="shared" si="31"/>
        <v>-</v>
      </c>
      <c r="E75" s="79">
        <f t="shared" si="3"/>
        <v>0</v>
      </c>
      <c r="F75" s="79">
        <f t="shared" si="32"/>
        <v>0</v>
      </c>
      <c r="G75" s="84" t="str">
        <f t="shared" si="5"/>
        <v>-</v>
      </c>
      <c r="H75" s="85" t="str">
        <f t="shared" si="33"/>
        <v>-</v>
      </c>
      <c r="I75" s="85" t="str">
        <f t="shared" si="34"/>
        <v>-</v>
      </c>
      <c r="J75" s="79">
        <f t="shared" si="35"/>
        <v>0</v>
      </c>
      <c r="L75" s="58">
        <f t="shared" si="9"/>
        <v>46307</v>
      </c>
      <c r="M75" s="59">
        <f t="shared" si="10"/>
        <v>0</v>
      </c>
      <c r="N75" s="59">
        <f t="shared" si="17"/>
        <v>100000</v>
      </c>
      <c r="O75" s="59">
        <f t="shared" si="11"/>
        <v>13.698630136986301</v>
      </c>
      <c r="P75" s="59">
        <f t="shared" si="18"/>
        <v>8.2191780821917817</v>
      </c>
    </row>
    <row r="76" spans="2:16" ht="15" customHeight="1">
      <c r="B76" s="84" t="str">
        <f t="shared" si="29"/>
        <v>-</v>
      </c>
      <c r="C76" s="85" t="str">
        <f t="shared" si="30"/>
        <v>-</v>
      </c>
      <c r="D76" s="85" t="str">
        <f t="shared" si="31"/>
        <v>-</v>
      </c>
      <c r="E76" s="79">
        <f t="shared" si="3"/>
        <v>0</v>
      </c>
      <c r="F76" s="79">
        <f t="shared" si="32"/>
        <v>0</v>
      </c>
      <c r="G76" s="84" t="str">
        <f t="shared" si="5"/>
        <v>-</v>
      </c>
      <c r="H76" s="85" t="str">
        <f t="shared" si="33"/>
        <v>-</v>
      </c>
      <c r="I76" s="85" t="str">
        <f t="shared" si="34"/>
        <v>-</v>
      </c>
      <c r="J76" s="79">
        <f t="shared" si="35"/>
        <v>0</v>
      </c>
      <c r="L76" s="58">
        <f t="shared" si="9"/>
        <v>46308</v>
      </c>
      <c r="M76" s="59">
        <f t="shared" si="10"/>
        <v>0</v>
      </c>
      <c r="N76" s="59">
        <f t="shared" si="17"/>
        <v>100000</v>
      </c>
      <c r="O76" s="59">
        <f t="shared" si="11"/>
        <v>13.698630136986301</v>
      </c>
      <c r="P76" s="59">
        <f t="shared" si="18"/>
        <v>8.2191780821917817</v>
      </c>
    </row>
    <row r="77" spans="2:16" ht="15" customHeight="1">
      <c r="B77" s="84" t="str">
        <f t="shared" si="29"/>
        <v>-</v>
      </c>
      <c r="C77" s="85" t="str">
        <f t="shared" si="30"/>
        <v>-</v>
      </c>
      <c r="D77" s="85" t="str">
        <f t="shared" si="31"/>
        <v>-</v>
      </c>
      <c r="E77" s="79">
        <f t="shared" si="3"/>
        <v>0</v>
      </c>
      <c r="F77" s="79">
        <f t="shared" si="32"/>
        <v>0</v>
      </c>
      <c r="G77" s="84" t="str">
        <f t="shared" si="5"/>
        <v>-</v>
      </c>
      <c r="H77" s="85" t="str">
        <f t="shared" si="33"/>
        <v>-</v>
      </c>
      <c r="I77" s="85" t="str">
        <f t="shared" si="34"/>
        <v>-</v>
      </c>
      <c r="J77" s="79">
        <f t="shared" si="35"/>
        <v>0</v>
      </c>
      <c r="L77" s="58">
        <f t="shared" si="9"/>
        <v>46309</v>
      </c>
      <c r="M77" s="59">
        <f t="shared" si="10"/>
        <v>0</v>
      </c>
      <c r="N77" s="59">
        <f t="shared" si="17"/>
        <v>100000</v>
      </c>
      <c r="O77" s="59">
        <f t="shared" si="11"/>
        <v>13.698630136986301</v>
      </c>
      <c r="P77" s="59">
        <f t="shared" si="18"/>
        <v>8.2191780821917817</v>
      </c>
    </row>
    <row r="78" spans="2:16" ht="15" customHeight="1">
      <c r="B78" s="84" t="str">
        <f t="shared" si="29"/>
        <v>-</v>
      </c>
      <c r="C78" s="85" t="str">
        <f t="shared" si="30"/>
        <v>-</v>
      </c>
      <c r="D78" s="85" t="str">
        <f t="shared" si="31"/>
        <v>-</v>
      </c>
      <c r="E78" s="79">
        <f t="shared" si="3"/>
        <v>0</v>
      </c>
      <c r="F78" s="79">
        <f t="shared" si="32"/>
        <v>0</v>
      </c>
      <c r="G78" s="84" t="str">
        <f t="shared" si="5"/>
        <v>-</v>
      </c>
      <c r="H78" s="85" t="str">
        <f t="shared" si="33"/>
        <v>-</v>
      </c>
      <c r="I78" s="85" t="str">
        <f t="shared" si="34"/>
        <v>-</v>
      </c>
      <c r="J78" s="79">
        <f t="shared" si="35"/>
        <v>0</v>
      </c>
      <c r="L78" s="58">
        <f>IFERROR(IF(MAX(L77+1,$F$5+1)&gt;Дата_погашения_Займа,"-",MAX(L77+1,$F$5+1)),"-")</f>
        <v>46310</v>
      </c>
      <c r="M78" s="59">
        <f t="shared" si="10"/>
        <v>0</v>
      </c>
      <c r="N78" s="59">
        <f>IF(ISNUMBER(N77),N77-M78,$E$8)</f>
        <v>100000</v>
      </c>
      <c r="O78" s="59">
        <f t="shared" si="11"/>
        <v>13.698630136986301</v>
      </c>
      <c r="P78" s="59">
        <f>IFERROR(IF(ISNUMBER(N77),N77,$E$8)*3%/IF(MOD(YEAR(L78),4),365,366)*IF(ISBLANK(L77),(L78-$F$5),L78-L77),0)</f>
        <v>8.2191780821917817</v>
      </c>
    </row>
    <row r="79" spans="2:16" ht="15" customHeight="1">
      <c r="B79" s="84" t="str">
        <f t="shared" si="29"/>
        <v>-</v>
      </c>
      <c r="C79" s="85" t="str">
        <f t="shared" si="30"/>
        <v>-</v>
      </c>
      <c r="D79" s="85" t="str">
        <f t="shared" si="31"/>
        <v>-</v>
      </c>
      <c r="E79" s="79">
        <f t="shared" si="3"/>
        <v>0</v>
      </c>
      <c r="F79" s="79">
        <f t="shared" si="32"/>
        <v>0</v>
      </c>
      <c r="G79" s="84" t="str">
        <f t="shared" si="5"/>
        <v>-</v>
      </c>
      <c r="H79" s="85" t="str">
        <f t="shared" si="33"/>
        <v>-</v>
      </c>
      <c r="I79" s="85" t="str">
        <f t="shared" si="34"/>
        <v>-</v>
      </c>
      <c r="J79" s="79">
        <f t="shared" si="35"/>
        <v>0</v>
      </c>
      <c r="L79" s="58">
        <f t="shared" si="9"/>
        <v>46311</v>
      </c>
      <c r="M79" s="59">
        <f t="shared" si="10"/>
        <v>0</v>
      </c>
      <c r="N79" s="59">
        <f t="shared" si="17"/>
        <v>100000</v>
      </c>
      <c r="O79" s="59">
        <f t="shared" si="11"/>
        <v>13.698630136986301</v>
      </c>
      <c r="P79" s="59">
        <f t="shared" si="18"/>
        <v>8.2191780821917817</v>
      </c>
    </row>
    <row r="80" spans="2:16" ht="15" customHeight="1">
      <c r="B80" s="84" t="str">
        <f t="shared" si="29"/>
        <v>-</v>
      </c>
      <c r="C80" s="85" t="str">
        <f t="shared" si="19"/>
        <v>-</v>
      </c>
      <c r="D80" s="85" t="str">
        <f t="shared" si="20"/>
        <v>-</v>
      </c>
      <c r="E80" s="79">
        <f t="shared" si="3"/>
        <v>0</v>
      </c>
      <c r="F80" s="79">
        <f t="shared" si="32"/>
        <v>0</v>
      </c>
      <c r="G80" s="84" t="str">
        <f t="shared" si="5"/>
        <v>-</v>
      </c>
      <c r="H80" s="85" t="str">
        <f t="shared" si="6"/>
        <v>-</v>
      </c>
      <c r="I80" s="85" t="str">
        <f t="shared" si="21"/>
        <v>-</v>
      </c>
      <c r="J80" s="79">
        <f t="shared" si="35"/>
        <v>0</v>
      </c>
      <c r="L80" s="58">
        <f t="shared" si="9"/>
        <v>46312</v>
      </c>
      <c r="M80" s="59">
        <f t="shared" si="10"/>
        <v>0</v>
      </c>
      <c r="N80" s="59">
        <f t="shared" si="17"/>
        <v>100000</v>
      </c>
      <c r="O80" s="59">
        <f t="shared" si="11"/>
        <v>13.698630136986301</v>
      </c>
      <c r="P80" s="59">
        <f t="shared" si="18"/>
        <v>8.2191780821917817</v>
      </c>
    </row>
    <row r="81" spans="5:16" ht="15" customHeight="1">
      <c r="E81" s="244">
        <f>SUM(E19:E80)</f>
        <v>100000</v>
      </c>
      <c r="J81" s="244">
        <f>SUM(J19:J80)</f>
        <v>21214.041095890407</v>
      </c>
      <c r="L81" s="58">
        <f t="shared" si="9"/>
        <v>46313</v>
      </c>
      <c r="M81" s="59">
        <f t="shared" si="10"/>
        <v>0</v>
      </c>
      <c r="N81" s="59">
        <f t="shared" si="17"/>
        <v>100000</v>
      </c>
      <c r="O81" s="59">
        <f t="shared" si="11"/>
        <v>13.698630136986301</v>
      </c>
      <c r="P81" s="59">
        <f t="shared" si="18"/>
        <v>8.2191780821917817</v>
      </c>
    </row>
    <row r="82" spans="5:16" ht="15" customHeight="1">
      <c r="L82" s="58">
        <f t="shared" si="9"/>
        <v>46314</v>
      </c>
      <c r="M82" s="59">
        <f t="shared" si="10"/>
        <v>0</v>
      </c>
      <c r="N82" s="59">
        <f t="shared" si="17"/>
        <v>100000</v>
      </c>
      <c r="O82" s="59">
        <f t="shared" si="11"/>
        <v>13.698630136986301</v>
      </c>
      <c r="P82" s="59">
        <f t="shared" si="18"/>
        <v>8.2191780821917817</v>
      </c>
    </row>
    <row r="83" spans="5:16" ht="15" hidden="1" customHeight="1">
      <c r="L83" s="58">
        <f t="shared" si="9"/>
        <v>46315</v>
      </c>
      <c r="M83" s="59">
        <f t="shared" ref="M83:M146" si="36">IFERROR(VLOOKUP(L83,$B$19:$E$80,4,FALSE),0)</f>
        <v>0</v>
      </c>
      <c r="N83" s="59">
        <f t="shared" si="17"/>
        <v>100000</v>
      </c>
      <c r="O83" s="59">
        <f t="shared" ref="O83:O146" si="37">IFERROR(IF(ISNUMBER(N82),N82,$E$8)*IF(L83&gt;=$J$8,$E$12,$E$12)/IF(MOD(YEAR(L83),4),365,366)*IF(ISBLANK(L82),L83-$F$5,L83-L82),0)</f>
        <v>13.698630136986301</v>
      </c>
      <c r="P83" s="59">
        <f t="shared" si="18"/>
        <v>8.2191780821917817</v>
      </c>
    </row>
    <row r="84" spans="5:16" ht="15" hidden="1" customHeight="1">
      <c r="L84" s="58">
        <f t="shared" si="9"/>
        <v>46316</v>
      </c>
      <c r="M84" s="59">
        <f t="shared" si="36"/>
        <v>0</v>
      </c>
      <c r="N84" s="59">
        <f t="shared" si="17"/>
        <v>100000</v>
      </c>
      <c r="O84" s="59">
        <f t="shared" si="37"/>
        <v>13.698630136986301</v>
      </c>
      <c r="P84" s="59">
        <f t="shared" si="18"/>
        <v>8.2191780821917817</v>
      </c>
    </row>
    <row r="85" spans="5:16" ht="15" hidden="1" customHeight="1">
      <c r="L85" s="58">
        <f t="shared" si="9"/>
        <v>46317</v>
      </c>
      <c r="M85" s="59">
        <f t="shared" si="36"/>
        <v>0</v>
      </c>
      <c r="N85" s="59">
        <f t="shared" si="17"/>
        <v>100000</v>
      </c>
      <c r="O85" s="59">
        <f t="shared" si="37"/>
        <v>13.698630136986301</v>
      </c>
      <c r="P85" s="59">
        <f t="shared" si="18"/>
        <v>8.2191780821917817</v>
      </c>
    </row>
    <row r="86" spans="5:16" ht="15" hidden="1" customHeight="1">
      <c r="L86" s="58">
        <f t="shared" si="9"/>
        <v>46318</v>
      </c>
      <c r="M86" s="59">
        <f t="shared" si="36"/>
        <v>0</v>
      </c>
      <c r="N86" s="59">
        <f t="shared" si="17"/>
        <v>100000</v>
      </c>
      <c r="O86" s="59">
        <f t="shared" si="37"/>
        <v>13.698630136986301</v>
      </c>
      <c r="P86" s="59">
        <f t="shared" si="18"/>
        <v>8.2191780821917817</v>
      </c>
    </row>
    <row r="87" spans="5:16" ht="15" hidden="1" customHeight="1">
      <c r="L87" s="58">
        <f t="shared" si="9"/>
        <v>46319</v>
      </c>
      <c r="M87" s="59">
        <f t="shared" si="36"/>
        <v>0</v>
      </c>
      <c r="N87" s="59">
        <f t="shared" si="17"/>
        <v>100000</v>
      </c>
      <c r="O87" s="59">
        <f t="shared" si="37"/>
        <v>13.698630136986301</v>
      </c>
      <c r="P87" s="59">
        <f t="shared" si="18"/>
        <v>8.2191780821917817</v>
      </c>
    </row>
    <row r="88" spans="5:16" ht="15" hidden="1" customHeight="1">
      <c r="L88" s="58">
        <f t="shared" si="9"/>
        <v>46320</v>
      </c>
      <c r="M88" s="59">
        <f t="shared" si="36"/>
        <v>0</v>
      </c>
      <c r="N88" s="59">
        <f t="shared" si="17"/>
        <v>100000</v>
      </c>
      <c r="O88" s="59">
        <f t="shared" si="37"/>
        <v>13.698630136986301</v>
      </c>
      <c r="P88" s="59">
        <f t="shared" si="18"/>
        <v>8.2191780821917817</v>
      </c>
    </row>
    <row r="89" spans="5:16" ht="15" hidden="1" customHeight="1">
      <c r="L89" s="58">
        <f t="shared" si="9"/>
        <v>46321</v>
      </c>
      <c r="M89" s="59">
        <f t="shared" si="36"/>
        <v>0</v>
      </c>
      <c r="N89" s="59">
        <f t="shared" si="17"/>
        <v>100000</v>
      </c>
      <c r="O89" s="59">
        <f t="shared" si="37"/>
        <v>13.698630136986301</v>
      </c>
      <c r="P89" s="59">
        <f t="shared" si="18"/>
        <v>8.2191780821917817</v>
      </c>
    </row>
    <row r="90" spans="5:16" ht="15" hidden="1" customHeight="1">
      <c r="L90" s="58">
        <f t="shared" si="9"/>
        <v>46322</v>
      </c>
      <c r="M90" s="59">
        <f t="shared" si="36"/>
        <v>0</v>
      </c>
      <c r="N90" s="59">
        <f t="shared" si="17"/>
        <v>100000</v>
      </c>
      <c r="O90" s="59">
        <f t="shared" si="37"/>
        <v>13.698630136986301</v>
      </c>
      <c r="P90" s="59">
        <f t="shared" si="18"/>
        <v>8.2191780821917817</v>
      </c>
    </row>
    <row r="91" spans="5:16" ht="15" hidden="1" customHeight="1">
      <c r="L91" s="58">
        <f t="shared" si="9"/>
        <v>46323</v>
      </c>
      <c r="M91" s="59">
        <f t="shared" si="36"/>
        <v>0</v>
      </c>
      <c r="N91" s="59">
        <f t="shared" si="17"/>
        <v>100000</v>
      </c>
      <c r="O91" s="59">
        <f t="shared" si="37"/>
        <v>13.698630136986301</v>
      </c>
      <c r="P91" s="59">
        <f t="shared" si="18"/>
        <v>8.2191780821917817</v>
      </c>
    </row>
    <row r="92" spans="5:16" ht="15" hidden="1" customHeight="1">
      <c r="L92" s="58">
        <f t="shared" si="9"/>
        <v>46324</v>
      </c>
      <c r="M92" s="59">
        <f t="shared" si="36"/>
        <v>0</v>
      </c>
      <c r="N92" s="59">
        <f t="shared" si="17"/>
        <v>100000</v>
      </c>
      <c r="O92" s="59">
        <f t="shared" si="37"/>
        <v>13.698630136986301</v>
      </c>
      <c r="P92" s="59">
        <f t="shared" si="18"/>
        <v>8.2191780821917817</v>
      </c>
    </row>
    <row r="93" spans="5:16" ht="15" hidden="1" customHeight="1">
      <c r="L93" s="58">
        <f t="shared" si="9"/>
        <v>46325</v>
      </c>
      <c r="M93" s="59">
        <f t="shared" si="36"/>
        <v>0</v>
      </c>
      <c r="N93" s="59">
        <f t="shared" si="17"/>
        <v>100000</v>
      </c>
      <c r="O93" s="59">
        <f t="shared" si="37"/>
        <v>13.698630136986301</v>
      </c>
      <c r="P93" s="59">
        <f t="shared" si="18"/>
        <v>8.2191780821917817</v>
      </c>
    </row>
    <row r="94" spans="5:16" ht="15" hidden="1" customHeight="1">
      <c r="L94" s="58">
        <f t="shared" si="9"/>
        <v>46326</v>
      </c>
      <c r="M94" s="59">
        <f t="shared" si="36"/>
        <v>0</v>
      </c>
      <c r="N94" s="59">
        <f t="shared" si="17"/>
        <v>100000</v>
      </c>
      <c r="O94" s="59">
        <f t="shared" si="37"/>
        <v>13.698630136986301</v>
      </c>
      <c r="P94" s="59">
        <f t="shared" si="18"/>
        <v>8.2191780821917817</v>
      </c>
    </row>
    <row r="95" spans="5:16" ht="15" hidden="1" customHeight="1">
      <c r="L95" s="58">
        <f t="shared" si="9"/>
        <v>46327</v>
      </c>
      <c r="M95" s="59">
        <f t="shared" si="36"/>
        <v>0</v>
      </c>
      <c r="N95" s="59">
        <f t="shared" si="17"/>
        <v>100000</v>
      </c>
      <c r="O95" s="59">
        <f t="shared" si="37"/>
        <v>13.698630136986301</v>
      </c>
      <c r="P95" s="59">
        <f t="shared" si="18"/>
        <v>8.2191780821917817</v>
      </c>
    </row>
    <row r="96" spans="5:16" ht="15" hidden="1" customHeight="1">
      <c r="L96" s="58">
        <f t="shared" si="9"/>
        <v>46328</v>
      </c>
      <c r="M96" s="59">
        <f t="shared" si="36"/>
        <v>0</v>
      </c>
      <c r="N96" s="59">
        <f t="shared" si="17"/>
        <v>100000</v>
      </c>
      <c r="O96" s="59">
        <f t="shared" si="37"/>
        <v>13.698630136986301</v>
      </c>
      <c r="P96" s="59">
        <f t="shared" si="18"/>
        <v>8.2191780821917817</v>
      </c>
    </row>
    <row r="97" spans="12:16" ht="15" hidden="1" customHeight="1">
      <c r="L97" s="58">
        <f t="shared" si="9"/>
        <v>46329</v>
      </c>
      <c r="M97" s="59">
        <f t="shared" si="36"/>
        <v>0</v>
      </c>
      <c r="N97" s="59">
        <f t="shared" si="17"/>
        <v>100000</v>
      </c>
      <c r="O97" s="59">
        <f t="shared" si="37"/>
        <v>13.698630136986301</v>
      </c>
      <c r="P97" s="59">
        <f t="shared" si="18"/>
        <v>8.2191780821917817</v>
      </c>
    </row>
    <row r="98" spans="12:16" ht="15" hidden="1" customHeight="1">
      <c r="L98" s="58">
        <f t="shared" ref="L98:L161" si="38">IFERROR(IF(MAX(L97+1,$F$5+1)&gt;Дата_погашения_Займа,"-",MAX(L97+1,$F$5+1)),"-")</f>
        <v>46330</v>
      </c>
      <c r="M98" s="59">
        <f t="shared" si="36"/>
        <v>0</v>
      </c>
      <c r="N98" s="59">
        <f t="shared" si="17"/>
        <v>100000</v>
      </c>
      <c r="O98" s="59">
        <f t="shared" si="37"/>
        <v>13.698630136986301</v>
      </c>
      <c r="P98" s="59">
        <f t="shared" si="18"/>
        <v>8.2191780821917817</v>
      </c>
    </row>
    <row r="99" spans="12:16" ht="15" hidden="1" customHeight="1">
      <c r="L99" s="58">
        <f t="shared" si="38"/>
        <v>46331</v>
      </c>
      <c r="M99" s="59">
        <f t="shared" si="36"/>
        <v>0</v>
      </c>
      <c r="N99" s="59">
        <f t="shared" si="17"/>
        <v>100000</v>
      </c>
      <c r="O99" s="59">
        <f t="shared" si="37"/>
        <v>13.698630136986301</v>
      </c>
      <c r="P99" s="59">
        <f t="shared" si="18"/>
        <v>8.2191780821917817</v>
      </c>
    </row>
    <row r="100" spans="12:16" ht="15" hidden="1" customHeight="1">
      <c r="L100" s="58">
        <f t="shared" si="38"/>
        <v>46332</v>
      </c>
      <c r="M100" s="59">
        <f t="shared" si="36"/>
        <v>0</v>
      </c>
      <c r="N100" s="59">
        <f t="shared" si="17"/>
        <v>100000</v>
      </c>
      <c r="O100" s="59">
        <f t="shared" si="37"/>
        <v>13.698630136986301</v>
      </c>
      <c r="P100" s="59">
        <f t="shared" si="18"/>
        <v>8.2191780821917817</v>
      </c>
    </row>
    <row r="101" spans="12:16" ht="15" hidden="1" customHeight="1">
      <c r="L101" s="58">
        <f t="shared" si="38"/>
        <v>46333</v>
      </c>
      <c r="M101" s="59">
        <f t="shared" si="36"/>
        <v>0</v>
      </c>
      <c r="N101" s="59">
        <f t="shared" si="17"/>
        <v>100000</v>
      </c>
      <c r="O101" s="59">
        <f t="shared" si="37"/>
        <v>13.698630136986301</v>
      </c>
      <c r="P101" s="59">
        <f t="shared" si="18"/>
        <v>8.2191780821917817</v>
      </c>
    </row>
    <row r="102" spans="12:16" ht="15" hidden="1" customHeight="1">
      <c r="L102" s="58">
        <f t="shared" si="38"/>
        <v>46334</v>
      </c>
      <c r="M102" s="59">
        <f t="shared" si="36"/>
        <v>0</v>
      </c>
      <c r="N102" s="59">
        <f t="shared" si="17"/>
        <v>100000</v>
      </c>
      <c r="O102" s="59">
        <f t="shared" si="37"/>
        <v>13.698630136986301</v>
      </c>
      <c r="P102" s="59">
        <f t="shared" si="18"/>
        <v>8.2191780821917817</v>
      </c>
    </row>
    <row r="103" spans="12:16" ht="15" hidden="1" customHeight="1">
      <c r="L103" s="58">
        <f t="shared" si="38"/>
        <v>46335</v>
      </c>
      <c r="M103" s="59">
        <f t="shared" si="36"/>
        <v>0</v>
      </c>
      <c r="N103" s="59">
        <f t="shared" si="17"/>
        <v>100000</v>
      </c>
      <c r="O103" s="59">
        <f t="shared" si="37"/>
        <v>13.698630136986301</v>
      </c>
      <c r="P103" s="59">
        <f t="shared" si="18"/>
        <v>8.2191780821917817</v>
      </c>
    </row>
    <row r="104" spans="12:16" ht="15" hidden="1" customHeight="1">
      <c r="L104" s="58">
        <f t="shared" si="38"/>
        <v>46336</v>
      </c>
      <c r="M104" s="59">
        <f t="shared" si="36"/>
        <v>0</v>
      </c>
      <c r="N104" s="59">
        <f t="shared" si="17"/>
        <v>100000</v>
      </c>
      <c r="O104" s="59">
        <f t="shared" si="37"/>
        <v>13.698630136986301</v>
      </c>
      <c r="P104" s="59">
        <f t="shared" si="18"/>
        <v>8.2191780821917817</v>
      </c>
    </row>
    <row r="105" spans="12:16" ht="15" hidden="1" customHeight="1">
      <c r="L105" s="58">
        <f t="shared" si="38"/>
        <v>46337</v>
      </c>
      <c r="M105" s="59">
        <f t="shared" si="36"/>
        <v>0</v>
      </c>
      <c r="N105" s="59">
        <f t="shared" si="17"/>
        <v>100000</v>
      </c>
      <c r="O105" s="59">
        <f t="shared" si="37"/>
        <v>13.698630136986301</v>
      </c>
      <c r="P105" s="59">
        <f t="shared" si="18"/>
        <v>8.2191780821917817</v>
      </c>
    </row>
    <row r="106" spans="12:16" ht="15" hidden="1" customHeight="1">
      <c r="L106" s="58">
        <f t="shared" si="38"/>
        <v>46338</v>
      </c>
      <c r="M106" s="59">
        <f t="shared" si="36"/>
        <v>0</v>
      </c>
      <c r="N106" s="59">
        <f t="shared" si="17"/>
        <v>100000</v>
      </c>
      <c r="O106" s="59">
        <f t="shared" si="37"/>
        <v>13.698630136986301</v>
      </c>
      <c r="P106" s="59">
        <f t="shared" si="18"/>
        <v>8.2191780821917817</v>
      </c>
    </row>
    <row r="107" spans="12:16" ht="15" hidden="1" customHeight="1">
      <c r="L107" s="58">
        <f t="shared" si="38"/>
        <v>46339</v>
      </c>
      <c r="M107" s="59">
        <f t="shared" si="36"/>
        <v>0</v>
      </c>
      <c r="N107" s="59">
        <f t="shared" si="17"/>
        <v>100000</v>
      </c>
      <c r="O107" s="59">
        <f t="shared" si="37"/>
        <v>13.698630136986301</v>
      </c>
      <c r="P107" s="59">
        <f t="shared" si="18"/>
        <v>8.2191780821917817</v>
      </c>
    </row>
    <row r="108" spans="12:16" ht="15" hidden="1" customHeight="1">
      <c r="L108" s="58">
        <f t="shared" si="38"/>
        <v>46340</v>
      </c>
      <c r="M108" s="59">
        <f t="shared" si="36"/>
        <v>0</v>
      </c>
      <c r="N108" s="59">
        <f t="shared" si="17"/>
        <v>100000</v>
      </c>
      <c r="O108" s="59">
        <f t="shared" si="37"/>
        <v>13.698630136986301</v>
      </c>
      <c r="P108" s="59">
        <f t="shared" si="18"/>
        <v>8.2191780821917817</v>
      </c>
    </row>
    <row r="109" spans="12:16" ht="15" hidden="1" customHeight="1">
      <c r="L109" s="58">
        <f t="shared" si="38"/>
        <v>46341</v>
      </c>
      <c r="M109" s="59">
        <f t="shared" si="36"/>
        <v>0</v>
      </c>
      <c r="N109" s="59">
        <f t="shared" si="17"/>
        <v>100000</v>
      </c>
      <c r="O109" s="59">
        <f t="shared" si="37"/>
        <v>13.698630136986301</v>
      </c>
      <c r="P109" s="59">
        <f t="shared" si="18"/>
        <v>8.2191780821917817</v>
      </c>
    </row>
    <row r="110" spans="12:16" ht="15" hidden="1" customHeight="1">
      <c r="L110" s="58">
        <f t="shared" si="38"/>
        <v>46342</v>
      </c>
      <c r="M110" s="59">
        <f t="shared" si="36"/>
        <v>0</v>
      </c>
      <c r="N110" s="59">
        <f t="shared" si="17"/>
        <v>100000</v>
      </c>
      <c r="O110" s="59">
        <f t="shared" si="37"/>
        <v>13.698630136986301</v>
      </c>
      <c r="P110" s="59">
        <f t="shared" si="18"/>
        <v>8.2191780821917817</v>
      </c>
    </row>
    <row r="111" spans="12:16" ht="15" hidden="1" customHeight="1">
      <c r="L111" s="58">
        <f t="shared" si="38"/>
        <v>46343</v>
      </c>
      <c r="M111" s="59">
        <f t="shared" si="36"/>
        <v>0</v>
      </c>
      <c r="N111" s="59">
        <f t="shared" si="17"/>
        <v>100000</v>
      </c>
      <c r="O111" s="59">
        <f t="shared" si="37"/>
        <v>13.698630136986301</v>
      </c>
      <c r="P111" s="59">
        <f t="shared" si="18"/>
        <v>8.2191780821917817</v>
      </c>
    </row>
    <row r="112" spans="12:16" ht="15" hidden="1" customHeight="1">
      <c r="L112" s="58">
        <f t="shared" si="38"/>
        <v>46344</v>
      </c>
      <c r="M112" s="59">
        <f t="shared" si="36"/>
        <v>0</v>
      </c>
      <c r="N112" s="59">
        <f t="shared" ref="N112:N175" si="39">IF(ISNUMBER(N111),N111-M112,$E$8)</f>
        <v>100000</v>
      </c>
      <c r="O112" s="59">
        <f t="shared" si="37"/>
        <v>13.698630136986301</v>
      </c>
      <c r="P112" s="59">
        <f t="shared" ref="P112:P175" si="40">IFERROR(IF(ISNUMBER(N111),N111,$E$8)*3%/IF(MOD(YEAR(L112),4),365,366)*IF(ISBLANK(L111),(L112-$F$5),L112-L111),0)</f>
        <v>8.2191780821917817</v>
      </c>
    </row>
    <row r="113" spans="12:16" ht="15" hidden="1" customHeight="1">
      <c r="L113" s="58">
        <f t="shared" si="38"/>
        <v>46345</v>
      </c>
      <c r="M113" s="59">
        <f t="shared" si="36"/>
        <v>0</v>
      </c>
      <c r="N113" s="59">
        <f t="shared" si="39"/>
        <v>100000</v>
      </c>
      <c r="O113" s="59">
        <f t="shared" si="37"/>
        <v>13.698630136986301</v>
      </c>
      <c r="P113" s="59">
        <f t="shared" si="40"/>
        <v>8.2191780821917817</v>
      </c>
    </row>
    <row r="114" spans="12:16" ht="15" hidden="1" customHeight="1">
      <c r="L114" s="58">
        <f t="shared" si="38"/>
        <v>46346</v>
      </c>
      <c r="M114" s="59">
        <f t="shared" si="36"/>
        <v>0</v>
      </c>
      <c r="N114" s="59">
        <f t="shared" si="39"/>
        <v>100000</v>
      </c>
      <c r="O114" s="59">
        <f t="shared" si="37"/>
        <v>13.698630136986301</v>
      </c>
      <c r="P114" s="59">
        <f t="shared" si="40"/>
        <v>8.2191780821917817</v>
      </c>
    </row>
    <row r="115" spans="12:16" ht="15" hidden="1" customHeight="1">
      <c r="L115" s="58">
        <f t="shared" si="38"/>
        <v>46347</v>
      </c>
      <c r="M115" s="59">
        <f t="shared" si="36"/>
        <v>0</v>
      </c>
      <c r="N115" s="59">
        <f t="shared" si="39"/>
        <v>100000</v>
      </c>
      <c r="O115" s="59">
        <f t="shared" si="37"/>
        <v>13.698630136986301</v>
      </c>
      <c r="P115" s="59">
        <f t="shared" si="40"/>
        <v>8.2191780821917817</v>
      </c>
    </row>
    <row r="116" spans="12:16" ht="15" hidden="1" customHeight="1">
      <c r="L116" s="58">
        <f t="shared" si="38"/>
        <v>46348</v>
      </c>
      <c r="M116" s="59">
        <f t="shared" si="36"/>
        <v>0</v>
      </c>
      <c r="N116" s="59">
        <f t="shared" si="39"/>
        <v>100000</v>
      </c>
      <c r="O116" s="59">
        <f t="shared" si="37"/>
        <v>13.698630136986301</v>
      </c>
      <c r="P116" s="59">
        <f t="shared" si="40"/>
        <v>8.2191780821917817</v>
      </c>
    </row>
    <row r="117" spans="12:16" ht="15" hidden="1" customHeight="1">
      <c r="L117" s="58">
        <f t="shared" si="38"/>
        <v>46349</v>
      </c>
      <c r="M117" s="59">
        <f t="shared" si="36"/>
        <v>0</v>
      </c>
      <c r="N117" s="59">
        <f t="shared" si="39"/>
        <v>100000</v>
      </c>
      <c r="O117" s="59">
        <f t="shared" si="37"/>
        <v>13.698630136986301</v>
      </c>
      <c r="P117" s="59">
        <f t="shared" si="40"/>
        <v>8.2191780821917817</v>
      </c>
    </row>
    <row r="118" spans="12:16" ht="15" hidden="1" customHeight="1">
      <c r="L118" s="58">
        <f t="shared" si="38"/>
        <v>46350</v>
      </c>
      <c r="M118" s="59">
        <f t="shared" si="36"/>
        <v>0</v>
      </c>
      <c r="N118" s="59">
        <f t="shared" si="39"/>
        <v>100000</v>
      </c>
      <c r="O118" s="59">
        <f t="shared" si="37"/>
        <v>13.698630136986301</v>
      </c>
      <c r="P118" s="59">
        <f t="shared" si="40"/>
        <v>8.2191780821917817</v>
      </c>
    </row>
    <row r="119" spans="12:16" ht="15" hidden="1" customHeight="1">
      <c r="L119" s="58">
        <f t="shared" si="38"/>
        <v>46351</v>
      </c>
      <c r="M119" s="59">
        <f t="shared" si="36"/>
        <v>0</v>
      </c>
      <c r="N119" s="59">
        <f t="shared" si="39"/>
        <v>100000</v>
      </c>
      <c r="O119" s="59">
        <f t="shared" si="37"/>
        <v>13.698630136986301</v>
      </c>
      <c r="P119" s="59">
        <f t="shared" si="40"/>
        <v>8.2191780821917817</v>
      </c>
    </row>
    <row r="120" spans="12:16" ht="15" hidden="1" customHeight="1">
      <c r="L120" s="58">
        <f t="shared" si="38"/>
        <v>46352</v>
      </c>
      <c r="M120" s="59">
        <f t="shared" si="36"/>
        <v>0</v>
      </c>
      <c r="N120" s="59">
        <f t="shared" si="39"/>
        <v>100000</v>
      </c>
      <c r="O120" s="59">
        <f t="shared" si="37"/>
        <v>13.698630136986301</v>
      </c>
      <c r="P120" s="59">
        <f t="shared" si="40"/>
        <v>8.2191780821917817</v>
      </c>
    </row>
    <row r="121" spans="12:16" ht="15" hidden="1" customHeight="1">
      <c r="L121" s="58">
        <f t="shared" si="38"/>
        <v>46353</v>
      </c>
      <c r="M121" s="59">
        <f t="shared" si="36"/>
        <v>0</v>
      </c>
      <c r="N121" s="59">
        <f t="shared" si="39"/>
        <v>100000</v>
      </c>
      <c r="O121" s="59">
        <f t="shared" si="37"/>
        <v>13.698630136986301</v>
      </c>
      <c r="P121" s="59">
        <f t="shared" si="40"/>
        <v>8.2191780821917817</v>
      </c>
    </row>
    <row r="122" spans="12:16" ht="15" hidden="1" customHeight="1">
      <c r="L122" s="58">
        <f t="shared" si="38"/>
        <v>46354</v>
      </c>
      <c r="M122" s="59">
        <f t="shared" si="36"/>
        <v>0</v>
      </c>
      <c r="N122" s="59">
        <f t="shared" si="39"/>
        <v>100000</v>
      </c>
      <c r="O122" s="59">
        <f t="shared" si="37"/>
        <v>13.698630136986301</v>
      </c>
      <c r="P122" s="59">
        <f t="shared" si="40"/>
        <v>8.2191780821917817</v>
      </c>
    </row>
    <row r="123" spans="12:16" ht="15" hidden="1" customHeight="1">
      <c r="L123" s="58">
        <f t="shared" si="38"/>
        <v>46355</v>
      </c>
      <c r="M123" s="59">
        <f t="shared" si="36"/>
        <v>0</v>
      </c>
      <c r="N123" s="59">
        <f t="shared" si="39"/>
        <v>100000</v>
      </c>
      <c r="O123" s="59">
        <f t="shared" si="37"/>
        <v>13.698630136986301</v>
      </c>
      <c r="P123" s="59">
        <f t="shared" si="40"/>
        <v>8.2191780821917817</v>
      </c>
    </row>
    <row r="124" spans="12:16" ht="15" hidden="1" customHeight="1">
      <c r="L124" s="58">
        <f t="shared" si="38"/>
        <v>46356</v>
      </c>
      <c r="M124" s="59">
        <f t="shared" si="36"/>
        <v>0</v>
      </c>
      <c r="N124" s="59">
        <f t="shared" si="39"/>
        <v>100000</v>
      </c>
      <c r="O124" s="59">
        <f t="shared" si="37"/>
        <v>13.698630136986301</v>
      </c>
      <c r="P124" s="59">
        <f t="shared" si="40"/>
        <v>8.2191780821917817</v>
      </c>
    </row>
    <row r="125" spans="12:16" ht="15" hidden="1" customHeight="1">
      <c r="L125" s="58">
        <f t="shared" si="38"/>
        <v>46357</v>
      </c>
      <c r="M125" s="59">
        <f t="shared" si="36"/>
        <v>0</v>
      </c>
      <c r="N125" s="59">
        <f t="shared" si="39"/>
        <v>100000</v>
      </c>
      <c r="O125" s="59">
        <f t="shared" si="37"/>
        <v>13.698630136986301</v>
      </c>
      <c r="P125" s="59">
        <f t="shared" si="40"/>
        <v>8.2191780821917817</v>
      </c>
    </row>
    <row r="126" spans="12:16" ht="15" hidden="1" customHeight="1">
      <c r="L126" s="58">
        <f t="shared" si="38"/>
        <v>46358</v>
      </c>
      <c r="M126" s="59">
        <f t="shared" si="36"/>
        <v>0</v>
      </c>
      <c r="N126" s="59">
        <f t="shared" si="39"/>
        <v>100000</v>
      </c>
      <c r="O126" s="59">
        <f t="shared" si="37"/>
        <v>13.698630136986301</v>
      </c>
      <c r="P126" s="59">
        <f t="shared" si="40"/>
        <v>8.2191780821917817</v>
      </c>
    </row>
    <row r="127" spans="12:16" ht="15" hidden="1" customHeight="1">
      <c r="L127" s="58">
        <f t="shared" si="38"/>
        <v>46359</v>
      </c>
      <c r="M127" s="59">
        <f t="shared" si="36"/>
        <v>0</v>
      </c>
      <c r="N127" s="59">
        <f t="shared" si="39"/>
        <v>100000</v>
      </c>
      <c r="O127" s="59">
        <f t="shared" si="37"/>
        <v>13.698630136986301</v>
      </c>
      <c r="P127" s="59">
        <f t="shared" si="40"/>
        <v>8.2191780821917817</v>
      </c>
    </row>
    <row r="128" spans="12:16" ht="15" hidden="1" customHeight="1">
      <c r="L128" s="58">
        <f t="shared" si="38"/>
        <v>46360</v>
      </c>
      <c r="M128" s="59">
        <f t="shared" si="36"/>
        <v>0</v>
      </c>
      <c r="N128" s="59">
        <f t="shared" si="39"/>
        <v>100000</v>
      </c>
      <c r="O128" s="59">
        <f t="shared" si="37"/>
        <v>13.698630136986301</v>
      </c>
      <c r="P128" s="59">
        <f t="shared" si="40"/>
        <v>8.2191780821917817</v>
      </c>
    </row>
    <row r="129" spans="12:16" ht="15" hidden="1" customHeight="1">
      <c r="L129" s="58">
        <f t="shared" si="38"/>
        <v>46361</v>
      </c>
      <c r="M129" s="59">
        <f t="shared" si="36"/>
        <v>0</v>
      </c>
      <c r="N129" s="59">
        <f t="shared" si="39"/>
        <v>100000</v>
      </c>
      <c r="O129" s="59">
        <f t="shared" si="37"/>
        <v>13.698630136986301</v>
      </c>
      <c r="P129" s="59">
        <f t="shared" si="40"/>
        <v>8.2191780821917817</v>
      </c>
    </row>
    <row r="130" spans="12:16" ht="15" hidden="1" customHeight="1">
      <c r="L130" s="58">
        <f t="shared" si="38"/>
        <v>46362</v>
      </c>
      <c r="M130" s="59">
        <f t="shared" si="36"/>
        <v>0</v>
      </c>
      <c r="N130" s="59">
        <f t="shared" si="39"/>
        <v>100000</v>
      </c>
      <c r="O130" s="59">
        <f t="shared" si="37"/>
        <v>13.698630136986301</v>
      </c>
      <c r="P130" s="59">
        <f t="shared" si="40"/>
        <v>8.2191780821917817</v>
      </c>
    </row>
    <row r="131" spans="12:16" ht="15" hidden="1" customHeight="1">
      <c r="L131" s="58">
        <f t="shared" si="38"/>
        <v>46363</v>
      </c>
      <c r="M131" s="59">
        <f t="shared" si="36"/>
        <v>0</v>
      </c>
      <c r="N131" s="59">
        <f t="shared" si="39"/>
        <v>100000</v>
      </c>
      <c r="O131" s="59">
        <f t="shared" si="37"/>
        <v>13.698630136986301</v>
      </c>
      <c r="P131" s="59">
        <f t="shared" si="40"/>
        <v>8.2191780821917817</v>
      </c>
    </row>
    <row r="132" spans="12:16" ht="15" hidden="1" customHeight="1">
      <c r="L132" s="58">
        <f t="shared" si="38"/>
        <v>46364</v>
      </c>
      <c r="M132" s="59">
        <f t="shared" si="36"/>
        <v>0</v>
      </c>
      <c r="N132" s="59">
        <f t="shared" si="39"/>
        <v>100000</v>
      </c>
      <c r="O132" s="59">
        <f t="shared" si="37"/>
        <v>13.698630136986301</v>
      </c>
      <c r="P132" s="59">
        <f t="shared" si="40"/>
        <v>8.2191780821917817</v>
      </c>
    </row>
    <row r="133" spans="12:16" ht="15" hidden="1" customHeight="1">
      <c r="L133" s="58">
        <f t="shared" si="38"/>
        <v>46365</v>
      </c>
      <c r="M133" s="59">
        <f t="shared" si="36"/>
        <v>0</v>
      </c>
      <c r="N133" s="59">
        <f t="shared" si="39"/>
        <v>100000</v>
      </c>
      <c r="O133" s="59">
        <f t="shared" si="37"/>
        <v>13.698630136986301</v>
      </c>
      <c r="P133" s="59">
        <f t="shared" si="40"/>
        <v>8.2191780821917817</v>
      </c>
    </row>
    <row r="134" spans="12:16" ht="15" hidden="1" customHeight="1">
      <c r="L134" s="58">
        <f t="shared" si="38"/>
        <v>46366</v>
      </c>
      <c r="M134" s="59">
        <f t="shared" si="36"/>
        <v>0</v>
      </c>
      <c r="N134" s="59">
        <f t="shared" si="39"/>
        <v>100000</v>
      </c>
      <c r="O134" s="59">
        <f t="shared" si="37"/>
        <v>13.698630136986301</v>
      </c>
      <c r="P134" s="59">
        <f t="shared" si="40"/>
        <v>8.2191780821917817</v>
      </c>
    </row>
    <row r="135" spans="12:16" ht="15" hidden="1" customHeight="1">
      <c r="L135" s="58">
        <f t="shared" si="38"/>
        <v>46367</v>
      </c>
      <c r="M135" s="59">
        <f t="shared" si="36"/>
        <v>0</v>
      </c>
      <c r="N135" s="59">
        <f t="shared" si="39"/>
        <v>100000</v>
      </c>
      <c r="O135" s="59">
        <f t="shared" si="37"/>
        <v>13.698630136986301</v>
      </c>
      <c r="P135" s="59">
        <f t="shared" si="40"/>
        <v>8.2191780821917817</v>
      </c>
    </row>
    <row r="136" spans="12:16" ht="15" hidden="1" customHeight="1">
      <c r="L136" s="58">
        <f t="shared" si="38"/>
        <v>46368</v>
      </c>
      <c r="M136" s="59">
        <f t="shared" si="36"/>
        <v>0</v>
      </c>
      <c r="N136" s="59">
        <f t="shared" si="39"/>
        <v>100000</v>
      </c>
      <c r="O136" s="59">
        <f t="shared" si="37"/>
        <v>13.698630136986301</v>
      </c>
      <c r="P136" s="59">
        <f t="shared" si="40"/>
        <v>8.2191780821917817</v>
      </c>
    </row>
    <row r="137" spans="12:16" ht="15" hidden="1" customHeight="1">
      <c r="L137" s="58">
        <f t="shared" si="38"/>
        <v>46369</v>
      </c>
      <c r="M137" s="59">
        <f t="shared" si="36"/>
        <v>0</v>
      </c>
      <c r="N137" s="59">
        <f t="shared" si="39"/>
        <v>100000</v>
      </c>
      <c r="O137" s="59">
        <f t="shared" si="37"/>
        <v>13.698630136986301</v>
      </c>
      <c r="P137" s="59">
        <f t="shared" si="40"/>
        <v>8.2191780821917817</v>
      </c>
    </row>
    <row r="138" spans="12:16" ht="15" hidden="1" customHeight="1">
      <c r="L138" s="58">
        <f t="shared" si="38"/>
        <v>46370</v>
      </c>
      <c r="M138" s="59">
        <f t="shared" si="36"/>
        <v>0</v>
      </c>
      <c r="N138" s="59">
        <f t="shared" si="39"/>
        <v>100000</v>
      </c>
      <c r="O138" s="59">
        <f t="shared" si="37"/>
        <v>13.698630136986301</v>
      </c>
      <c r="P138" s="59">
        <f t="shared" si="40"/>
        <v>8.2191780821917817</v>
      </c>
    </row>
    <row r="139" spans="12:16" ht="15" hidden="1" customHeight="1">
      <c r="L139" s="58">
        <f t="shared" si="38"/>
        <v>46371</v>
      </c>
      <c r="M139" s="59">
        <f t="shared" si="36"/>
        <v>0</v>
      </c>
      <c r="N139" s="59">
        <f t="shared" si="39"/>
        <v>100000</v>
      </c>
      <c r="O139" s="59">
        <f t="shared" si="37"/>
        <v>13.698630136986301</v>
      </c>
      <c r="P139" s="59">
        <f t="shared" si="40"/>
        <v>8.2191780821917817</v>
      </c>
    </row>
    <row r="140" spans="12:16" ht="15" hidden="1" customHeight="1">
      <c r="L140" s="58">
        <f t="shared" si="38"/>
        <v>46372</v>
      </c>
      <c r="M140" s="59">
        <f t="shared" si="36"/>
        <v>0</v>
      </c>
      <c r="N140" s="59">
        <f t="shared" si="39"/>
        <v>100000</v>
      </c>
      <c r="O140" s="59">
        <f t="shared" si="37"/>
        <v>13.698630136986301</v>
      </c>
      <c r="P140" s="59">
        <f t="shared" si="40"/>
        <v>8.2191780821917817</v>
      </c>
    </row>
    <row r="141" spans="12:16" ht="15" hidden="1" customHeight="1">
      <c r="L141" s="58">
        <f t="shared" si="38"/>
        <v>46373</v>
      </c>
      <c r="M141" s="59">
        <f t="shared" si="36"/>
        <v>0</v>
      </c>
      <c r="N141" s="59">
        <f t="shared" si="39"/>
        <v>100000</v>
      </c>
      <c r="O141" s="59">
        <f t="shared" si="37"/>
        <v>13.698630136986301</v>
      </c>
      <c r="P141" s="59">
        <f t="shared" si="40"/>
        <v>8.2191780821917817</v>
      </c>
    </row>
    <row r="142" spans="12:16" ht="15" hidden="1" customHeight="1">
      <c r="L142" s="58">
        <f t="shared" si="38"/>
        <v>46374</v>
      </c>
      <c r="M142" s="59">
        <f t="shared" si="36"/>
        <v>0</v>
      </c>
      <c r="N142" s="59">
        <f t="shared" si="39"/>
        <v>100000</v>
      </c>
      <c r="O142" s="59">
        <f t="shared" si="37"/>
        <v>13.698630136986301</v>
      </c>
      <c r="P142" s="59">
        <f t="shared" si="40"/>
        <v>8.2191780821917817</v>
      </c>
    </row>
    <row r="143" spans="12:16" ht="15" hidden="1" customHeight="1">
      <c r="L143" s="58">
        <f t="shared" si="38"/>
        <v>46375</v>
      </c>
      <c r="M143" s="59">
        <f t="shared" si="36"/>
        <v>0</v>
      </c>
      <c r="N143" s="59">
        <f t="shared" si="39"/>
        <v>100000</v>
      </c>
      <c r="O143" s="59">
        <f t="shared" si="37"/>
        <v>13.698630136986301</v>
      </c>
      <c r="P143" s="59">
        <f t="shared" si="40"/>
        <v>8.2191780821917817</v>
      </c>
    </row>
    <row r="144" spans="12:16" ht="15" hidden="1" customHeight="1">
      <c r="L144" s="58">
        <f t="shared" si="38"/>
        <v>46376</v>
      </c>
      <c r="M144" s="59">
        <f t="shared" si="36"/>
        <v>0</v>
      </c>
      <c r="N144" s="59">
        <f t="shared" si="39"/>
        <v>100000</v>
      </c>
      <c r="O144" s="59">
        <f t="shared" si="37"/>
        <v>13.698630136986301</v>
      </c>
      <c r="P144" s="59">
        <f t="shared" si="40"/>
        <v>8.2191780821917817</v>
      </c>
    </row>
    <row r="145" spans="12:16" ht="15" hidden="1" customHeight="1">
      <c r="L145" s="58">
        <f t="shared" si="38"/>
        <v>46377</v>
      </c>
      <c r="M145" s="59">
        <f t="shared" si="36"/>
        <v>0</v>
      </c>
      <c r="N145" s="59">
        <f t="shared" si="39"/>
        <v>100000</v>
      </c>
      <c r="O145" s="59">
        <f t="shared" si="37"/>
        <v>13.698630136986301</v>
      </c>
      <c r="P145" s="59">
        <f t="shared" si="40"/>
        <v>8.2191780821917817</v>
      </c>
    </row>
    <row r="146" spans="12:16" ht="15" hidden="1" customHeight="1">
      <c r="L146" s="58">
        <f t="shared" si="38"/>
        <v>46378</v>
      </c>
      <c r="M146" s="59">
        <f t="shared" si="36"/>
        <v>0</v>
      </c>
      <c r="N146" s="59">
        <f t="shared" si="39"/>
        <v>100000</v>
      </c>
      <c r="O146" s="59">
        <f t="shared" si="37"/>
        <v>13.698630136986301</v>
      </c>
      <c r="P146" s="59">
        <f t="shared" si="40"/>
        <v>8.2191780821917817</v>
      </c>
    </row>
    <row r="147" spans="12:16" ht="15" hidden="1" customHeight="1">
      <c r="L147" s="58">
        <f t="shared" si="38"/>
        <v>46379</v>
      </c>
      <c r="M147" s="59">
        <f t="shared" ref="M147:M210" si="41">IFERROR(VLOOKUP(L147,$B$19:$E$80,4,FALSE),0)</f>
        <v>0</v>
      </c>
      <c r="N147" s="59">
        <f t="shared" si="39"/>
        <v>100000</v>
      </c>
      <c r="O147" s="59">
        <f t="shared" ref="O147:O210" si="42">IFERROR(IF(ISNUMBER(N146),N146,$E$8)*IF(L147&gt;=$J$8,$E$12,$E$12)/IF(MOD(YEAR(L147),4),365,366)*IF(ISBLANK(L146),L147-$F$5,L147-L146),0)</f>
        <v>13.698630136986301</v>
      </c>
      <c r="P147" s="59">
        <f t="shared" si="40"/>
        <v>8.2191780821917817</v>
      </c>
    </row>
    <row r="148" spans="12:16" ht="15" hidden="1" customHeight="1">
      <c r="L148" s="58">
        <f t="shared" si="38"/>
        <v>46380</v>
      </c>
      <c r="M148" s="59">
        <f t="shared" si="41"/>
        <v>0</v>
      </c>
      <c r="N148" s="59">
        <f t="shared" si="39"/>
        <v>100000</v>
      </c>
      <c r="O148" s="59">
        <f t="shared" si="42"/>
        <v>13.698630136986301</v>
      </c>
      <c r="P148" s="59">
        <f t="shared" si="40"/>
        <v>8.2191780821917817</v>
      </c>
    </row>
    <row r="149" spans="12:16" ht="15" hidden="1" customHeight="1">
      <c r="L149" s="58">
        <f t="shared" si="38"/>
        <v>46381</v>
      </c>
      <c r="M149" s="59">
        <f t="shared" si="41"/>
        <v>0</v>
      </c>
      <c r="N149" s="59">
        <f t="shared" si="39"/>
        <v>100000</v>
      </c>
      <c r="O149" s="59">
        <f t="shared" si="42"/>
        <v>13.698630136986301</v>
      </c>
      <c r="P149" s="59">
        <f t="shared" si="40"/>
        <v>8.2191780821917817</v>
      </c>
    </row>
    <row r="150" spans="12:16" ht="15" hidden="1" customHeight="1">
      <c r="L150" s="58">
        <f t="shared" si="38"/>
        <v>46382</v>
      </c>
      <c r="M150" s="59">
        <f t="shared" si="41"/>
        <v>0</v>
      </c>
      <c r="N150" s="59">
        <f t="shared" si="39"/>
        <v>100000</v>
      </c>
      <c r="O150" s="59">
        <f t="shared" si="42"/>
        <v>13.698630136986301</v>
      </c>
      <c r="P150" s="59">
        <f t="shared" si="40"/>
        <v>8.2191780821917817</v>
      </c>
    </row>
    <row r="151" spans="12:16" ht="15" hidden="1" customHeight="1">
      <c r="L151" s="58">
        <f t="shared" si="38"/>
        <v>46383</v>
      </c>
      <c r="M151" s="59">
        <f t="shared" si="41"/>
        <v>0</v>
      </c>
      <c r="N151" s="59">
        <f t="shared" si="39"/>
        <v>100000</v>
      </c>
      <c r="O151" s="59">
        <f t="shared" si="42"/>
        <v>13.698630136986301</v>
      </c>
      <c r="P151" s="59">
        <f t="shared" si="40"/>
        <v>8.2191780821917817</v>
      </c>
    </row>
    <row r="152" spans="12:16" ht="15" hidden="1" customHeight="1">
      <c r="L152" s="58">
        <f t="shared" si="38"/>
        <v>46384</v>
      </c>
      <c r="M152" s="59">
        <f t="shared" si="41"/>
        <v>0</v>
      </c>
      <c r="N152" s="59">
        <f t="shared" si="39"/>
        <v>100000</v>
      </c>
      <c r="O152" s="59">
        <f t="shared" si="42"/>
        <v>13.698630136986301</v>
      </c>
      <c r="P152" s="59">
        <f t="shared" si="40"/>
        <v>8.2191780821917817</v>
      </c>
    </row>
    <row r="153" spans="12:16" ht="15" hidden="1" customHeight="1">
      <c r="L153" s="58">
        <f t="shared" si="38"/>
        <v>46385</v>
      </c>
      <c r="M153" s="59">
        <f t="shared" si="41"/>
        <v>0</v>
      </c>
      <c r="N153" s="59">
        <f t="shared" si="39"/>
        <v>100000</v>
      </c>
      <c r="O153" s="59">
        <f t="shared" si="42"/>
        <v>13.698630136986301</v>
      </c>
      <c r="P153" s="59">
        <f t="shared" si="40"/>
        <v>8.2191780821917817</v>
      </c>
    </row>
    <row r="154" spans="12:16" ht="15" hidden="1" customHeight="1">
      <c r="L154" s="58">
        <f t="shared" si="38"/>
        <v>46386</v>
      </c>
      <c r="M154" s="59">
        <f t="shared" si="41"/>
        <v>0</v>
      </c>
      <c r="N154" s="59">
        <f t="shared" si="39"/>
        <v>100000</v>
      </c>
      <c r="O154" s="59">
        <f t="shared" si="42"/>
        <v>13.698630136986301</v>
      </c>
      <c r="P154" s="59">
        <f t="shared" si="40"/>
        <v>8.2191780821917817</v>
      </c>
    </row>
    <row r="155" spans="12:16" ht="15" hidden="1" customHeight="1">
      <c r="L155" s="58">
        <f t="shared" si="38"/>
        <v>46387</v>
      </c>
      <c r="M155" s="59">
        <f t="shared" si="41"/>
        <v>0</v>
      </c>
      <c r="N155" s="59">
        <f t="shared" si="39"/>
        <v>100000</v>
      </c>
      <c r="O155" s="59">
        <f t="shared" si="42"/>
        <v>13.698630136986301</v>
      </c>
      <c r="P155" s="59">
        <f t="shared" si="40"/>
        <v>8.2191780821917817</v>
      </c>
    </row>
    <row r="156" spans="12:16" ht="15" hidden="1" customHeight="1">
      <c r="L156" s="58">
        <f t="shared" si="38"/>
        <v>46388</v>
      </c>
      <c r="M156" s="59">
        <f t="shared" si="41"/>
        <v>0</v>
      </c>
      <c r="N156" s="59">
        <f t="shared" si="39"/>
        <v>100000</v>
      </c>
      <c r="O156" s="59">
        <f t="shared" si="42"/>
        <v>13.698630136986301</v>
      </c>
      <c r="P156" s="59">
        <f t="shared" si="40"/>
        <v>8.2191780821917817</v>
      </c>
    </row>
    <row r="157" spans="12:16" ht="15" hidden="1" customHeight="1">
      <c r="L157" s="58">
        <f t="shared" si="38"/>
        <v>46389</v>
      </c>
      <c r="M157" s="59">
        <f t="shared" si="41"/>
        <v>0</v>
      </c>
      <c r="N157" s="59">
        <f t="shared" si="39"/>
        <v>100000</v>
      </c>
      <c r="O157" s="59">
        <f t="shared" si="42"/>
        <v>13.698630136986301</v>
      </c>
      <c r="P157" s="59">
        <f t="shared" si="40"/>
        <v>8.2191780821917817</v>
      </c>
    </row>
    <row r="158" spans="12:16" ht="15" hidden="1" customHeight="1">
      <c r="L158" s="58">
        <f t="shared" si="38"/>
        <v>46390</v>
      </c>
      <c r="M158" s="59">
        <f t="shared" si="41"/>
        <v>0</v>
      </c>
      <c r="N158" s="59">
        <f t="shared" si="39"/>
        <v>100000</v>
      </c>
      <c r="O158" s="59">
        <f t="shared" si="42"/>
        <v>13.698630136986301</v>
      </c>
      <c r="P158" s="59">
        <f t="shared" si="40"/>
        <v>8.2191780821917817</v>
      </c>
    </row>
    <row r="159" spans="12:16" ht="15" hidden="1" customHeight="1">
      <c r="L159" s="58">
        <f t="shared" si="38"/>
        <v>46391</v>
      </c>
      <c r="M159" s="59">
        <f t="shared" si="41"/>
        <v>0</v>
      </c>
      <c r="N159" s="59">
        <f t="shared" si="39"/>
        <v>100000</v>
      </c>
      <c r="O159" s="59">
        <f t="shared" si="42"/>
        <v>13.698630136986301</v>
      </c>
      <c r="P159" s="59">
        <f t="shared" si="40"/>
        <v>8.2191780821917817</v>
      </c>
    </row>
    <row r="160" spans="12:16" ht="15" hidden="1" customHeight="1">
      <c r="L160" s="58">
        <f t="shared" si="38"/>
        <v>46392</v>
      </c>
      <c r="M160" s="59">
        <f t="shared" si="41"/>
        <v>0</v>
      </c>
      <c r="N160" s="59">
        <f t="shared" si="39"/>
        <v>100000</v>
      </c>
      <c r="O160" s="59">
        <f t="shared" si="42"/>
        <v>13.698630136986301</v>
      </c>
      <c r="P160" s="59">
        <f t="shared" si="40"/>
        <v>8.2191780821917817</v>
      </c>
    </row>
    <row r="161" spans="12:16" ht="15" hidden="1" customHeight="1">
      <c r="L161" s="58">
        <f t="shared" si="38"/>
        <v>46393</v>
      </c>
      <c r="M161" s="59">
        <f t="shared" si="41"/>
        <v>0</v>
      </c>
      <c r="N161" s="59">
        <f t="shared" si="39"/>
        <v>100000</v>
      </c>
      <c r="O161" s="59">
        <f t="shared" si="42"/>
        <v>13.698630136986301</v>
      </c>
      <c r="P161" s="59">
        <f t="shared" si="40"/>
        <v>8.2191780821917817</v>
      </c>
    </row>
    <row r="162" spans="12:16" ht="15" hidden="1" customHeight="1">
      <c r="L162" s="58">
        <f t="shared" ref="L162:L225" si="43">IFERROR(IF(MAX(L161+1,$F$5+1)&gt;Дата_погашения_Займа,"-",MAX(L161+1,$F$5+1)),"-")</f>
        <v>46394</v>
      </c>
      <c r="M162" s="59">
        <f t="shared" si="41"/>
        <v>0</v>
      </c>
      <c r="N162" s="59">
        <f t="shared" si="39"/>
        <v>100000</v>
      </c>
      <c r="O162" s="59">
        <f t="shared" si="42"/>
        <v>13.698630136986301</v>
      </c>
      <c r="P162" s="59">
        <f t="shared" si="40"/>
        <v>8.2191780821917817</v>
      </c>
    </row>
    <row r="163" spans="12:16" ht="15" hidden="1" customHeight="1">
      <c r="L163" s="58">
        <f t="shared" si="43"/>
        <v>46395</v>
      </c>
      <c r="M163" s="59">
        <f t="shared" si="41"/>
        <v>0</v>
      </c>
      <c r="N163" s="59">
        <f t="shared" si="39"/>
        <v>100000</v>
      </c>
      <c r="O163" s="59">
        <f t="shared" si="42"/>
        <v>13.698630136986301</v>
      </c>
      <c r="P163" s="59">
        <f t="shared" si="40"/>
        <v>8.2191780821917817</v>
      </c>
    </row>
    <row r="164" spans="12:16" ht="15" hidden="1" customHeight="1">
      <c r="L164" s="58">
        <f t="shared" si="43"/>
        <v>46396</v>
      </c>
      <c r="M164" s="59">
        <f t="shared" si="41"/>
        <v>0</v>
      </c>
      <c r="N164" s="59">
        <f t="shared" si="39"/>
        <v>100000</v>
      </c>
      <c r="O164" s="59">
        <f t="shared" si="42"/>
        <v>13.698630136986301</v>
      </c>
      <c r="P164" s="59">
        <f t="shared" si="40"/>
        <v>8.2191780821917817</v>
      </c>
    </row>
    <row r="165" spans="12:16" ht="15" hidden="1" customHeight="1">
      <c r="L165" s="58">
        <f t="shared" si="43"/>
        <v>46397</v>
      </c>
      <c r="M165" s="59">
        <f t="shared" si="41"/>
        <v>0</v>
      </c>
      <c r="N165" s="59">
        <f t="shared" si="39"/>
        <v>100000</v>
      </c>
      <c r="O165" s="59">
        <f t="shared" si="42"/>
        <v>13.698630136986301</v>
      </c>
      <c r="P165" s="59">
        <f t="shared" si="40"/>
        <v>8.2191780821917817</v>
      </c>
    </row>
    <row r="166" spans="12:16" ht="15" hidden="1" customHeight="1">
      <c r="L166" s="58">
        <f t="shared" si="43"/>
        <v>46398</v>
      </c>
      <c r="M166" s="59">
        <f t="shared" si="41"/>
        <v>0</v>
      </c>
      <c r="N166" s="59">
        <f t="shared" si="39"/>
        <v>100000</v>
      </c>
      <c r="O166" s="59">
        <f t="shared" si="42"/>
        <v>13.698630136986301</v>
      </c>
      <c r="P166" s="59">
        <f t="shared" si="40"/>
        <v>8.2191780821917817</v>
      </c>
    </row>
    <row r="167" spans="12:16" ht="15" hidden="1" customHeight="1">
      <c r="L167" s="58">
        <f t="shared" si="43"/>
        <v>46399</v>
      </c>
      <c r="M167" s="59">
        <f t="shared" si="41"/>
        <v>0</v>
      </c>
      <c r="N167" s="59">
        <f t="shared" si="39"/>
        <v>100000</v>
      </c>
      <c r="O167" s="59">
        <f t="shared" si="42"/>
        <v>13.698630136986301</v>
      </c>
      <c r="P167" s="59">
        <f t="shared" si="40"/>
        <v>8.2191780821917817</v>
      </c>
    </row>
    <row r="168" spans="12:16" ht="15" hidden="1" customHeight="1">
      <c r="L168" s="58">
        <f t="shared" si="43"/>
        <v>46400</v>
      </c>
      <c r="M168" s="59">
        <f t="shared" si="41"/>
        <v>0</v>
      </c>
      <c r="N168" s="59">
        <f t="shared" si="39"/>
        <v>100000</v>
      </c>
      <c r="O168" s="59">
        <f t="shared" si="42"/>
        <v>13.698630136986301</v>
      </c>
      <c r="P168" s="59">
        <f t="shared" si="40"/>
        <v>8.2191780821917817</v>
      </c>
    </row>
    <row r="169" spans="12:16" ht="15" hidden="1" customHeight="1">
      <c r="L169" s="58">
        <f t="shared" si="43"/>
        <v>46401</v>
      </c>
      <c r="M169" s="59">
        <f t="shared" si="41"/>
        <v>0</v>
      </c>
      <c r="N169" s="59">
        <f t="shared" si="39"/>
        <v>100000</v>
      </c>
      <c r="O169" s="59">
        <f t="shared" si="42"/>
        <v>13.698630136986301</v>
      </c>
      <c r="P169" s="59">
        <f t="shared" si="40"/>
        <v>8.2191780821917817</v>
      </c>
    </row>
    <row r="170" spans="12:16" ht="15" hidden="1" customHeight="1">
      <c r="L170" s="58">
        <f t="shared" si="43"/>
        <v>46402</v>
      </c>
      <c r="M170" s="59">
        <f t="shared" si="41"/>
        <v>0</v>
      </c>
      <c r="N170" s="59">
        <f t="shared" si="39"/>
        <v>100000</v>
      </c>
      <c r="O170" s="59">
        <f t="shared" si="42"/>
        <v>13.698630136986301</v>
      </c>
      <c r="P170" s="59">
        <f t="shared" si="40"/>
        <v>8.2191780821917817</v>
      </c>
    </row>
    <row r="171" spans="12:16" ht="15" hidden="1" customHeight="1">
      <c r="L171" s="58">
        <f t="shared" si="43"/>
        <v>46403</v>
      </c>
      <c r="M171" s="59">
        <f t="shared" si="41"/>
        <v>0</v>
      </c>
      <c r="N171" s="59">
        <f t="shared" si="39"/>
        <v>100000</v>
      </c>
      <c r="O171" s="59">
        <f t="shared" si="42"/>
        <v>13.698630136986301</v>
      </c>
      <c r="P171" s="59">
        <f t="shared" si="40"/>
        <v>8.2191780821917817</v>
      </c>
    </row>
    <row r="172" spans="12:16" ht="15" hidden="1" customHeight="1">
      <c r="L172" s="58">
        <f t="shared" si="43"/>
        <v>46404</v>
      </c>
      <c r="M172" s="59">
        <f t="shared" si="41"/>
        <v>0</v>
      </c>
      <c r="N172" s="59">
        <f t="shared" si="39"/>
        <v>100000</v>
      </c>
      <c r="O172" s="59">
        <f t="shared" si="42"/>
        <v>13.698630136986301</v>
      </c>
      <c r="P172" s="59">
        <f t="shared" si="40"/>
        <v>8.2191780821917817</v>
      </c>
    </row>
    <row r="173" spans="12:16" ht="15" hidden="1" customHeight="1">
      <c r="L173" s="58">
        <f t="shared" si="43"/>
        <v>46405</v>
      </c>
      <c r="M173" s="59">
        <f t="shared" si="41"/>
        <v>0</v>
      </c>
      <c r="N173" s="59">
        <f t="shared" si="39"/>
        <v>100000</v>
      </c>
      <c r="O173" s="59">
        <f t="shared" si="42"/>
        <v>13.698630136986301</v>
      </c>
      <c r="P173" s="59">
        <f t="shared" si="40"/>
        <v>8.2191780821917817</v>
      </c>
    </row>
    <row r="174" spans="12:16" ht="15" hidden="1" customHeight="1">
      <c r="L174" s="58">
        <f t="shared" si="43"/>
        <v>46406</v>
      </c>
      <c r="M174" s="59">
        <f t="shared" si="41"/>
        <v>0</v>
      </c>
      <c r="N174" s="59">
        <f t="shared" si="39"/>
        <v>100000</v>
      </c>
      <c r="O174" s="59">
        <f t="shared" si="42"/>
        <v>13.698630136986301</v>
      </c>
      <c r="P174" s="59">
        <f t="shared" si="40"/>
        <v>8.2191780821917817</v>
      </c>
    </row>
    <row r="175" spans="12:16" ht="15" hidden="1" customHeight="1">
      <c r="L175" s="58">
        <f t="shared" si="43"/>
        <v>46407</v>
      </c>
      <c r="M175" s="59">
        <f t="shared" si="41"/>
        <v>0</v>
      </c>
      <c r="N175" s="59">
        <f t="shared" si="39"/>
        <v>100000</v>
      </c>
      <c r="O175" s="59">
        <f t="shared" si="42"/>
        <v>13.698630136986301</v>
      </c>
      <c r="P175" s="59">
        <f t="shared" si="40"/>
        <v>8.2191780821917817</v>
      </c>
    </row>
    <row r="176" spans="12:16" ht="15" hidden="1" customHeight="1">
      <c r="L176" s="58">
        <f t="shared" si="43"/>
        <v>46408</v>
      </c>
      <c r="M176" s="59">
        <f t="shared" si="41"/>
        <v>0</v>
      </c>
      <c r="N176" s="59">
        <f t="shared" ref="N176:N239" si="44">IF(ISNUMBER(N175),N175-M176,$E$8)</f>
        <v>100000</v>
      </c>
      <c r="O176" s="59">
        <f t="shared" si="42"/>
        <v>13.698630136986301</v>
      </c>
      <c r="P176" s="59">
        <f t="shared" ref="P176:P239" si="45">IFERROR(IF(ISNUMBER(N175),N175,$E$8)*3%/IF(MOD(YEAR(L176),4),365,366)*IF(ISBLANK(L175),(L176-$F$5),L176-L175),0)</f>
        <v>8.2191780821917817</v>
      </c>
    </row>
    <row r="177" spans="12:16" ht="15" hidden="1" customHeight="1">
      <c r="L177" s="58">
        <f t="shared" si="43"/>
        <v>46409</v>
      </c>
      <c r="M177" s="59">
        <f t="shared" si="41"/>
        <v>0</v>
      </c>
      <c r="N177" s="59">
        <f t="shared" si="44"/>
        <v>100000</v>
      </c>
      <c r="O177" s="59">
        <f t="shared" si="42"/>
        <v>13.698630136986301</v>
      </c>
      <c r="P177" s="59">
        <f t="shared" si="45"/>
        <v>8.2191780821917817</v>
      </c>
    </row>
    <row r="178" spans="12:16" ht="15" hidden="1" customHeight="1">
      <c r="L178" s="58">
        <f t="shared" si="43"/>
        <v>46410</v>
      </c>
      <c r="M178" s="59">
        <f t="shared" si="41"/>
        <v>0</v>
      </c>
      <c r="N178" s="59">
        <f t="shared" si="44"/>
        <v>100000</v>
      </c>
      <c r="O178" s="59">
        <f t="shared" si="42"/>
        <v>13.698630136986301</v>
      </c>
      <c r="P178" s="59">
        <f t="shared" si="45"/>
        <v>8.2191780821917817</v>
      </c>
    </row>
    <row r="179" spans="12:16" ht="15" hidden="1" customHeight="1">
      <c r="L179" s="58">
        <f t="shared" si="43"/>
        <v>46411</v>
      </c>
      <c r="M179" s="59">
        <f t="shared" si="41"/>
        <v>0</v>
      </c>
      <c r="N179" s="59">
        <f t="shared" si="44"/>
        <v>100000</v>
      </c>
      <c r="O179" s="59">
        <f t="shared" si="42"/>
        <v>13.698630136986301</v>
      </c>
      <c r="P179" s="59">
        <f t="shared" si="45"/>
        <v>8.2191780821917817</v>
      </c>
    </row>
    <row r="180" spans="12:16" ht="15" hidden="1" customHeight="1">
      <c r="L180" s="58">
        <f t="shared" si="43"/>
        <v>46412</v>
      </c>
      <c r="M180" s="59">
        <f t="shared" si="41"/>
        <v>0</v>
      </c>
      <c r="N180" s="59">
        <f t="shared" si="44"/>
        <v>100000</v>
      </c>
      <c r="O180" s="59">
        <f t="shared" si="42"/>
        <v>13.698630136986301</v>
      </c>
      <c r="P180" s="59">
        <f t="shared" si="45"/>
        <v>8.2191780821917817</v>
      </c>
    </row>
    <row r="181" spans="12:16" ht="15" hidden="1" customHeight="1">
      <c r="L181" s="58">
        <f t="shared" si="43"/>
        <v>46413</v>
      </c>
      <c r="M181" s="59">
        <f t="shared" si="41"/>
        <v>0</v>
      </c>
      <c r="N181" s="59">
        <f t="shared" si="44"/>
        <v>100000</v>
      </c>
      <c r="O181" s="59">
        <f t="shared" si="42"/>
        <v>13.698630136986301</v>
      </c>
      <c r="P181" s="59">
        <f t="shared" si="45"/>
        <v>8.2191780821917817</v>
      </c>
    </row>
    <row r="182" spans="12:16" ht="15" hidden="1" customHeight="1">
      <c r="L182" s="58">
        <f t="shared" si="43"/>
        <v>46414</v>
      </c>
      <c r="M182" s="59">
        <f t="shared" si="41"/>
        <v>0</v>
      </c>
      <c r="N182" s="59">
        <f t="shared" si="44"/>
        <v>100000</v>
      </c>
      <c r="O182" s="59">
        <f t="shared" si="42"/>
        <v>13.698630136986301</v>
      </c>
      <c r="P182" s="59">
        <f t="shared" si="45"/>
        <v>8.2191780821917817</v>
      </c>
    </row>
    <row r="183" spans="12:16" ht="15" hidden="1" customHeight="1">
      <c r="L183" s="58">
        <f t="shared" si="43"/>
        <v>46415</v>
      </c>
      <c r="M183" s="59">
        <f t="shared" si="41"/>
        <v>0</v>
      </c>
      <c r="N183" s="59">
        <f t="shared" si="44"/>
        <v>100000</v>
      </c>
      <c r="O183" s="59">
        <f t="shared" si="42"/>
        <v>13.698630136986301</v>
      </c>
      <c r="P183" s="59">
        <f t="shared" si="45"/>
        <v>8.2191780821917817</v>
      </c>
    </row>
    <row r="184" spans="12:16" ht="15" hidden="1" customHeight="1">
      <c r="L184" s="58">
        <f t="shared" si="43"/>
        <v>46416</v>
      </c>
      <c r="M184" s="59">
        <f t="shared" si="41"/>
        <v>0</v>
      </c>
      <c r="N184" s="59">
        <f t="shared" si="44"/>
        <v>100000</v>
      </c>
      <c r="O184" s="59">
        <f t="shared" si="42"/>
        <v>13.698630136986301</v>
      </c>
      <c r="P184" s="59">
        <f t="shared" si="45"/>
        <v>8.2191780821917817</v>
      </c>
    </row>
    <row r="185" spans="12:16" ht="15" hidden="1" customHeight="1">
      <c r="L185" s="58">
        <f t="shared" si="43"/>
        <v>46417</v>
      </c>
      <c r="M185" s="59">
        <f t="shared" si="41"/>
        <v>0</v>
      </c>
      <c r="N185" s="59">
        <f t="shared" si="44"/>
        <v>100000</v>
      </c>
      <c r="O185" s="59">
        <f t="shared" si="42"/>
        <v>13.698630136986301</v>
      </c>
      <c r="P185" s="59">
        <f t="shared" si="45"/>
        <v>8.2191780821917817</v>
      </c>
    </row>
    <row r="186" spans="12:16" ht="15" hidden="1" customHeight="1">
      <c r="L186" s="58">
        <f t="shared" si="43"/>
        <v>46418</v>
      </c>
      <c r="M186" s="59">
        <f t="shared" si="41"/>
        <v>0</v>
      </c>
      <c r="N186" s="59">
        <f t="shared" si="44"/>
        <v>100000</v>
      </c>
      <c r="O186" s="59">
        <f t="shared" si="42"/>
        <v>13.698630136986301</v>
      </c>
      <c r="P186" s="59">
        <f t="shared" si="45"/>
        <v>8.2191780821917817</v>
      </c>
    </row>
    <row r="187" spans="12:16" ht="15" hidden="1" customHeight="1">
      <c r="L187" s="58">
        <f t="shared" si="43"/>
        <v>46419</v>
      </c>
      <c r="M187" s="59">
        <f t="shared" si="41"/>
        <v>0</v>
      </c>
      <c r="N187" s="59">
        <f t="shared" si="44"/>
        <v>100000</v>
      </c>
      <c r="O187" s="59">
        <f t="shared" si="42"/>
        <v>13.698630136986301</v>
      </c>
      <c r="P187" s="59">
        <f t="shared" si="45"/>
        <v>8.2191780821917817</v>
      </c>
    </row>
    <row r="188" spans="12:16" ht="15" hidden="1" customHeight="1">
      <c r="L188" s="58">
        <f t="shared" si="43"/>
        <v>46420</v>
      </c>
      <c r="M188" s="59">
        <f t="shared" si="41"/>
        <v>0</v>
      </c>
      <c r="N188" s="59">
        <f t="shared" si="44"/>
        <v>100000</v>
      </c>
      <c r="O188" s="59">
        <f t="shared" si="42"/>
        <v>13.698630136986301</v>
      </c>
      <c r="P188" s="59">
        <f t="shared" si="45"/>
        <v>8.2191780821917817</v>
      </c>
    </row>
    <row r="189" spans="12:16" ht="15" hidden="1" customHeight="1">
      <c r="L189" s="58">
        <f t="shared" si="43"/>
        <v>46421</v>
      </c>
      <c r="M189" s="59">
        <f t="shared" si="41"/>
        <v>0</v>
      </c>
      <c r="N189" s="59">
        <f t="shared" si="44"/>
        <v>100000</v>
      </c>
      <c r="O189" s="59">
        <f t="shared" si="42"/>
        <v>13.698630136986301</v>
      </c>
      <c r="P189" s="59">
        <f t="shared" si="45"/>
        <v>8.2191780821917817</v>
      </c>
    </row>
    <row r="190" spans="12:16" ht="15" hidden="1" customHeight="1">
      <c r="L190" s="58">
        <f t="shared" si="43"/>
        <v>46422</v>
      </c>
      <c r="M190" s="59">
        <f t="shared" si="41"/>
        <v>0</v>
      </c>
      <c r="N190" s="59">
        <f t="shared" si="44"/>
        <v>100000</v>
      </c>
      <c r="O190" s="59">
        <f t="shared" si="42"/>
        <v>13.698630136986301</v>
      </c>
      <c r="P190" s="59">
        <f t="shared" si="45"/>
        <v>8.2191780821917817</v>
      </c>
    </row>
    <row r="191" spans="12:16" ht="15" hidden="1" customHeight="1">
      <c r="L191" s="58">
        <f t="shared" si="43"/>
        <v>46423</v>
      </c>
      <c r="M191" s="59">
        <f t="shared" si="41"/>
        <v>0</v>
      </c>
      <c r="N191" s="59">
        <f t="shared" si="44"/>
        <v>100000</v>
      </c>
      <c r="O191" s="59">
        <f t="shared" si="42"/>
        <v>13.698630136986301</v>
      </c>
      <c r="P191" s="59">
        <f t="shared" si="45"/>
        <v>8.2191780821917817</v>
      </c>
    </row>
    <row r="192" spans="12:16" ht="15" hidden="1" customHeight="1">
      <c r="L192" s="58">
        <f t="shared" si="43"/>
        <v>46424</v>
      </c>
      <c r="M192" s="59">
        <f t="shared" si="41"/>
        <v>0</v>
      </c>
      <c r="N192" s="59">
        <f t="shared" si="44"/>
        <v>100000</v>
      </c>
      <c r="O192" s="59">
        <f t="shared" si="42"/>
        <v>13.698630136986301</v>
      </c>
      <c r="P192" s="59">
        <f t="shared" si="45"/>
        <v>8.2191780821917817</v>
      </c>
    </row>
    <row r="193" spans="12:16" ht="15" hidden="1" customHeight="1">
      <c r="L193" s="58">
        <f t="shared" si="43"/>
        <v>46425</v>
      </c>
      <c r="M193" s="59">
        <f t="shared" si="41"/>
        <v>0</v>
      </c>
      <c r="N193" s="59">
        <f t="shared" si="44"/>
        <v>100000</v>
      </c>
      <c r="O193" s="59">
        <f t="shared" si="42"/>
        <v>13.698630136986301</v>
      </c>
      <c r="P193" s="59">
        <f t="shared" si="45"/>
        <v>8.2191780821917817</v>
      </c>
    </row>
    <row r="194" spans="12:16" ht="15" hidden="1" customHeight="1">
      <c r="L194" s="58">
        <f t="shared" si="43"/>
        <v>46426</v>
      </c>
      <c r="M194" s="59">
        <f t="shared" si="41"/>
        <v>0</v>
      </c>
      <c r="N194" s="59">
        <f t="shared" si="44"/>
        <v>100000</v>
      </c>
      <c r="O194" s="59">
        <f t="shared" si="42"/>
        <v>13.698630136986301</v>
      </c>
      <c r="P194" s="59">
        <f t="shared" si="45"/>
        <v>8.2191780821917817</v>
      </c>
    </row>
    <row r="195" spans="12:16" ht="15" hidden="1" customHeight="1">
      <c r="L195" s="58">
        <f t="shared" si="43"/>
        <v>46427</v>
      </c>
      <c r="M195" s="59">
        <f t="shared" si="41"/>
        <v>0</v>
      </c>
      <c r="N195" s="59">
        <f t="shared" si="44"/>
        <v>100000</v>
      </c>
      <c r="O195" s="59">
        <f t="shared" si="42"/>
        <v>13.698630136986301</v>
      </c>
      <c r="P195" s="59">
        <f t="shared" si="45"/>
        <v>8.2191780821917817</v>
      </c>
    </row>
    <row r="196" spans="12:16" ht="15" hidden="1" customHeight="1">
      <c r="L196" s="58">
        <f t="shared" si="43"/>
        <v>46428</v>
      </c>
      <c r="M196" s="59">
        <f t="shared" si="41"/>
        <v>0</v>
      </c>
      <c r="N196" s="59">
        <f t="shared" si="44"/>
        <v>100000</v>
      </c>
      <c r="O196" s="59">
        <f t="shared" si="42"/>
        <v>13.698630136986301</v>
      </c>
      <c r="P196" s="59">
        <f t="shared" si="45"/>
        <v>8.2191780821917817</v>
      </c>
    </row>
    <row r="197" spans="12:16" ht="15" hidden="1" customHeight="1">
      <c r="L197" s="58">
        <f t="shared" si="43"/>
        <v>46429</v>
      </c>
      <c r="M197" s="59">
        <f t="shared" si="41"/>
        <v>0</v>
      </c>
      <c r="N197" s="59">
        <f t="shared" si="44"/>
        <v>100000</v>
      </c>
      <c r="O197" s="59">
        <f t="shared" si="42"/>
        <v>13.698630136986301</v>
      </c>
      <c r="P197" s="59">
        <f t="shared" si="45"/>
        <v>8.2191780821917817</v>
      </c>
    </row>
    <row r="198" spans="12:16" ht="15" hidden="1" customHeight="1">
      <c r="L198" s="58">
        <f t="shared" si="43"/>
        <v>46430</v>
      </c>
      <c r="M198" s="59">
        <f t="shared" si="41"/>
        <v>0</v>
      </c>
      <c r="N198" s="59">
        <f t="shared" si="44"/>
        <v>100000</v>
      </c>
      <c r="O198" s="59">
        <f t="shared" si="42"/>
        <v>13.698630136986301</v>
      </c>
      <c r="P198" s="59">
        <f t="shared" si="45"/>
        <v>8.2191780821917817</v>
      </c>
    </row>
    <row r="199" spans="12:16" ht="15" hidden="1" customHeight="1">
      <c r="L199" s="58">
        <f t="shared" si="43"/>
        <v>46431</v>
      </c>
      <c r="M199" s="59">
        <f t="shared" si="41"/>
        <v>0</v>
      </c>
      <c r="N199" s="59">
        <f t="shared" si="44"/>
        <v>100000</v>
      </c>
      <c r="O199" s="59">
        <f t="shared" si="42"/>
        <v>13.698630136986301</v>
      </c>
      <c r="P199" s="59">
        <f t="shared" si="45"/>
        <v>8.2191780821917817</v>
      </c>
    </row>
    <row r="200" spans="12:16" ht="15" hidden="1" customHeight="1">
      <c r="L200" s="58">
        <f t="shared" si="43"/>
        <v>46432</v>
      </c>
      <c r="M200" s="59">
        <f t="shared" si="41"/>
        <v>0</v>
      </c>
      <c r="N200" s="59">
        <f t="shared" si="44"/>
        <v>100000</v>
      </c>
      <c r="O200" s="59">
        <f t="shared" si="42"/>
        <v>13.698630136986301</v>
      </c>
      <c r="P200" s="59">
        <f t="shared" si="45"/>
        <v>8.2191780821917817</v>
      </c>
    </row>
    <row r="201" spans="12:16" ht="15" hidden="1" customHeight="1">
      <c r="L201" s="58">
        <f t="shared" si="43"/>
        <v>46433</v>
      </c>
      <c r="M201" s="59">
        <f t="shared" si="41"/>
        <v>0</v>
      </c>
      <c r="N201" s="59">
        <f t="shared" si="44"/>
        <v>100000</v>
      </c>
      <c r="O201" s="59">
        <f t="shared" si="42"/>
        <v>13.698630136986301</v>
      </c>
      <c r="P201" s="59">
        <f t="shared" si="45"/>
        <v>8.2191780821917817</v>
      </c>
    </row>
    <row r="202" spans="12:16" ht="15" hidden="1" customHeight="1">
      <c r="L202" s="58">
        <f t="shared" si="43"/>
        <v>46434</v>
      </c>
      <c r="M202" s="59">
        <f t="shared" si="41"/>
        <v>0</v>
      </c>
      <c r="N202" s="59">
        <f t="shared" si="44"/>
        <v>100000</v>
      </c>
      <c r="O202" s="59">
        <f t="shared" si="42"/>
        <v>13.698630136986301</v>
      </c>
      <c r="P202" s="59">
        <f t="shared" si="45"/>
        <v>8.2191780821917817</v>
      </c>
    </row>
    <row r="203" spans="12:16" ht="15" hidden="1" customHeight="1">
      <c r="L203" s="58">
        <f t="shared" si="43"/>
        <v>46435</v>
      </c>
      <c r="M203" s="59">
        <f t="shared" si="41"/>
        <v>0</v>
      </c>
      <c r="N203" s="59">
        <f t="shared" si="44"/>
        <v>100000</v>
      </c>
      <c r="O203" s="59">
        <f t="shared" si="42"/>
        <v>13.698630136986301</v>
      </c>
      <c r="P203" s="59">
        <f t="shared" si="45"/>
        <v>8.2191780821917817</v>
      </c>
    </row>
    <row r="204" spans="12:16" ht="15" hidden="1" customHeight="1">
      <c r="L204" s="58">
        <f t="shared" si="43"/>
        <v>46436</v>
      </c>
      <c r="M204" s="59">
        <f t="shared" si="41"/>
        <v>0</v>
      </c>
      <c r="N204" s="59">
        <f t="shared" si="44"/>
        <v>100000</v>
      </c>
      <c r="O204" s="59">
        <f t="shared" si="42"/>
        <v>13.698630136986301</v>
      </c>
      <c r="P204" s="59">
        <f t="shared" si="45"/>
        <v>8.2191780821917817</v>
      </c>
    </row>
    <row r="205" spans="12:16" ht="15" hidden="1" customHeight="1">
      <c r="L205" s="58">
        <f t="shared" si="43"/>
        <v>46437</v>
      </c>
      <c r="M205" s="59">
        <f t="shared" si="41"/>
        <v>0</v>
      </c>
      <c r="N205" s="59">
        <f t="shared" si="44"/>
        <v>100000</v>
      </c>
      <c r="O205" s="59">
        <f t="shared" si="42"/>
        <v>13.698630136986301</v>
      </c>
      <c r="P205" s="59">
        <f t="shared" si="45"/>
        <v>8.2191780821917817</v>
      </c>
    </row>
    <row r="206" spans="12:16" ht="15" hidden="1" customHeight="1">
      <c r="L206" s="58">
        <f t="shared" si="43"/>
        <v>46438</v>
      </c>
      <c r="M206" s="59">
        <f t="shared" si="41"/>
        <v>0</v>
      </c>
      <c r="N206" s="59">
        <f t="shared" si="44"/>
        <v>100000</v>
      </c>
      <c r="O206" s="59">
        <f t="shared" si="42"/>
        <v>13.698630136986301</v>
      </c>
      <c r="P206" s="59">
        <f t="shared" si="45"/>
        <v>8.2191780821917817</v>
      </c>
    </row>
    <row r="207" spans="12:16" ht="15" hidden="1" customHeight="1">
      <c r="L207" s="58">
        <f t="shared" si="43"/>
        <v>46439</v>
      </c>
      <c r="M207" s="59">
        <f t="shared" si="41"/>
        <v>0</v>
      </c>
      <c r="N207" s="59">
        <f t="shared" si="44"/>
        <v>100000</v>
      </c>
      <c r="O207" s="59">
        <f t="shared" si="42"/>
        <v>13.698630136986301</v>
      </c>
      <c r="P207" s="59">
        <f t="shared" si="45"/>
        <v>8.2191780821917817</v>
      </c>
    </row>
    <row r="208" spans="12:16" ht="15" hidden="1" customHeight="1">
      <c r="L208" s="58">
        <f t="shared" si="43"/>
        <v>46440</v>
      </c>
      <c r="M208" s="59">
        <f t="shared" si="41"/>
        <v>0</v>
      </c>
      <c r="N208" s="59">
        <f t="shared" si="44"/>
        <v>100000</v>
      </c>
      <c r="O208" s="59">
        <f t="shared" si="42"/>
        <v>13.698630136986301</v>
      </c>
      <c r="P208" s="59">
        <f t="shared" si="45"/>
        <v>8.2191780821917817</v>
      </c>
    </row>
    <row r="209" spans="12:16" ht="15" hidden="1" customHeight="1">
      <c r="L209" s="58">
        <f t="shared" si="43"/>
        <v>46441</v>
      </c>
      <c r="M209" s="59">
        <f t="shared" si="41"/>
        <v>0</v>
      </c>
      <c r="N209" s="59">
        <f t="shared" si="44"/>
        <v>100000</v>
      </c>
      <c r="O209" s="59">
        <f t="shared" si="42"/>
        <v>13.698630136986301</v>
      </c>
      <c r="P209" s="59">
        <f t="shared" si="45"/>
        <v>8.2191780821917817</v>
      </c>
    </row>
    <row r="210" spans="12:16" ht="15" hidden="1" customHeight="1">
      <c r="L210" s="58">
        <f t="shared" si="43"/>
        <v>46442</v>
      </c>
      <c r="M210" s="59">
        <f t="shared" si="41"/>
        <v>0</v>
      </c>
      <c r="N210" s="59">
        <f t="shared" si="44"/>
        <v>100000</v>
      </c>
      <c r="O210" s="59">
        <f t="shared" si="42"/>
        <v>13.698630136986301</v>
      </c>
      <c r="P210" s="59">
        <f t="shared" si="45"/>
        <v>8.2191780821917817</v>
      </c>
    </row>
    <row r="211" spans="12:16" ht="15" hidden="1" customHeight="1">
      <c r="L211" s="58">
        <f t="shared" si="43"/>
        <v>46443</v>
      </c>
      <c r="M211" s="59">
        <f t="shared" ref="M211:M274" si="46">IFERROR(VLOOKUP(L211,$B$19:$E$80,4,FALSE),0)</f>
        <v>0</v>
      </c>
      <c r="N211" s="59">
        <f t="shared" si="44"/>
        <v>100000</v>
      </c>
      <c r="O211" s="59">
        <f t="shared" ref="O211:O274" si="47">IFERROR(IF(ISNUMBER(N210),N210,$E$8)*IF(L211&gt;=$J$8,$E$12,$E$12)/IF(MOD(YEAR(L211),4),365,366)*IF(ISBLANK(L210),L211-$F$5,L211-L210),0)</f>
        <v>13.698630136986301</v>
      </c>
      <c r="P211" s="59">
        <f t="shared" si="45"/>
        <v>8.2191780821917817</v>
      </c>
    </row>
    <row r="212" spans="12:16" ht="15" hidden="1" customHeight="1">
      <c r="L212" s="58">
        <f t="shared" si="43"/>
        <v>46444</v>
      </c>
      <c r="M212" s="59">
        <f t="shared" si="46"/>
        <v>0</v>
      </c>
      <c r="N212" s="59">
        <f t="shared" si="44"/>
        <v>100000</v>
      </c>
      <c r="O212" s="59">
        <f t="shared" si="47"/>
        <v>13.698630136986301</v>
      </c>
      <c r="P212" s="59">
        <f t="shared" si="45"/>
        <v>8.2191780821917817</v>
      </c>
    </row>
    <row r="213" spans="12:16" ht="15" hidden="1" customHeight="1">
      <c r="L213" s="58">
        <f t="shared" si="43"/>
        <v>46445</v>
      </c>
      <c r="M213" s="59">
        <f t="shared" si="46"/>
        <v>0</v>
      </c>
      <c r="N213" s="59">
        <f t="shared" si="44"/>
        <v>100000</v>
      </c>
      <c r="O213" s="59">
        <f t="shared" si="47"/>
        <v>13.698630136986301</v>
      </c>
      <c r="P213" s="59">
        <f t="shared" si="45"/>
        <v>8.2191780821917817</v>
      </c>
    </row>
    <row r="214" spans="12:16" ht="15" hidden="1" customHeight="1">
      <c r="L214" s="58">
        <f t="shared" si="43"/>
        <v>46446</v>
      </c>
      <c r="M214" s="59">
        <f t="shared" si="46"/>
        <v>0</v>
      </c>
      <c r="N214" s="59">
        <f t="shared" si="44"/>
        <v>100000</v>
      </c>
      <c r="O214" s="59">
        <f t="shared" si="47"/>
        <v>13.698630136986301</v>
      </c>
      <c r="P214" s="59">
        <f t="shared" si="45"/>
        <v>8.2191780821917817</v>
      </c>
    </row>
    <row r="215" spans="12:16" ht="15" hidden="1" customHeight="1">
      <c r="L215" s="58">
        <f t="shared" si="43"/>
        <v>46447</v>
      </c>
      <c r="M215" s="59">
        <f t="shared" si="46"/>
        <v>0</v>
      </c>
      <c r="N215" s="59">
        <f t="shared" si="44"/>
        <v>100000</v>
      </c>
      <c r="O215" s="59">
        <f t="shared" si="47"/>
        <v>13.698630136986301</v>
      </c>
      <c r="P215" s="59">
        <f t="shared" si="45"/>
        <v>8.2191780821917817</v>
      </c>
    </row>
    <row r="216" spans="12:16" ht="15" hidden="1" customHeight="1">
      <c r="L216" s="58">
        <f t="shared" si="43"/>
        <v>46448</v>
      </c>
      <c r="M216" s="59">
        <f t="shared" si="46"/>
        <v>0</v>
      </c>
      <c r="N216" s="59">
        <f t="shared" si="44"/>
        <v>100000</v>
      </c>
      <c r="O216" s="59">
        <f t="shared" si="47"/>
        <v>13.698630136986301</v>
      </c>
      <c r="P216" s="59">
        <f t="shared" si="45"/>
        <v>8.2191780821917817</v>
      </c>
    </row>
    <row r="217" spans="12:16" ht="15" hidden="1" customHeight="1">
      <c r="L217" s="58">
        <f t="shared" si="43"/>
        <v>46449</v>
      </c>
      <c r="M217" s="59">
        <f t="shared" si="46"/>
        <v>0</v>
      </c>
      <c r="N217" s="59">
        <f t="shared" si="44"/>
        <v>100000</v>
      </c>
      <c r="O217" s="59">
        <f t="shared" si="47"/>
        <v>13.698630136986301</v>
      </c>
      <c r="P217" s="59">
        <f t="shared" si="45"/>
        <v>8.2191780821917817</v>
      </c>
    </row>
    <row r="218" spans="12:16" ht="15" hidden="1" customHeight="1">
      <c r="L218" s="58">
        <f t="shared" si="43"/>
        <v>46450</v>
      </c>
      <c r="M218" s="59">
        <f t="shared" si="46"/>
        <v>0</v>
      </c>
      <c r="N218" s="59">
        <f t="shared" si="44"/>
        <v>100000</v>
      </c>
      <c r="O218" s="59">
        <f t="shared" si="47"/>
        <v>13.698630136986301</v>
      </c>
      <c r="P218" s="59">
        <f t="shared" si="45"/>
        <v>8.2191780821917817</v>
      </c>
    </row>
    <row r="219" spans="12:16" ht="15" hidden="1" customHeight="1">
      <c r="L219" s="58">
        <f t="shared" si="43"/>
        <v>46451</v>
      </c>
      <c r="M219" s="59">
        <f t="shared" si="46"/>
        <v>0</v>
      </c>
      <c r="N219" s="59">
        <f t="shared" si="44"/>
        <v>100000</v>
      </c>
      <c r="O219" s="59">
        <f t="shared" si="47"/>
        <v>13.698630136986301</v>
      </c>
      <c r="P219" s="59">
        <f t="shared" si="45"/>
        <v>8.2191780821917817</v>
      </c>
    </row>
    <row r="220" spans="12:16" ht="15" hidden="1" customHeight="1">
      <c r="L220" s="58">
        <f t="shared" si="43"/>
        <v>46452</v>
      </c>
      <c r="M220" s="59">
        <f t="shared" si="46"/>
        <v>0</v>
      </c>
      <c r="N220" s="59">
        <f t="shared" si="44"/>
        <v>100000</v>
      </c>
      <c r="O220" s="59">
        <f t="shared" si="47"/>
        <v>13.698630136986301</v>
      </c>
      <c r="P220" s="59">
        <f t="shared" si="45"/>
        <v>8.2191780821917817</v>
      </c>
    </row>
    <row r="221" spans="12:16" ht="15" hidden="1" customHeight="1">
      <c r="L221" s="58">
        <f t="shared" si="43"/>
        <v>46453</v>
      </c>
      <c r="M221" s="59">
        <f t="shared" si="46"/>
        <v>0</v>
      </c>
      <c r="N221" s="59">
        <f t="shared" si="44"/>
        <v>100000</v>
      </c>
      <c r="O221" s="59">
        <f t="shared" si="47"/>
        <v>13.698630136986301</v>
      </c>
      <c r="P221" s="59">
        <f t="shared" si="45"/>
        <v>8.2191780821917817</v>
      </c>
    </row>
    <row r="222" spans="12:16" ht="15" hidden="1" customHeight="1">
      <c r="L222" s="58">
        <f t="shared" si="43"/>
        <v>46454</v>
      </c>
      <c r="M222" s="59">
        <f t="shared" si="46"/>
        <v>0</v>
      </c>
      <c r="N222" s="59">
        <f t="shared" si="44"/>
        <v>100000</v>
      </c>
      <c r="O222" s="59">
        <f t="shared" si="47"/>
        <v>13.698630136986301</v>
      </c>
      <c r="P222" s="59">
        <f t="shared" si="45"/>
        <v>8.2191780821917817</v>
      </c>
    </row>
    <row r="223" spans="12:16" ht="15" hidden="1" customHeight="1">
      <c r="L223" s="58">
        <f t="shared" si="43"/>
        <v>46455</v>
      </c>
      <c r="M223" s="59">
        <f t="shared" si="46"/>
        <v>0</v>
      </c>
      <c r="N223" s="59">
        <f t="shared" si="44"/>
        <v>100000</v>
      </c>
      <c r="O223" s="59">
        <f t="shared" si="47"/>
        <v>13.698630136986301</v>
      </c>
      <c r="P223" s="59">
        <f t="shared" si="45"/>
        <v>8.2191780821917817</v>
      </c>
    </row>
    <row r="224" spans="12:16" ht="15" hidden="1" customHeight="1">
      <c r="L224" s="58">
        <f t="shared" si="43"/>
        <v>46456</v>
      </c>
      <c r="M224" s="59">
        <f t="shared" si="46"/>
        <v>0</v>
      </c>
      <c r="N224" s="59">
        <f t="shared" si="44"/>
        <v>100000</v>
      </c>
      <c r="O224" s="59">
        <f t="shared" si="47"/>
        <v>13.698630136986301</v>
      </c>
      <c r="P224" s="59">
        <f t="shared" si="45"/>
        <v>8.2191780821917817</v>
      </c>
    </row>
    <row r="225" spans="12:16" ht="15" hidden="1" customHeight="1">
      <c r="L225" s="58">
        <f t="shared" si="43"/>
        <v>46457</v>
      </c>
      <c r="M225" s="59">
        <f t="shared" si="46"/>
        <v>0</v>
      </c>
      <c r="N225" s="59">
        <f t="shared" si="44"/>
        <v>100000</v>
      </c>
      <c r="O225" s="59">
        <f t="shared" si="47"/>
        <v>13.698630136986301</v>
      </c>
      <c r="P225" s="59">
        <f t="shared" si="45"/>
        <v>8.2191780821917817</v>
      </c>
    </row>
    <row r="226" spans="12:16" ht="15" hidden="1" customHeight="1">
      <c r="L226" s="58">
        <f t="shared" ref="L226:L289" si="48">IFERROR(IF(MAX(L225+1,$F$5+1)&gt;Дата_погашения_Займа,"-",MAX(L225+1,$F$5+1)),"-")</f>
        <v>46458</v>
      </c>
      <c r="M226" s="59">
        <f t="shared" si="46"/>
        <v>0</v>
      </c>
      <c r="N226" s="59">
        <f t="shared" si="44"/>
        <v>100000</v>
      </c>
      <c r="O226" s="59">
        <f t="shared" si="47"/>
        <v>13.698630136986301</v>
      </c>
      <c r="P226" s="59">
        <f t="shared" si="45"/>
        <v>8.2191780821917817</v>
      </c>
    </row>
    <row r="227" spans="12:16" ht="15" hidden="1" customHeight="1">
      <c r="L227" s="58">
        <f t="shared" si="48"/>
        <v>46459</v>
      </c>
      <c r="M227" s="59">
        <f t="shared" si="46"/>
        <v>0</v>
      </c>
      <c r="N227" s="59">
        <f t="shared" si="44"/>
        <v>100000</v>
      </c>
      <c r="O227" s="59">
        <f t="shared" si="47"/>
        <v>13.698630136986301</v>
      </c>
      <c r="P227" s="59">
        <f t="shared" si="45"/>
        <v>8.2191780821917817</v>
      </c>
    </row>
    <row r="228" spans="12:16" ht="15" hidden="1" customHeight="1">
      <c r="L228" s="58">
        <f t="shared" si="48"/>
        <v>46460</v>
      </c>
      <c r="M228" s="59">
        <f t="shared" si="46"/>
        <v>0</v>
      </c>
      <c r="N228" s="59">
        <f t="shared" si="44"/>
        <v>100000</v>
      </c>
      <c r="O228" s="59">
        <f t="shared" si="47"/>
        <v>13.698630136986301</v>
      </c>
      <c r="P228" s="59">
        <f t="shared" si="45"/>
        <v>8.2191780821917817</v>
      </c>
    </row>
    <row r="229" spans="12:16" ht="15" hidden="1" customHeight="1">
      <c r="L229" s="58">
        <f t="shared" si="48"/>
        <v>46461</v>
      </c>
      <c r="M229" s="59">
        <f t="shared" si="46"/>
        <v>0</v>
      </c>
      <c r="N229" s="59">
        <f t="shared" si="44"/>
        <v>100000</v>
      </c>
      <c r="O229" s="59">
        <f t="shared" si="47"/>
        <v>13.698630136986301</v>
      </c>
      <c r="P229" s="59">
        <f t="shared" si="45"/>
        <v>8.2191780821917817</v>
      </c>
    </row>
    <row r="230" spans="12:16" ht="15" hidden="1" customHeight="1">
      <c r="L230" s="58">
        <f t="shared" si="48"/>
        <v>46462</v>
      </c>
      <c r="M230" s="59">
        <f t="shared" si="46"/>
        <v>0</v>
      </c>
      <c r="N230" s="59">
        <f t="shared" si="44"/>
        <v>100000</v>
      </c>
      <c r="O230" s="59">
        <f t="shared" si="47"/>
        <v>13.698630136986301</v>
      </c>
      <c r="P230" s="59">
        <f t="shared" si="45"/>
        <v>8.2191780821917817</v>
      </c>
    </row>
    <row r="231" spans="12:16" ht="15" hidden="1" customHeight="1">
      <c r="L231" s="58">
        <f t="shared" si="48"/>
        <v>46463</v>
      </c>
      <c r="M231" s="59">
        <f t="shared" si="46"/>
        <v>0</v>
      </c>
      <c r="N231" s="59">
        <f t="shared" si="44"/>
        <v>100000</v>
      </c>
      <c r="O231" s="59">
        <f t="shared" si="47"/>
        <v>13.698630136986301</v>
      </c>
      <c r="P231" s="59">
        <f t="shared" si="45"/>
        <v>8.2191780821917817</v>
      </c>
    </row>
    <row r="232" spans="12:16" ht="15" hidden="1" customHeight="1">
      <c r="L232" s="58">
        <f t="shared" si="48"/>
        <v>46464</v>
      </c>
      <c r="M232" s="59">
        <f t="shared" si="46"/>
        <v>0</v>
      </c>
      <c r="N232" s="59">
        <f t="shared" si="44"/>
        <v>100000</v>
      </c>
      <c r="O232" s="59">
        <f t="shared" si="47"/>
        <v>13.698630136986301</v>
      </c>
      <c r="P232" s="59">
        <f t="shared" si="45"/>
        <v>8.2191780821917817</v>
      </c>
    </row>
    <row r="233" spans="12:16" ht="15" hidden="1" customHeight="1">
      <c r="L233" s="58">
        <f t="shared" si="48"/>
        <v>46465</v>
      </c>
      <c r="M233" s="59">
        <f t="shared" si="46"/>
        <v>0</v>
      </c>
      <c r="N233" s="59">
        <f t="shared" si="44"/>
        <v>100000</v>
      </c>
      <c r="O233" s="59">
        <f t="shared" si="47"/>
        <v>13.698630136986301</v>
      </c>
      <c r="P233" s="59">
        <f t="shared" si="45"/>
        <v>8.2191780821917817</v>
      </c>
    </row>
    <row r="234" spans="12:16" ht="15" hidden="1" customHeight="1">
      <c r="L234" s="58">
        <f t="shared" si="48"/>
        <v>46466</v>
      </c>
      <c r="M234" s="59">
        <f t="shared" si="46"/>
        <v>0</v>
      </c>
      <c r="N234" s="59">
        <f t="shared" si="44"/>
        <v>100000</v>
      </c>
      <c r="O234" s="59">
        <f t="shared" si="47"/>
        <v>13.698630136986301</v>
      </c>
      <c r="P234" s="59">
        <f t="shared" si="45"/>
        <v>8.2191780821917817</v>
      </c>
    </row>
    <row r="235" spans="12:16" ht="15" hidden="1" customHeight="1">
      <c r="L235" s="58">
        <f t="shared" si="48"/>
        <v>46467</v>
      </c>
      <c r="M235" s="59">
        <f t="shared" si="46"/>
        <v>0</v>
      </c>
      <c r="N235" s="59">
        <f t="shared" si="44"/>
        <v>100000</v>
      </c>
      <c r="O235" s="59">
        <f t="shared" si="47"/>
        <v>13.698630136986301</v>
      </c>
      <c r="P235" s="59">
        <f t="shared" si="45"/>
        <v>8.2191780821917817</v>
      </c>
    </row>
    <row r="236" spans="12:16" ht="15" hidden="1" customHeight="1">
      <c r="L236" s="58">
        <f t="shared" si="48"/>
        <v>46468</v>
      </c>
      <c r="M236" s="59">
        <f t="shared" si="46"/>
        <v>0</v>
      </c>
      <c r="N236" s="59">
        <f t="shared" si="44"/>
        <v>100000</v>
      </c>
      <c r="O236" s="59">
        <f t="shared" si="47"/>
        <v>13.698630136986301</v>
      </c>
      <c r="P236" s="59">
        <f t="shared" si="45"/>
        <v>8.2191780821917817</v>
      </c>
    </row>
    <row r="237" spans="12:16" ht="15" hidden="1" customHeight="1">
      <c r="L237" s="58">
        <f t="shared" si="48"/>
        <v>46469</v>
      </c>
      <c r="M237" s="59">
        <f t="shared" si="46"/>
        <v>0</v>
      </c>
      <c r="N237" s="59">
        <f t="shared" si="44"/>
        <v>100000</v>
      </c>
      <c r="O237" s="59">
        <f t="shared" si="47"/>
        <v>13.698630136986301</v>
      </c>
      <c r="P237" s="59">
        <f t="shared" si="45"/>
        <v>8.2191780821917817</v>
      </c>
    </row>
    <row r="238" spans="12:16" ht="15" hidden="1" customHeight="1">
      <c r="L238" s="58">
        <f t="shared" si="48"/>
        <v>46470</v>
      </c>
      <c r="M238" s="59">
        <f t="shared" si="46"/>
        <v>0</v>
      </c>
      <c r="N238" s="59">
        <f t="shared" si="44"/>
        <v>100000</v>
      </c>
      <c r="O238" s="59">
        <f t="shared" si="47"/>
        <v>13.698630136986301</v>
      </c>
      <c r="P238" s="59">
        <f t="shared" si="45"/>
        <v>8.2191780821917817</v>
      </c>
    </row>
    <row r="239" spans="12:16" ht="15" hidden="1" customHeight="1">
      <c r="L239" s="58">
        <f t="shared" si="48"/>
        <v>46471</v>
      </c>
      <c r="M239" s="59">
        <f t="shared" si="46"/>
        <v>0</v>
      </c>
      <c r="N239" s="59">
        <f t="shared" si="44"/>
        <v>100000</v>
      </c>
      <c r="O239" s="59">
        <f t="shared" si="47"/>
        <v>13.698630136986301</v>
      </c>
      <c r="P239" s="59">
        <f t="shared" si="45"/>
        <v>8.2191780821917817</v>
      </c>
    </row>
    <row r="240" spans="12:16" ht="15" hidden="1" customHeight="1">
      <c r="L240" s="58">
        <f t="shared" si="48"/>
        <v>46472</v>
      </c>
      <c r="M240" s="59">
        <f t="shared" si="46"/>
        <v>0</v>
      </c>
      <c r="N240" s="59">
        <f t="shared" ref="N240:N303" si="49">IF(ISNUMBER(N239),N239-M240,$E$8)</f>
        <v>100000</v>
      </c>
      <c r="O240" s="59">
        <f t="shared" si="47"/>
        <v>13.698630136986301</v>
      </c>
      <c r="P240" s="59">
        <f t="shared" ref="P240:P303" si="50">IFERROR(IF(ISNUMBER(N239),N239,$E$8)*3%/IF(MOD(YEAR(L240),4),365,366)*IF(ISBLANK(L239),(L240-$F$5),L240-L239),0)</f>
        <v>8.2191780821917817</v>
      </c>
    </row>
    <row r="241" spans="12:16" ht="15" hidden="1" customHeight="1">
      <c r="L241" s="58">
        <f t="shared" si="48"/>
        <v>46473</v>
      </c>
      <c r="M241" s="59">
        <f t="shared" si="46"/>
        <v>0</v>
      </c>
      <c r="N241" s="59">
        <f t="shared" si="49"/>
        <v>100000</v>
      </c>
      <c r="O241" s="59">
        <f t="shared" si="47"/>
        <v>13.698630136986301</v>
      </c>
      <c r="P241" s="59">
        <f t="shared" si="50"/>
        <v>8.2191780821917817</v>
      </c>
    </row>
    <row r="242" spans="12:16" ht="15" hidden="1" customHeight="1">
      <c r="L242" s="58">
        <f t="shared" si="48"/>
        <v>46474</v>
      </c>
      <c r="M242" s="59">
        <f t="shared" si="46"/>
        <v>0</v>
      </c>
      <c r="N242" s="59">
        <f t="shared" si="49"/>
        <v>100000</v>
      </c>
      <c r="O242" s="59">
        <f t="shared" si="47"/>
        <v>13.698630136986301</v>
      </c>
      <c r="P242" s="59">
        <f t="shared" si="50"/>
        <v>8.2191780821917817</v>
      </c>
    </row>
    <row r="243" spans="12:16" ht="15" hidden="1" customHeight="1">
      <c r="L243" s="58">
        <f t="shared" si="48"/>
        <v>46475</v>
      </c>
      <c r="M243" s="59">
        <f t="shared" si="46"/>
        <v>0</v>
      </c>
      <c r="N243" s="59">
        <f t="shared" si="49"/>
        <v>100000</v>
      </c>
      <c r="O243" s="59">
        <f t="shared" si="47"/>
        <v>13.698630136986301</v>
      </c>
      <c r="P243" s="59">
        <f t="shared" si="50"/>
        <v>8.2191780821917817</v>
      </c>
    </row>
    <row r="244" spans="12:16" ht="15" hidden="1" customHeight="1">
      <c r="L244" s="58">
        <f t="shared" si="48"/>
        <v>46476</v>
      </c>
      <c r="M244" s="59">
        <f t="shared" si="46"/>
        <v>0</v>
      </c>
      <c r="N244" s="59">
        <f t="shared" si="49"/>
        <v>100000</v>
      </c>
      <c r="O244" s="59">
        <f t="shared" si="47"/>
        <v>13.698630136986301</v>
      </c>
      <c r="P244" s="59">
        <f t="shared" si="50"/>
        <v>8.2191780821917817</v>
      </c>
    </row>
    <row r="245" spans="12:16" ht="15" hidden="1" customHeight="1">
      <c r="L245" s="58">
        <f t="shared" si="48"/>
        <v>46477</v>
      </c>
      <c r="M245" s="59">
        <f t="shared" si="46"/>
        <v>0</v>
      </c>
      <c r="N245" s="59">
        <f t="shared" si="49"/>
        <v>100000</v>
      </c>
      <c r="O245" s="59">
        <f t="shared" si="47"/>
        <v>13.698630136986301</v>
      </c>
      <c r="P245" s="59">
        <f t="shared" si="50"/>
        <v>8.2191780821917817</v>
      </c>
    </row>
    <row r="246" spans="12:16" ht="15" hidden="1" customHeight="1">
      <c r="L246" s="58">
        <f t="shared" si="48"/>
        <v>46478</v>
      </c>
      <c r="M246" s="59">
        <f t="shared" si="46"/>
        <v>0</v>
      </c>
      <c r="N246" s="59">
        <f t="shared" si="49"/>
        <v>100000</v>
      </c>
      <c r="O246" s="59">
        <f t="shared" si="47"/>
        <v>13.698630136986301</v>
      </c>
      <c r="P246" s="59">
        <f t="shared" si="50"/>
        <v>8.2191780821917817</v>
      </c>
    </row>
    <row r="247" spans="12:16" ht="15" hidden="1" customHeight="1">
      <c r="L247" s="58">
        <f t="shared" si="48"/>
        <v>46479</v>
      </c>
      <c r="M247" s="59">
        <f t="shared" si="46"/>
        <v>0</v>
      </c>
      <c r="N247" s="59">
        <f t="shared" si="49"/>
        <v>100000</v>
      </c>
      <c r="O247" s="59">
        <f t="shared" si="47"/>
        <v>13.698630136986301</v>
      </c>
      <c r="P247" s="59">
        <f t="shared" si="50"/>
        <v>8.2191780821917817</v>
      </c>
    </row>
    <row r="248" spans="12:16" ht="15" hidden="1" customHeight="1">
      <c r="L248" s="58">
        <f t="shared" si="48"/>
        <v>46480</v>
      </c>
      <c r="M248" s="59">
        <f t="shared" si="46"/>
        <v>0</v>
      </c>
      <c r="N248" s="59">
        <f t="shared" si="49"/>
        <v>100000</v>
      </c>
      <c r="O248" s="59">
        <f t="shared" si="47"/>
        <v>13.698630136986301</v>
      </c>
      <c r="P248" s="59">
        <f t="shared" si="50"/>
        <v>8.2191780821917817</v>
      </c>
    </row>
    <row r="249" spans="12:16" ht="15" hidden="1" customHeight="1">
      <c r="L249" s="58">
        <f t="shared" si="48"/>
        <v>46481</v>
      </c>
      <c r="M249" s="59">
        <f t="shared" si="46"/>
        <v>0</v>
      </c>
      <c r="N249" s="59">
        <f t="shared" si="49"/>
        <v>100000</v>
      </c>
      <c r="O249" s="59">
        <f t="shared" si="47"/>
        <v>13.698630136986301</v>
      </c>
      <c r="P249" s="59">
        <f t="shared" si="50"/>
        <v>8.2191780821917817</v>
      </c>
    </row>
    <row r="250" spans="12:16" ht="15" hidden="1" customHeight="1">
      <c r="L250" s="58">
        <f t="shared" si="48"/>
        <v>46482</v>
      </c>
      <c r="M250" s="59">
        <f t="shared" si="46"/>
        <v>0</v>
      </c>
      <c r="N250" s="59">
        <f t="shared" si="49"/>
        <v>100000</v>
      </c>
      <c r="O250" s="59">
        <f t="shared" si="47"/>
        <v>13.698630136986301</v>
      </c>
      <c r="P250" s="59">
        <f t="shared" si="50"/>
        <v>8.2191780821917817</v>
      </c>
    </row>
    <row r="251" spans="12:16" ht="15" hidden="1" customHeight="1">
      <c r="L251" s="58">
        <f t="shared" si="48"/>
        <v>46483</v>
      </c>
      <c r="M251" s="59">
        <f t="shared" si="46"/>
        <v>0</v>
      </c>
      <c r="N251" s="59">
        <f t="shared" si="49"/>
        <v>100000</v>
      </c>
      <c r="O251" s="59">
        <f t="shared" si="47"/>
        <v>13.698630136986301</v>
      </c>
      <c r="P251" s="59">
        <f t="shared" si="50"/>
        <v>8.2191780821917817</v>
      </c>
    </row>
    <row r="252" spans="12:16" ht="15" hidden="1" customHeight="1">
      <c r="L252" s="58">
        <f t="shared" si="48"/>
        <v>46484</v>
      </c>
      <c r="M252" s="59">
        <f t="shared" si="46"/>
        <v>0</v>
      </c>
      <c r="N252" s="59">
        <f t="shared" si="49"/>
        <v>100000</v>
      </c>
      <c r="O252" s="59">
        <f t="shared" si="47"/>
        <v>13.698630136986301</v>
      </c>
      <c r="P252" s="59">
        <f t="shared" si="50"/>
        <v>8.2191780821917817</v>
      </c>
    </row>
    <row r="253" spans="12:16" ht="15" hidden="1" customHeight="1">
      <c r="L253" s="58">
        <f t="shared" si="48"/>
        <v>46485</v>
      </c>
      <c r="M253" s="59">
        <f t="shared" si="46"/>
        <v>0</v>
      </c>
      <c r="N253" s="59">
        <f t="shared" si="49"/>
        <v>100000</v>
      </c>
      <c r="O253" s="59">
        <f t="shared" si="47"/>
        <v>13.698630136986301</v>
      </c>
      <c r="P253" s="59">
        <f t="shared" si="50"/>
        <v>8.2191780821917817</v>
      </c>
    </row>
    <row r="254" spans="12:16" ht="15" hidden="1" customHeight="1">
      <c r="L254" s="58">
        <f t="shared" si="48"/>
        <v>46486</v>
      </c>
      <c r="M254" s="59">
        <f t="shared" si="46"/>
        <v>0</v>
      </c>
      <c r="N254" s="59">
        <f t="shared" si="49"/>
        <v>100000</v>
      </c>
      <c r="O254" s="59">
        <f t="shared" si="47"/>
        <v>13.698630136986301</v>
      </c>
      <c r="P254" s="59">
        <f t="shared" si="50"/>
        <v>8.2191780821917817</v>
      </c>
    </row>
    <row r="255" spans="12:16" ht="15" hidden="1" customHeight="1">
      <c r="L255" s="58">
        <f t="shared" si="48"/>
        <v>46487</v>
      </c>
      <c r="M255" s="59">
        <f t="shared" si="46"/>
        <v>0</v>
      </c>
      <c r="N255" s="59">
        <f t="shared" si="49"/>
        <v>100000</v>
      </c>
      <c r="O255" s="59">
        <f t="shared" si="47"/>
        <v>13.698630136986301</v>
      </c>
      <c r="P255" s="59">
        <f t="shared" si="50"/>
        <v>8.2191780821917817</v>
      </c>
    </row>
    <row r="256" spans="12:16" ht="15" hidden="1" customHeight="1">
      <c r="L256" s="58">
        <f t="shared" si="48"/>
        <v>46488</v>
      </c>
      <c r="M256" s="59">
        <f t="shared" si="46"/>
        <v>0</v>
      </c>
      <c r="N256" s="59">
        <f t="shared" si="49"/>
        <v>100000</v>
      </c>
      <c r="O256" s="59">
        <f t="shared" si="47"/>
        <v>13.698630136986301</v>
      </c>
      <c r="P256" s="59">
        <f t="shared" si="50"/>
        <v>8.2191780821917817</v>
      </c>
    </row>
    <row r="257" spans="12:16" ht="15" hidden="1" customHeight="1">
      <c r="L257" s="58">
        <f t="shared" si="48"/>
        <v>46489</v>
      </c>
      <c r="M257" s="59">
        <f t="shared" si="46"/>
        <v>0</v>
      </c>
      <c r="N257" s="59">
        <f t="shared" si="49"/>
        <v>100000</v>
      </c>
      <c r="O257" s="59">
        <f t="shared" si="47"/>
        <v>13.698630136986301</v>
      </c>
      <c r="P257" s="59">
        <f t="shared" si="50"/>
        <v>8.2191780821917817</v>
      </c>
    </row>
    <row r="258" spans="12:16" ht="15" hidden="1" customHeight="1">
      <c r="L258" s="58">
        <f t="shared" si="48"/>
        <v>46490</v>
      </c>
      <c r="M258" s="59">
        <f t="shared" si="46"/>
        <v>0</v>
      </c>
      <c r="N258" s="59">
        <f t="shared" si="49"/>
        <v>100000</v>
      </c>
      <c r="O258" s="59">
        <f t="shared" si="47"/>
        <v>13.698630136986301</v>
      </c>
      <c r="P258" s="59">
        <f t="shared" si="50"/>
        <v>8.2191780821917817</v>
      </c>
    </row>
    <row r="259" spans="12:16" ht="15" hidden="1" customHeight="1">
      <c r="L259" s="58">
        <f t="shared" si="48"/>
        <v>46491</v>
      </c>
      <c r="M259" s="59">
        <f t="shared" si="46"/>
        <v>0</v>
      </c>
      <c r="N259" s="59">
        <f t="shared" si="49"/>
        <v>100000</v>
      </c>
      <c r="O259" s="59">
        <f t="shared" si="47"/>
        <v>13.698630136986301</v>
      </c>
      <c r="P259" s="59">
        <f t="shared" si="50"/>
        <v>8.2191780821917817</v>
      </c>
    </row>
    <row r="260" spans="12:16" ht="15" hidden="1" customHeight="1">
      <c r="L260" s="58">
        <f t="shared" si="48"/>
        <v>46492</v>
      </c>
      <c r="M260" s="59">
        <f t="shared" si="46"/>
        <v>0</v>
      </c>
      <c r="N260" s="59">
        <f t="shared" si="49"/>
        <v>100000</v>
      </c>
      <c r="O260" s="59">
        <f t="shared" si="47"/>
        <v>13.698630136986301</v>
      </c>
      <c r="P260" s="59">
        <f t="shared" si="50"/>
        <v>8.2191780821917817</v>
      </c>
    </row>
    <row r="261" spans="12:16" ht="15" hidden="1" customHeight="1">
      <c r="L261" s="58">
        <f t="shared" si="48"/>
        <v>46493</v>
      </c>
      <c r="M261" s="59">
        <f t="shared" si="46"/>
        <v>0</v>
      </c>
      <c r="N261" s="59">
        <f t="shared" si="49"/>
        <v>100000</v>
      </c>
      <c r="O261" s="59">
        <f t="shared" si="47"/>
        <v>13.698630136986301</v>
      </c>
      <c r="P261" s="59">
        <f t="shared" si="50"/>
        <v>8.2191780821917817</v>
      </c>
    </row>
    <row r="262" spans="12:16" ht="15" hidden="1" customHeight="1">
      <c r="L262" s="58">
        <f t="shared" si="48"/>
        <v>46494</v>
      </c>
      <c r="M262" s="59">
        <f t="shared" si="46"/>
        <v>0</v>
      </c>
      <c r="N262" s="59">
        <f t="shared" si="49"/>
        <v>100000</v>
      </c>
      <c r="O262" s="59">
        <f t="shared" si="47"/>
        <v>13.698630136986301</v>
      </c>
      <c r="P262" s="59">
        <f t="shared" si="50"/>
        <v>8.2191780821917817</v>
      </c>
    </row>
    <row r="263" spans="12:16" ht="15" hidden="1" customHeight="1">
      <c r="L263" s="58">
        <f t="shared" si="48"/>
        <v>46495</v>
      </c>
      <c r="M263" s="59">
        <f t="shared" si="46"/>
        <v>0</v>
      </c>
      <c r="N263" s="59">
        <f t="shared" si="49"/>
        <v>100000</v>
      </c>
      <c r="O263" s="59">
        <f t="shared" si="47"/>
        <v>13.698630136986301</v>
      </c>
      <c r="P263" s="59">
        <f t="shared" si="50"/>
        <v>8.2191780821917817</v>
      </c>
    </row>
    <row r="264" spans="12:16" ht="15" hidden="1" customHeight="1">
      <c r="L264" s="58">
        <f t="shared" si="48"/>
        <v>46496</v>
      </c>
      <c r="M264" s="59">
        <f t="shared" si="46"/>
        <v>0</v>
      </c>
      <c r="N264" s="59">
        <f t="shared" si="49"/>
        <v>100000</v>
      </c>
      <c r="O264" s="59">
        <f t="shared" si="47"/>
        <v>13.698630136986301</v>
      </c>
      <c r="P264" s="59">
        <f t="shared" si="50"/>
        <v>8.2191780821917817</v>
      </c>
    </row>
    <row r="265" spans="12:16" ht="15" hidden="1" customHeight="1">
      <c r="L265" s="58">
        <f t="shared" si="48"/>
        <v>46497</v>
      </c>
      <c r="M265" s="59">
        <f t="shared" si="46"/>
        <v>0</v>
      </c>
      <c r="N265" s="59">
        <f t="shared" si="49"/>
        <v>100000</v>
      </c>
      <c r="O265" s="59">
        <f t="shared" si="47"/>
        <v>13.698630136986301</v>
      </c>
      <c r="P265" s="59">
        <f t="shared" si="50"/>
        <v>8.2191780821917817</v>
      </c>
    </row>
    <row r="266" spans="12:16" ht="15" hidden="1" customHeight="1">
      <c r="L266" s="58">
        <f t="shared" si="48"/>
        <v>46498</v>
      </c>
      <c r="M266" s="59">
        <f t="shared" si="46"/>
        <v>0</v>
      </c>
      <c r="N266" s="59">
        <f t="shared" si="49"/>
        <v>100000</v>
      </c>
      <c r="O266" s="59">
        <f t="shared" si="47"/>
        <v>13.698630136986301</v>
      </c>
      <c r="P266" s="59">
        <f t="shared" si="50"/>
        <v>8.2191780821917817</v>
      </c>
    </row>
    <row r="267" spans="12:16" ht="15" hidden="1" customHeight="1">
      <c r="L267" s="58">
        <f t="shared" si="48"/>
        <v>46499</v>
      </c>
      <c r="M267" s="59">
        <f t="shared" si="46"/>
        <v>0</v>
      </c>
      <c r="N267" s="59">
        <f t="shared" si="49"/>
        <v>100000</v>
      </c>
      <c r="O267" s="59">
        <f t="shared" si="47"/>
        <v>13.698630136986301</v>
      </c>
      <c r="P267" s="59">
        <f t="shared" si="50"/>
        <v>8.2191780821917817</v>
      </c>
    </row>
    <row r="268" spans="12:16" ht="15" hidden="1" customHeight="1">
      <c r="L268" s="58">
        <f t="shared" si="48"/>
        <v>46500</v>
      </c>
      <c r="M268" s="59">
        <f t="shared" si="46"/>
        <v>0</v>
      </c>
      <c r="N268" s="59">
        <f t="shared" si="49"/>
        <v>100000</v>
      </c>
      <c r="O268" s="59">
        <f t="shared" si="47"/>
        <v>13.698630136986301</v>
      </c>
      <c r="P268" s="59">
        <f t="shared" si="50"/>
        <v>8.2191780821917817</v>
      </c>
    </row>
    <row r="269" spans="12:16" ht="15" hidden="1" customHeight="1">
      <c r="L269" s="58">
        <f t="shared" si="48"/>
        <v>46501</v>
      </c>
      <c r="M269" s="59">
        <f t="shared" si="46"/>
        <v>0</v>
      </c>
      <c r="N269" s="59">
        <f t="shared" si="49"/>
        <v>100000</v>
      </c>
      <c r="O269" s="59">
        <f t="shared" si="47"/>
        <v>13.698630136986301</v>
      </c>
      <c r="P269" s="59">
        <f t="shared" si="50"/>
        <v>8.2191780821917817</v>
      </c>
    </row>
    <row r="270" spans="12:16" ht="15" hidden="1" customHeight="1">
      <c r="L270" s="58">
        <f t="shared" si="48"/>
        <v>46502</v>
      </c>
      <c r="M270" s="59">
        <f t="shared" si="46"/>
        <v>0</v>
      </c>
      <c r="N270" s="59">
        <f t="shared" si="49"/>
        <v>100000</v>
      </c>
      <c r="O270" s="59">
        <f t="shared" si="47"/>
        <v>13.698630136986301</v>
      </c>
      <c r="P270" s="59">
        <f t="shared" si="50"/>
        <v>8.2191780821917817</v>
      </c>
    </row>
    <row r="271" spans="12:16" ht="15" hidden="1" customHeight="1">
      <c r="L271" s="58">
        <f t="shared" si="48"/>
        <v>46503</v>
      </c>
      <c r="M271" s="59">
        <f t="shared" si="46"/>
        <v>0</v>
      </c>
      <c r="N271" s="59">
        <f t="shared" si="49"/>
        <v>100000</v>
      </c>
      <c r="O271" s="59">
        <f t="shared" si="47"/>
        <v>13.698630136986301</v>
      </c>
      <c r="P271" s="59">
        <f t="shared" si="50"/>
        <v>8.2191780821917817</v>
      </c>
    </row>
    <row r="272" spans="12:16" ht="15" hidden="1" customHeight="1">
      <c r="L272" s="58">
        <f t="shared" si="48"/>
        <v>46504</v>
      </c>
      <c r="M272" s="59">
        <f t="shared" si="46"/>
        <v>0</v>
      </c>
      <c r="N272" s="59">
        <f t="shared" si="49"/>
        <v>100000</v>
      </c>
      <c r="O272" s="59">
        <f t="shared" si="47"/>
        <v>13.698630136986301</v>
      </c>
      <c r="P272" s="59">
        <f t="shared" si="50"/>
        <v>8.2191780821917817</v>
      </c>
    </row>
    <row r="273" spans="12:16" ht="15" hidden="1" customHeight="1">
      <c r="L273" s="58">
        <f t="shared" si="48"/>
        <v>46505</v>
      </c>
      <c r="M273" s="59">
        <f t="shared" si="46"/>
        <v>0</v>
      </c>
      <c r="N273" s="59">
        <f t="shared" si="49"/>
        <v>100000</v>
      </c>
      <c r="O273" s="59">
        <f t="shared" si="47"/>
        <v>13.698630136986301</v>
      </c>
      <c r="P273" s="59">
        <f t="shared" si="50"/>
        <v>8.2191780821917817</v>
      </c>
    </row>
    <row r="274" spans="12:16" ht="15" hidden="1" customHeight="1">
      <c r="L274" s="58">
        <f t="shared" si="48"/>
        <v>46506</v>
      </c>
      <c r="M274" s="59">
        <f t="shared" si="46"/>
        <v>0</v>
      </c>
      <c r="N274" s="59">
        <f t="shared" si="49"/>
        <v>100000</v>
      </c>
      <c r="O274" s="59">
        <f t="shared" si="47"/>
        <v>13.698630136986301</v>
      </c>
      <c r="P274" s="59">
        <f t="shared" si="50"/>
        <v>8.2191780821917817</v>
      </c>
    </row>
    <row r="275" spans="12:16" ht="15" hidden="1" customHeight="1">
      <c r="L275" s="58">
        <f t="shared" si="48"/>
        <v>46507</v>
      </c>
      <c r="M275" s="59">
        <f t="shared" ref="M275:M338" si="51">IFERROR(VLOOKUP(L275,$B$19:$E$80,4,FALSE),0)</f>
        <v>0</v>
      </c>
      <c r="N275" s="59">
        <f t="shared" si="49"/>
        <v>100000</v>
      </c>
      <c r="O275" s="59">
        <f t="shared" ref="O275:O338" si="52">IFERROR(IF(ISNUMBER(N274),N274,$E$8)*IF(L275&gt;=$J$8,$E$12,$E$12)/IF(MOD(YEAR(L275),4),365,366)*IF(ISBLANK(L274),L275-$F$5,L275-L274),0)</f>
        <v>13.698630136986301</v>
      </c>
      <c r="P275" s="59">
        <f t="shared" si="50"/>
        <v>8.2191780821917817</v>
      </c>
    </row>
    <row r="276" spans="12:16" ht="15" hidden="1" customHeight="1">
      <c r="L276" s="58">
        <f t="shared" si="48"/>
        <v>46508</v>
      </c>
      <c r="M276" s="59">
        <f t="shared" si="51"/>
        <v>0</v>
      </c>
      <c r="N276" s="59">
        <f t="shared" si="49"/>
        <v>100000</v>
      </c>
      <c r="O276" s="59">
        <f t="shared" si="52"/>
        <v>13.698630136986301</v>
      </c>
      <c r="P276" s="59">
        <f t="shared" si="50"/>
        <v>8.2191780821917817</v>
      </c>
    </row>
    <row r="277" spans="12:16" ht="15" hidden="1" customHeight="1">
      <c r="L277" s="58">
        <f t="shared" si="48"/>
        <v>46509</v>
      </c>
      <c r="M277" s="59">
        <f t="shared" si="51"/>
        <v>0</v>
      </c>
      <c r="N277" s="59">
        <f t="shared" si="49"/>
        <v>100000</v>
      </c>
      <c r="O277" s="59">
        <f t="shared" si="52"/>
        <v>13.698630136986301</v>
      </c>
      <c r="P277" s="59">
        <f t="shared" si="50"/>
        <v>8.2191780821917817</v>
      </c>
    </row>
    <row r="278" spans="12:16" ht="15" hidden="1" customHeight="1">
      <c r="L278" s="58">
        <f t="shared" si="48"/>
        <v>46510</v>
      </c>
      <c r="M278" s="59">
        <f t="shared" si="51"/>
        <v>0</v>
      </c>
      <c r="N278" s="59">
        <f t="shared" si="49"/>
        <v>100000</v>
      </c>
      <c r="O278" s="59">
        <f t="shared" si="52"/>
        <v>13.698630136986301</v>
      </c>
      <c r="P278" s="59">
        <f t="shared" si="50"/>
        <v>8.2191780821917817</v>
      </c>
    </row>
    <row r="279" spans="12:16" ht="15" hidden="1" customHeight="1">
      <c r="L279" s="58">
        <f t="shared" si="48"/>
        <v>46511</v>
      </c>
      <c r="M279" s="59">
        <f t="shared" si="51"/>
        <v>0</v>
      </c>
      <c r="N279" s="59">
        <f t="shared" si="49"/>
        <v>100000</v>
      </c>
      <c r="O279" s="59">
        <f t="shared" si="52"/>
        <v>13.698630136986301</v>
      </c>
      <c r="P279" s="59">
        <f t="shared" si="50"/>
        <v>8.2191780821917817</v>
      </c>
    </row>
    <row r="280" spans="12:16" ht="15" hidden="1" customHeight="1">
      <c r="L280" s="58">
        <f t="shared" si="48"/>
        <v>46512</v>
      </c>
      <c r="M280" s="59">
        <f t="shared" si="51"/>
        <v>0</v>
      </c>
      <c r="N280" s="59">
        <f t="shared" si="49"/>
        <v>100000</v>
      </c>
      <c r="O280" s="59">
        <f t="shared" si="52"/>
        <v>13.698630136986301</v>
      </c>
      <c r="P280" s="59">
        <f t="shared" si="50"/>
        <v>8.2191780821917817</v>
      </c>
    </row>
    <row r="281" spans="12:16" ht="15" hidden="1" customHeight="1">
      <c r="L281" s="58">
        <f t="shared" si="48"/>
        <v>46513</v>
      </c>
      <c r="M281" s="59">
        <f t="shared" si="51"/>
        <v>0</v>
      </c>
      <c r="N281" s="59">
        <f t="shared" si="49"/>
        <v>100000</v>
      </c>
      <c r="O281" s="59">
        <f t="shared" si="52"/>
        <v>13.698630136986301</v>
      </c>
      <c r="P281" s="59">
        <f t="shared" si="50"/>
        <v>8.2191780821917817</v>
      </c>
    </row>
    <row r="282" spans="12:16" ht="15" hidden="1" customHeight="1">
      <c r="L282" s="58">
        <f t="shared" si="48"/>
        <v>46514</v>
      </c>
      <c r="M282" s="59">
        <f t="shared" si="51"/>
        <v>0</v>
      </c>
      <c r="N282" s="59">
        <f t="shared" si="49"/>
        <v>100000</v>
      </c>
      <c r="O282" s="59">
        <f t="shared" si="52"/>
        <v>13.698630136986301</v>
      </c>
      <c r="P282" s="59">
        <f t="shared" si="50"/>
        <v>8.2191780821917817</v>
      </c>
    </row>
    <row r="283" spans="12:16" ht="15" hidden="1" customHeight="1">
      <c r="L283" s="58">
        <f t="shared" si="48"/>
        <v>46515</v>
      </c>
      <c r="M283" s="59">
        <f t="shared" si="51"/>
        <v>0</v>
      </c>
      <c r="N283" s="59">
        <f t="shared" si="49"/>
        <v>100000</v>
      </c>
      <c r="O283" s="59">
        <f t="shared" si="52"/>
        <v>13.698630136986301</v>
      </c>
      <c r="P283" s="59">
        <f t="shared" si="50"/>
        <v>8.2191780821917817</v>
      </c>
    </row>
    <row r="284" spans="12:16" ht="15" hidden="1" customHeight="1">
      <c r="L284" s="58">
        <f t="shared" si="48"/>
        <v>46516</v>
      </c>
      <c r="M284" s="59">
        <f t="shared" si="51"/>
        <v>0</v>
      </c>
      <c r="N284" s="59">
        <f t="shared" si="49"/>
        <v>100000</v>
      </c>
      <c r="O284" s="59">
        <f t="shared" si="52"/>
        <v>13.698630136986301</v>
      </c>
      <c r="P284" s="59">
        <f t="shared" si="50"/>
        <v>8.2191780821917817</v>
      </c>
    </row>
    <row r="285" spans="12:16" ht="15" hidden="1" customHeight="1">
      <c r="L285" s="58">
        <f t="shared" si="48"/>
        <v>46517</v>
      </c>
      <c r="M285" s="59">
        <f t="shared" si="51"/>
        <v>0</v>
      </c>
      <c r="N285" s="59">
        <f t="shared" si="49"/>
        <v>100000</v>
      </c>
      <c r="O285" s="59">
        <f t="shared" si="52"/>
        <v>13.698630136986301</v>
      </c>
      <c r="P285" s="59">
        <f t="shared" si="50"/>
        <v>8.2191780821917817</v>
      </c>
    </row>
    <row r="286" spans="12:16" ht="15" hidden="1" customHeight="1">
      <c r="L286" s="58">
        <f t="shared" si="48"/>
        <v>46518</v>
      </c>
      <c r="M286" s="59">
        <f t="shared" si="51"/>
        <v>0</v>
      </c>
      <c r="N286" s="59">
        <f t="shared" si="49"/>
        <v>100000</v>
      </c>
      <c r="O286" s="59">
        <f t="shared" si="52"/>
        <v>13.698630136986301</v>
      </c>
      <c r="P286" s="59">
        <f t="shared" si="50"/>
        <v>8.2191780821917817</v>
      </c>
    </row>
    <row r="287" spans="12:16" ht="15" hidden="1" customHeight="1">
      <c r="L287" s="58">
        <f t="shared" si="48"/>
        <v>46519</v>
      </c>
      <c r="M287" s="59">
        <f t="shared" si="51"/>
        <v>0</v>
      </c>
      <c r="N287" s="59">
        <f t="shared" si="49"/>
        <v>100000</v>
      </c>
      <c r="O287" s="59">
        <f t="shared" si="52"/>
        <v>13.698630136986301</v>
      </c>
      <c r="P287" s="59">
        <f t="shared" si="50"/>
        <v>8.2191780821917817</v>
      </c>
    </row>
    <row r="288" spans="12:16" ht="15" hidden="1" customHeight="1">
      <c r="L288" s="58">
        <f t="shared" si="48"/>
        <v>46520</v>
      </c>
      <c r="M288" s="59">
        <f t="shared" si="51"/>
        <v>0</v>
      </c>
      <c r="N288" s="59">
        <f t="shared" si="49"/>
        <v>100000</v>
      </c>
      <c r="O288" s="59">
        <f t="shared" si="52"/>
        <v>13.698630136986301</v>
      </c>
      <c r="P288" s="59">
        <f t="shared" si="50"/>
        <v>8.2191780821917817</v>
      </c>
    </row>
    <row r="289" spans="12:16" ht="15" hidden="1" customHeight="1">
      <c r="L289" s="58">
        <f t="shared" si="48"/>
        <v>46521</v>
      </c>
      <c r="M289" s="59">
        <f t="shared" si="51"/>
        <v>0</v>
      </c>
      <c r="N289" s="59">
        <f t="shared" si="49"/>
        <v>100000</v>
      </c>
      <c r="O289" s="59">
        <f t="shared" si="52"/>
        <v>13.698630136986301</v>
      </c>
      <c r="P289" s="59">
        <f t="shared" si="50"/>
        <v>8.2191780821917817</v>
      </c>
    </row>
    <row r="290" spans="12:16" ht="15" hidden="1" customHeight="1">
      <c r="L290" s="58">
        <f t="shared" ref="L290:L353" si="53">IFERROR(IF(MAX(L289+1,$F$5+1)&gt;Дата_погашения_Займа,"-",MAX(L289+1,$F$5+1)),"-")</f>
        <v>46522</v>
      </c>
      <c r="M290" s="59">
        <f t="shared" si="51"/>
        <v>0</v>
      </c>
      <c r="N290" s="59">
        <f t="shared" si="49"/>
        <v>100000</v>
      </c>
      <c r="O290" s="59">
        <f t="shared" si="52"/>
        <v>13.698630136986301</v>
      </c>
      <c r="P290" s="59">
        <f t="shared" si="50"/>
        <v>8.2191780821917817</v>
      </c>
    </row>
    <row r="291" spans="12:16" ht="15" hidden="1" customHeight="1">
      <c r="L291" s="58">
        <f t="shared" si="53"/>
        <v>46523</v>
      </c>
      <c r="M291" s="59">
        <f t="shared" si="51"/>
        <v>0</v>
      </c>
      <c r="N291" s="59">
        <f t="shared" si="49"/>
        <v>100000</v>
      </c>
      <c r="O291" s="59">
        <f t="shared" si="52"/>
        <v>13.698630136986301</v>
      </c>
      <c r="P291" s="59">
        <f t="shared" si="50"/>
        <v>8.2191780821917817</v>
      </c>
    </row>
    <row r="292" spans="12:16" ht="15" hidden="1" customHeight="1">
      <c r="L292" s="58">
        <f t="shared" si="53"/>
        <v>46524</v>
      </c>
      <c r="M292" s="59">
        <f t="shared" si="51"/>
        <v>0</v>
      </c>
      <c r="N292" s="59">
        <f t="shared" si="49"/>
        <v>100000</v>
      </c>
      <c r="O292" s="59">
        <f t="shared" si="52"/>
        <v>13.698630136986301</v>
      </c>
      <c r="P292" s="59">
        <f t="shared" si="50"/>
        <v>8.2191780821917817</v>
      </c>
    </row>
    <row r="293" spans="12:16" ht="15" hidden="1" customHeight="1">
      <c r="L293" s="58">
        <f t="shared" si="53"/>
        <v>46525</v>
      </c>
      <c r="M293" s="59">
        <f t="shared" si="51"/>
        <v>0</v>
      </c>
      <c r="N293" s="59">
        <f t="shared" si="49"/>
        <v>100000</v>
      </c>
      <c r="O293" s="59">
        <f t="shared" si="52"/>
        <v>13.698630136986301</v>
      </c>
      <c r="P293" s="59">
        <f t="shared" si="50"/>
        <v>8.2191780821917817</v>
      </c>
    </row>
    <row r="294" spans="12:16" ht="15" hidden="1" customHeight="1">
      <c r="L294" s="58">
        <f t="shared" si="53"/>
        <v>46526</v>
      </c>
      <c r="M294" s="59">
        <f t="shared" si="51"/>
        <v>0</v>
      </c>
      <c r="N294" s="59">
        <f t="shared" si="49"/>
        <v>100000</v>
      </c>
      <c r="O294" s="59">
        <f t="shared" si="52"/>
        <v>13.698630136986301</v>
      </c>
      <c r="P294" s="59">
        <f t="shared" si="50"/>
        <v>8.2191780821917817</v>
      </c>
    </row>
    <row r="295" spans="12:16" ht="15" hidden="1" customHeight="1">
      <c r="L295" s="58">
        <f t="shared" si="53"/>
        <v>46527</v>
      </c>
      <c r="M295" s="59">
        <f t="shared" si="51"/>
        <v>0</v>
      </c>
      <c r="N295" s="59">
        <f t="shared" si="49"/>
        <v>100000</v>
      </c>
      <c r="O295" s="59">
        <f t="shared" si="52"/>
        <v>13.698630136986301</v>
      </c>
      <c r="P295" s="59">
        <f t="shared" si="50"/>
        <v>8.2191780821917817</v>
      </c>
    </row>
    <row r="296" spans="12:16" ht="15" hidden="1" customHeight="1">
      <c r="L296" s="58">
        <f t="shared" si="53"/>
        <v>46528</v>
      </c>
      <c r="M296" s="59">
        <f t="shared" si="51"/>
        <v>0</v>
      </c>
      <c r="N296" s="59">
        <f t="shared" si="49"/>
        <v>100000</v>
      </c>
      <c r="O296" s="59">
        <f t="shared" si="52"/>
        <v>13.698630136986301</v>
      </c>
      <c r="P296" s="59">
        <f t="shared" si="50"/>
        <v>8.2191780821917817</v>
      </c>
    </row>
    <row r="297" spans="12:16" ht="15" hidden="1" customHeight="1">
      <c r="L297" s="58">
        <f t="shared" si="53"/>
        <v>46529</v>
      </c>
      <c r="M297" s="59">
        <f t="shared" si="51"/>
        <v>0</v>
      </c>
      <c r="N297" s="59">
        <f t="shared" si="49"/>
        <v>100000</v>
      </c>
      <c r="O297" s="59">
        <f t="shared" si="52"/>
        <v>13.698630136986301</v>
      </c>
      <c r="P297" s="59">
        <f t="shared" si="50"/>
        <v>8.2191780821917817</v>
      </c>
    </row>
    <row r="298" spans="12:16" ht="15" hidden="1" customHeight="1">
      <c r="L298" s="58">
        <f t="shared" si="53"/>
        <v>46530</v>
      </c>
      <c r="M298" s="59">
        <f t="shared" si="51"/>
        <v>0</v>
      </c>
      <c r="N298" s="59">
        <f t="shared" si="49"/>
        <v>100000</v>
      </c>
      <c r="O298" s="59">
        <f t="shared" si="52"/>
        <v>13.698630136986301</v>
      </c>
      <c r="P298" s="59">
        <f t="shared" si="50"/>
        <v>8.2191780821917817</v>
      </c>
    </row>
    <row r="299" spans="12:16" ht="15" hidden="1" customHeight="1">
      <c r="L299" s="58">
        <f t="shared" si="53"/>
        <v>46531</v>
      </c>
      <c r="M299" s="59">
        <f t="shared" si="51"/>
        <v>0</v>
      </c>
      <c r="N299" s="59">
        <f t="shared" si="49"/>
        <v>100000</v>
      </c>
      <c r="O299" s="59">
        <f t="shared" si="52"/>
        <v>13.698630136986301</v>
      </c>
      <c r="P299" s="59">
        <f t="shared" si="50"/>
        <v>8.2191780821917817</v>
      </c>
    </row>
    <row r="300" spans="12:16" ht="15" hidden="1" customHeight="1">
      <c r="L300" s="58">
        <f t="shared" si="53"/>
        <v>46532</v>
      </c>
      <c r="M300" s="59">
        <f t="shared" si="51"/>
        <v>0</v>
      </c>
      <c r="N300" s="59">
        <f t="shared" si="49"/>
        <v>100000</v>
      </c>
      <c r="O300" s="59">
        <f t="shared" si="52"/>
        <v>13.698630136986301</v>
      </c>
      <c r="P300" s="59">
        <f t="shared" si="50"/>
        <v>8.2191780821917817</v>
      </c>
    </row>
    <row r="301" spans="12:16" ht="15" hidden="1" customHeight="1">
      <c r="L301" s="58">
        <f t="shared" si="53"/>
        <v>46533</v>
      </c>
      <c r="M301" s="59">
        <f t="shared" si="51"/>
        <v>0</v>
      </c>
      <c r="N301" s="59">
        <f t="shared" si="49"/>
        <v>100000</v>
      </c>
      <c r="O301" s="59">
        <f t="shared" si="52"/>
        <v>13.698630136986301</v>
      </c>
      <c r="P301" s="59">
        <f t="shared" si="50"/>
        <v>8.2191780821917817</v>
      </c>
    </row>
    <row r="302" spans="12:16" ht="15" hidden="1" customHeight="1">
      <c r="L302" s="58">
        <f t="shared" si="53"/>
        <v>46534</v>
      </c>
      <c r="M302" s="59">
        <f t="shared" si="51"/>
        <v>0</v>
      </c>
      <c r="N302" s="59">
        <f t="shared" si="49"/>
        <v>100000</v>
      </c>
      <c r="O302" s="59">
        <f t="shared" si="52"/>
        <v>13.698630136986301</v>
      </c>
      <c r="P302" s="59">
        <f t="shared" si="50"/>
        <v>8.2191780821917817</v>
      </c>
    </row>
    <row r="303" spans="12:16" ht="15" hidden="1" customHeight="1">
      <c r="L303" s="58">
        <f t="shared" si="53"/>
        <v>46535</v>
      </c>
      <c r="M303" s="59">
        <f t="shared" si="51"/>
        <v>0</v>
      </c>
      <c r="N303" s="59">
        <f t="shared" si="49"/>
        <v>100000</v>
      </c>
      <c r="O303" s="59">
        <f t="shared" si="52"/>
        <v>13.698630136986301</v>
      </c>
      <c r="P303" s="59">
        <f t="shared" si="50"/>
        <v>8.2191780821917817</v>
      </c>
    </row>
    <row r="304" spans="12:16" ht="15" hidden="1" customHeight="1">
      <c r="L304" s="58">
        <f t="shared" si="53"/>
        <v>46536</v>
      </c>
      <c r="M304" s="59">
        <f t="shared" si="51"/>
        <v>0</v>
      </c>
      <c r="N304" s="59">
        <f t="shared" ref="N304:N367" si="54">IF(ISNUMBER(N303),N303-M304,$E$8)</f>
        <v>100000</v>
      </c>
      <c r="O304" s="59">
        <f t="shared" si="52"/>
        <v>13.698630136986301</v>
      </c>
      <c r="P304" s="59">
        <f t="shared" ref="P304:P367" si="55">IFERROR(IF(ISNUMBER(N303),N303,$E$8)*3%/IF(MOD(YEAR(L304),4),365,366)*IF(ISBLANK(L303),(L304-$F$5),L304-L303),0)</f>
        <v>8.2191780821917817</v>
      </c>
    </row>
    <row r="305" spans="12:16" ht="15" hidden="1" customHeight="1">
      <c r="L305" s="58">
        <f t="shared" si="53"/>
        <v>46537</v>
      </c>
      <c r="M305" s="59">
        <f t="shared" si="51"/>
        <v>0</v>
      </c>
      <c r="N305" s="59">
        <f t="shared" si="54"/>
        <v>100000</v>
      </c>
      <c r="O305" s="59">
        <f t="shared" si="52"/>
        <v>13.698630136986301</v>
      </c>
      <c r="P305" s="59">
        <f t="shared" si="55"/>
        <v>8.2191780821917817</v>
      </c>
    </row>
    <row r="306" spans="12:16" ht="15" hidden="1" customHeight="1">
      <c r="L306" s="58">
        <f t="shared" si="53"/>
        <v>46538</v>
      </c>
      <c r="M306" s="59">
        <f t="shared" si="51"/>
        <v>0</v>
      </c>
      <c r="N306" s="59">
        <f t="shared" si="54"/>
        <v>100000</v>
      </c>
      <c r="O306" s="59">
        <f t="shared" si="52"/>
        <v>13.698630136986301</v>
      </c>
      <c r="P306" s="59">
        <f t="shared" si="55"/>
        <v>8.2191780821917817</v>
      </c>
    </row>
    <row r="307" spans="12:16" ht="15" hidden="1" customHeight="1">
      <c r="L307" s="58">
        <f t="shared" si="53"/>
        <v>46539</v>
      </c>
      <c r="M307" s="59">
        <f t="shared" si="51"/>
        <v>0</v>
      </c>
      <c r="N307" s="59">
        <f t="shared" si="54"/>
        <v>100000</v>
      </c>
      <c r="O307" s="59">
        <f t="shared" si="52"/>
        <v>13.698630136986301</v>
      </c>
      <c r="P307" s="59">
        <f t="shared" si="55"/>
        <v>8.2191780821917817</v>
      </c>
    </row>
    <row r="308" spans="12:16" ht="15" hidden="1" customHeight="1">
      <c r="L308" s="58">
        <f t="shared" si="53"/>
        <v>46540</v>
      </c>
      <c r="M308" s="59">
        <f t="shared" si="51"/>
        <v>0</v>
      </c>
      <c r="N308" s="59">
        <f t="shared" si="54"/>
        <v>100000</v>
      </c>
      <c r="O308" s="59">
        <f t="shared" si="52"/>
        <v>13.698630136986301</v>
      </c>
      <c r="P308" s="59">
        <f t="shared" si="55"/>
        <v>8.2191780821917817</v>
      </c>
    </row>
    <row r="309" spans="12:16" ht="15" hidden="1" customHeight="1">
      <c r="L309" s="58">
        <f t="shared" si="53"/>
        <v>46541</v>
      </c>
      <c r="M309" s="59">
        <f t="shared" si="51"/>
        <v>0</v>
      </c>
      <c r="N309" s="59">
        <f t="shared" si="54"/>
        <v>100000</v>
      </c>
      <c r="O309" s="59">
        <f t="shared" si="52"/>
        <v>13.698630136986301</v>
      </c>
      <c r="P309" s="59">
        <f t="shared" si="55"/>
        <v>8.2191780821917817</v>
      </c>
    </row>
    <row r="310" spans="12:16" ht="15" hidden="1" customHeight="1">
      <c r="L310" s="58">
        <f t="shared" si="53"/>
        <v>46542</v>
      </c>
      <c r="M310" s="59">
        <f t="shared" si="51"/>
        <v>0</v>
      </c>
      <c r="N310" s="59">
        <f t="shared" si="54"/>
        <v>100000</v>
      </c>
      <c r="O310" s="59">
        <f t="shared" si="52"/>
        <v>13.698630136986301</v>
      </c>
      <c r="P310" s="59">
        <f t="shared" si="55"/>
        <v>8.2191780821917817</v>
      </c>
    </row>
    <row r="311" spans="12:16" ht="15" hidden="1" customHeight="1">
      <c r="L311" s="58">
        <f t="shared" si="53"/>
        <v>46543</v>
      </c>
      <c r="M311" s="59">
        <f t="shared" si="51"/>
        <v>0</v>
      </c>
      <c r="N311" s="59">
        <f t="shared" si="54"/>
        <v>100000</v>
      </c>
      <c r="O311" s="59">
        <f t="shared" si="52"/>
        <v>13.698630136986301</v>
      </c>
      <c r="P311" s="59">
        <f t="shared" si="55"/>
        <v>8.2191780821917817</v>
      </c>
    </row>
    <row r="312" spans="12:16" ht="15" hidden="1" customHeight="1">
      <c r="L312" s="58">
        <f t="shared" si="53"/>
        <v>46544</v>
      </c>
      <c r="M312" s="59">
        <f t="shared" si="51"/>
        <v>0</v>
      </c>
      <c r="N312" s="59">
        <f t="shared" si="54"/>
        <v>100000</v>
      </c>
      <c r="O312" s="59">
        <f t="shared" si="52"/>
        <v>13.698630136986301</v>
      </c>
      <c r="P312" s="59">
        <f t="shared" si="55"/>
        <v>8.2191780821917817</v>
      </c>
    </row>
    <row r="313" spans="12:16" ht="15" hidden="1" customHeight="1">
      <c r="L313" s="58">
        <f t="shared" si="53"/>
        <v>46545</v>
      </c>
      <c r="M313" s="59">
        <f t="shared" si="51"/>
        <v>0</v>
      </c>
      <c r="N313" s="59">
        <f t="shared" si="54"/>
        <v>100000</v>
      </c>
      <c r="O313" s="59">
        <f t="shared" si="52"/>
        <v>13.698630136986301</v>
      </c>
      <c r="P313" s="59">
        <f t="shared" si="55"/>
        <v>8.2191780821917817</v>
      </c>
    </row>
    <row r="314" spans="12:16" ht="15" hidden="1" customHeight="1">
      <c r="L314" s="58">
        <f t="shared" si="53"/>
        <v>46546</v>
      </c>
      <c r="M314" s="59">
        <f t="shared" si="51"/>
        <v>0</v>
      </c>
      <c r="N314" s="59">
        <f t="shared" si="54"/>
        <v>100000</v>
      </c>
      <c r="O314" s="59">
        <f t="shared" si="52"/>
        <v>13.698630136986301</v>
      </c>
      <c r="P314" s="59">
        <f t="shared" si="55"/>
        <v>8.2191780821917817</v>
      </c>
    </row>
    <row r="315" spans="12:16" ht="15" hidden="1" customHeight="1">
      <c r="L315" s="58">
        <f t="shared" si="53"/>
        <v>46547</v>
      </c>
      <c r="M315" s="59">
        <f t="shared" si="51"/>
        <v>0</v>
      </c>
      <c r="N315" s="59">
        <f t="shared" si="54"/>
        <v>100000</v>
      </c>
      <c r="O315" s="59">
        <f t="shared" si="52"/>
        <v>13.698630136986301</v>
      </c>
      <c r="P315" s="59">
        <f t="shared" si="55"/>
        <v>8.2191780821917817</v>
      </c>
    </row>
    <row r="316" spans="12:16" ht="15" hidden="1" customHeight="1">
      <c r="L316" s="58">
        <f t="shared" si="53"/>
        <v>46548</v>
      </c>
      <c r="M316" s="59">
        <f t="shared" si="51"/>
        <v>0</v>
      </c>
      <c r="N316" s="59">
        <f t="shared" si="54"/>
        <v>100000</v>
      </c>
      <c r="O316" s="59">
        <f t="shared" si="52"/>
        <v>13.698630136986301</v>
      </c>
      <c r="P316" s="59">
        <f t="shared" si="55"/>
        <v>8.2191780821917817</v>
      </c>
    </row>
    <row r="317" spans="12:16" ht="15" hidden="1" customHeight="1">
      <c r="L317" s="58">
        <f t="shared" si="53"/>
        <v>46549</v>
      </c>
      <c r="M317" s="59">
        <f t="shared" si="51"/>
        <v>0</v>
      </c>
      <c r="N317" s="59">
        <f t="shared" si="54"/>
        <v>100000</v>
      </c>
      <c r="O317" s="59">
        <f t="shared" si="52"/>
        <v>13.698630136986301</v>
      </c>
      <c r="P317" s="59">
        <f t="shared" si="55"/>
        <v>8.2191780821917817</v>
      </c>
    </row>
    <row r="318" spans="12:16" ht="15" hidden="1" customHeight="1">
      <c r="L318" s="58">
        <f t="shared" si="53"/>
        <v>46550</v>
      </c>
      <c r="M318" s="59">
        <f t="shared" si="51"/>
        <v>0</v>
      </c>
      <c r="N318" s="59">
        <f t="shared" si="54"/>
        <v>100000</v>
      </c>
      <c r="O318" s="59">
        <f t="shared" si="52"/>
        <v>13.698630136986301</v>
      </c>
      <c r="P318" s="59">
        <f t="shared" si="55"/>
        <v>8.2191780821917817</v>
      </c>
    </row>
    <row r="319" spans="12:16" ht="15" hidden="1" customHeight="1">
      <c r="L319" s="58">
        <f t="shared" si="53"/>
        <v>46551</v>
      </c>
      <c r="M319" s="59">
        <f t="shared" si="51"/>
        <v>0</v>
      </c>
      <c r="N319" s="59">
        <f t="shared" si="54"/>
        <v>100000</v>
      </c>
      <c r="O319" s="59">
        <f t="shared" si="52"/>
        <v>13.698630136986301</v>
      </c>
      <c r="P319" s="59">
        <f t="shared" si="55"/>
        <v>8.2191780821917817</v>
      </c>
    </row>
    <row r="320" spans="12:16" ht="15" hidden="1" customHeight="1">
      <c r="L320" s="58">
        <f t="shared" si="53"/>
        <v>46552</v>
      </c>
      <c r="M320" s="59">
        <f t="shared" si="51"/>
        <v>0</v>
      </c>
      <c r="N320" s="59">
        <f t="shared" si="54"/>
        <v>100000</v>
      </c>
      <c r="O320" s="59">
        <f t="shared" si="52"/>
        <v>13.698630136986301</v>
      </c>
      <c r="P320" s="59">
        <f t="shared" si="55"/>
        <v>8.2191780821917817</v>
      </c>
    </row>
    <row r="321" spans="12:16" ht="15" hidden="1" customHeight="1">
      <c r="L321" s="58">
        <f t="shared" si="53"/>
        <v>46553</v>
      </c>
      <c r="M321" s="59">
        <f t="shared" si="51"/>
        <v>0</v>
      </c>
      <c r="N321" s="59">
        <f t="shared" si="54"/>
        <v>100000</v>
      </c>
      <c r="O321" s="59">
        <f t="shared" si="52"/>
        <v>13.698630136986301</v>
      </c>
      <c r="P321" s="59">
        <f t="shared" si="55"/>
        <v>8.2191780821917817</v>
      </c>
    </row>
    <row r="322" spans="12:16" ht="15" hidden="1" customHeight="1">
      <c r="L322" s="58">
        <f t="shared" si="53"/>
        <v>46554</v>
      </c>
      <c r="M322" s="59">
        <f t="shared" si="51"/>
        <v>0</v>
      </c>
      <c r="N322" s="59">
        <f t="shared" si="54"/>
        <v>100000</v>
      </c>
      <c r="O322" s="59">
        <f t="shared" si="52"/>
        <v>13.698630136986301</v>
      </c>
      <c r="P322" s="59">
        <f t="shared" si="55"/>
        <v>8.2191780821917817</v>
      </c>
    </row>
    <row r="323" spans="12:16" ht="15" hidden="1" customHeight="1">
      <c r="L323" s="58">
        <f t="shared" si="53"/>
        <v>46555</v>
      </c>
      <c r="M323" s="59">
        <f t="shared" si="51"/>
        <v>0</v>
      </c>
      <c r="N323" s="59">
        <f t="shared" si="54"/>
        <v>100000</v>
      </c>
      <c r="O323" s="59">
        <f t="shared" si="52"/>
        <v>13.698630136986301</v>
      </c>
      <c r="P323" s="59">
        <f t="shared" si="55"/>
        <v>8.2191780821917817</v>
      </c>
    </row>
    <row r="324" spans="12:16" ht="15" hidden="1" customHeight="1">
      <c r="L324" s="58">
        <f t="shared" si="53"/>
        <v>46556</v>
      </c>
      <c r="M324" s="59">
        <f t="shared" si="51"/>
        <v>0</v>
      </c>
      <c r="N324" s="59">
        <f t="shared" si="54"/>
        <v>100000</v>
      </c>
      <c r="O324" s="59">
        <f t="shared" si="52"/>
        <v>13.698630136986301</v>
      </c>
      <c r="P324" s="59">
        <f t="shared" si="55"/>
        <v>8.2191780821917817</v>
      </c>
    </row>
    <row r="325" spans="12:16" ht="15" hidden="1" customHeight="1">
      <c r="L325" s="58">
        <f t="shared" si="53"/>
        <v>46557</v>
      </c>
      <c r="M325" s="59">
        <f t="shared" si="51"/>
        <v>0</v>
      </c>
      <c r="N325" s="59">
        <f t="shared" si="54"/>
        <v>100000</v>
      </c>
      <c r="O325" s="59">
        <f t="shared" si="52"/>
        <v>13.698630136986301</v>
      </c>
      <c r="P325" s="59">
        <f t="shared" si="55"/>
        <v>8.2191780821917817</v>
      </c>
    </row>
    <row r="326" spans="12:16" ht="15" hidden="1" customHeight="1">
      <c r="L326" s="58">
        <f t="shared" si="53"/>
        <v>46558</v>
      </c>
      <c r="M326" s="59">
        <f t="shared" si="51"/>
        <v>0</v>
      </c>
      <c r="N326" s="59">
        <f t="shared" si="54"/>
        <v>100000</v>
      </c>
      <c r="O326" s="59">
        <f t="shared" si="52"/>
        <v>13.698630136986301</v>
      </c>
      <c r="P326" s="59">
        <f t="shared" si="55"/>
        <v>8.2191780821917817</v>
      </c>
    </row>
    <row r="327" spans="12:16" ht="15" hidden="1" customHeight="1">
      <c r="L327" s="58">
        <f t="shared" si="53"/>
        <v>46559</v>
      </c>
      <c r="M327" s="59">
        <f t="shared" si="51"/>
        <v>0</v>
      </c>
      <c r="N327" s="59">
        <f t="shared" si="54"/>
        <v>100000</v>
      </c>
      <c r="O327" s="59">
        <f t="shared" si="52"/>
        <v>13.698630136986301</v>
      </c>
      <c r="P327" s="59">
        <f t="shared" si="55"/>
        <v>8.2191780821917817</v>
      </c>
    </row>
    <row r="328" spans="12:16" ht="15" hidden="1" customHeight="1">
      <c r="L328" s="58">
        <f t="shared" si="53"/>
        <v>46560</v>
      </c>
      <c r="M328" s="59">
        <f t="shared" si="51"/>
        <v>0</v>
      </c>
      <c r="N328" s="59">
        <f t="shared" si="54"/>
        <v>100000</v>
      </c>
      <c r="O328" s="59">
        <f t="shared" si="52"/>
        <v>13.698630136986301</v>
      </c>
      <c r="P328" s="59">
        <f t="shared" si="55"/>
        <v>8.2191780821917817</v>
      </c>
    </row>
    <row r="329" spans="12:16" ht="15" hidden="1" customHeight="1">
      <c r="L329" s="58">
        <f t="shared" si="53"/>
        <v>46561</v>
      </c>
      <c r="M329" s="59">
        <f t="shared" si="51"/>
        <v>0</v>
      </c>
      <c r="N329" s="59">
        <f t="shared" si="54"/>
        <v>100000</v>
      </c>
      <c r="O329" s="59">
        <f t="shared" si="52"/>
        <v>13.698630136986301</v>
      </c>
      <c r="P329" s="59">
        <f t="shared" si="55"/>
        <v>8.2191780821917817</v>
      </c>
    </row>
    <row r="330" spans="12:16" ht="15" hidden="1" customHeight="1">
      <c r="L330" s="58">
        <f t="shared" si="53"/>
        <v>46562</v>
      </c>
      <c r="M330" s="59">
        <f t="shared" si="51"/>
        <v>0</v>
      </c>
      <c r="N330" s="59">
        <f t="shared" si="54"/>
        <v>100000</v>
      </c>
      <c r="O330" s="59">
        <f t="shared" si="52"/>
        <v>13.698630136986301</v>
      </c>
      <c r="P330" s="59">
        <f t="shared" si="55"/>
        <v>8.2191780821917817</v>
      </c>
    </row>
    <row r="331" spans="12:16" ht="15" hidden="1" customHeight="1">
      <c r="L331" s="58">
        <f t="shared" si="53"/>
        <v>46563</v>
      </c>
      <c r="M331" s="59">
        <f t="shared" si="51"/>
        <v>0</v>
      </c>
      <c r="N331" s="59">
        <f t="shared" si="54"/>
        <v>100000</v>
      </c>
      <c r="O331" s="59">
        <f t="shared" si="52"/>
        <v>13.698630136986301</v>
      </c>
      <c r="P331" s="59">
        <f t="shared" si="55"/>
        <v>8.2191780821917817</v>
      </c>
    </row>
    <row r="332" spans="12:16" ht="15" hidden="1" customHeight="1">
      <c r="L332" s="58">
        <f t="shared" si="53"/>
        <v>46564</v>
      </c>
      <c r="M332" s="59">
        <f t="shared" si="51"/>
        <v>0</v>
      </c>
      <c r="N332" s="59">
        <f t="shared" si="54"/>
        <v>100000</v>
      </c>
      <c r="O332" s="59">
        <f t="shared" si="52"/>
        <v>13.698630136986301</v>
      </c>
      <c r="P332" s="59">
        <f t="shared" si="55"/>
        <v>8.2191780821917817</v>
      </c>
    </row>
    <row r="333" spans="12:16" ht="15" hidden="1" customHeight="1">
      <c r="L333" s="58">
        <f t="shared" si="53"/>
        <v>46565</v>
      </c>
      <c r="M333" s="59">
        <f t="shared" si="51"/>
        <v>0</v>
      </c>
      <c r="N333" s="59">
        <f t="shared" si="54"/>
        <v>100000</v>
      </c>
      <c r="O333" s="59">
        <f t="shared" si="52"/>
        <v>13.698630136986301</v>
      </c>
      <c r="P333" s="59">
        <f t="shared" si="55"/>
        <v>8.2191780821917817</v>
      </c>
    </row>
    <row r="334" spans="12:16" ht="15" hidden="1" customHeight="1">
      <c r="L334" s="58">
        <f t="shared" si="53"/>
        <v>46566</v>
      </c>
      <c r="M334" s="59">
        <f t="shared" si="51"/>
        <v>0</v>
      </c>
      <c r="N334" s="59">
        <f t="shared" si="54"/>
        <v>100000</v>
      </c>
      <c r="O334" s="59">
        <f t="shared" si="52"/>
        <v>13.698630136986301</v>
      </c>
      <c r="P334" s="59">
        <f t="shared" si="55"/>
        <v>8.2191780821917817</v>
      </c>
    </row>
    <row r="335" spans="12:16" ht="15" hidden="1" customHeight="1">
      <c r="L335" s="58">
        <f t="shared" si="53"/>
        <v>46567</v>
      </c>
      <c r="M335" s="59">
        <f t="shared" si="51"/>
        <v>0</v>
      </c>
      <c r="N335" s="59">
        <f t="shared" si="54"/>
        <v>100000</v>
      </c>
      <c r="O335" s="59">
        <f t="shared" si="52"/>
        <v>13.698630136986301</v>
      </c>
      <c r="P335" s="59">
        <f t="shared" si="55"/>
        <v>8.2191780821917817</v>
      </c>
    </row>
    <row r="336" spans="12:16" ht="15" hidden="1" customHeight="1">
      <c r="L336" s="58">
        <f t="shared" si="53"/>
        <v>46568</v>
      </c>
      <c r="M336" s="59">
        <f t="shared" si="51"/>
        <v>0</v>
      </c>
      <c r="N336" s="59">
        <f t="shared" si="54"/>
        <v>100000</v>
      </c>
      <c r="O336" s="59">
        <f t="shared" si="52"/>
        <v>13.698630136986301</v>
      </c>
      <c r="P336" s="59">
        <f t="shared" si="55"/>
        <v>8.2191780821917817</v>
      </c>
    </row>
    <row r="337" spans="12:16" ht="15" hidden="1" customHeight="1">
      <c r="L337" s="58">
        <f t="shared" si="53"/>
        <v>46569</v>
      </c>
      <c r="M337" s="59">
        <f t="shared" si="51"/>
        <v>0</v>
      </c>
      <c r="N337" s="59">
        <f t="shared" si="54"/>
        <v>100000</v>
      </c>
      <c r="O337" s="59">
        <f t="shared" si="52"/>
        <v>13.698630136986301</v>
      </c>
      <c r="P337" s="59">
        <f t="shared" si="55"/>
        <v>8.2191780821917817</v>
      </c>
    </row>
    <row r="338" spans="12:16" ht="15" hidden="1" customHeight="1">
      <c r="L338" s="58">
        <f t="shared" si="53"/>
        <v>46570</v>
      </c>
      <c r="M338" s="59">
        <f t="shared" si="51"/>
        <v>0</v>
      </c>
      <c r="N338" s="59">
        <f t="shared" si="54"/>
        <v>100000</v>
      </c>
      <c r="O338" s="59">
        <f t="shared" si="52"/>
        <v>13.698630136986301</v>
      </c>
      <c r="P338" s="59">
        <f t="shared" si="55"/>
        <v>8.2191780821917817</v>
      </c>
    </row>
    <row r="339" spans="12:16" ht="15" hidden="1" customHeight="1">
      <c r="L339" s="58">
        <f t="shared" si="53"/>
        <v>46571</v>
      </c>
      <c r="M339" s="59">
        <f t="shared" ref="M339:M402" si="56">IFERROR(VLOOKUP(L339,$B$19:$E$80,4,FALSE),0)</f>
        <v>0</v>
      </c>
      <c r="N339" s="59">
        <f t="shared" si="54"/>
        <v>100000</v>
      </c>
      <c r="O339" s="59">
        <f t="shared" ref="O339:O402" si="57">IFERROR(IF(ISNUMBER(N338),N338,$E$8)*IF(L339&gt;=$J$8,$E$12,$E$12)/IF(MOD(YEAR(L339),4),365,366)*IF(ISBLANK(L338),L339-$F$5,L339-L338),0)</f>
        <v>13.698630136986301</v>
      </c>
      <c r="P339" s="59">
        <f t="shared" si="55"/>
        <v>8.2191780821917817</v>
      </c>
    </row>
    <row r="340" spans="12:16" ht="15" hidden="1" customHeight="1">
      <c r="L340" s="58">
        <f t="shared" si="53"/>
        <v>46572</v>
      </c>
      <c r="M340" s="59">
        <f t="shared" si="56"/>
        <v>0</v>
      </c>
      <c r="N340" s="59">
        <f t="shared" si="54"/>
        <v>100000</v>
      </c>
      <c r="O340" s="59">
        <f t="shared" si="57"/>
        <v>13.698630136986301</v>
      </c>
      <c r="P340" s="59">
        <f t="shared" si="55"/>
        <v>8.2191780821917817</v>
      </c>
    </row>
    <row r="341" spans="12:16" ht="15" hidden="1" customHeight="1">
      <c r="L341" s="58">
        <f t="shared" si="53"/>
        <v>46573</v>
      </c>
      <c r="M341" s="59">
        <f t="shared" si="56"/>
        <v>0</v>
      </c>
      <c r="N341" s="59">
        <f t="shared" si="54"/>
        <v>100000</v>
      </c>
      <c r="O341" s="59">
        <f t="shared" si="57"/>
        <v>13.698630136986301</v>
      </c>
      <c r="P341" s="59">
        <f t="shared" si="55"/>
        <v>8.2191780821917817</v>
      </c>
    </row>
    <row r="342" spans="12:16" ht="15" hidden="1" customHeight="1">
      <c r="L342" s="58">
        <f t="shared" si="53"/>
        <v>46574</v>
      </c>
      <c r="M342" s="59">
        <f t="shared" si="56"/>
        <v>0</v>
      </c>
      <c r="N342" s="59">
        <f t="shared" si="54"/>
        <v>100000</v>
      </c>
      <c r="O342" s="59">
        <f t="shared" si="57"/>
        <v>13.698630136986301</v>
      </c>
      <c r="P342" s="59">
        <f t="shared" si="55"/>
        <v>8.2191780821917817</v>
      </c>
    </row>
    <row r="343" spans="12:16" ht="15" hidden="1" customHeight="1">
      <c r="L343" s="58">
        <f t="shared" si="53"/>
        <v>46575</v>
      </c>
      <c r="M343" s="59">
        <f t="shared" si="56"/>
        <v>0</v>
      </c>
      <c r="N343" s="59">
        <f t="shared" si="54"/>
        <v>100000</v>
      </c>
      <c r="O343" s="59">
        <f t="shared" si="57"/>
        <v>13.698630136986301</v>
      </c>
      <c r="P343" s="59">
        <f t="shared" si="55"/>
        <v>8.2191780821917817</v>
      </c>
    </row>
    <row r="344" spans="12:16" ht="15" hidden="1" customHeight="1">
      <c r="L344" s="58">
        <f t="shared" si="53"/>
        <v>46576</v>
      </c>
      <c r="M344" s="59">
        <f t="shared" si="56"/>
        <v>0</v>
      </c>
      <c r="N344" s="59">
        <f t="shared" si="54"/>
        <v>100000</v>
      </c>
      <c r="O344" s="59">
        <f t="shared" si="57"/>
        <v>13.698630136986301</v>
      </c>
      <c r="P344" s="59">
        <f t="shared" si="55"/>
        <v>8.2191780821917817</v>
      </c>
    </row>
    <row r="345" spans="12:16" ht="15" hidden="1" customHeight="1">
      <c r="L345" s="58">
        <f t="shared" si="53"/>
        <v>46577</v>
      </c>
      <c r="M345" s="59">
        <f t="shared" si="56"/>
        <v>0</v>
      </c>
      <c r="N345" s="59">
        <f t="shared" si="54"/>
        <v>100000</v>
      </c>
      <c r="O345" s="59">
        <f t="shared" si="57"/>
        <v>13.698630136986301</v>
      </c>
      <c r="P345" s="59">
        <f t="shared" si="55"/>
        <v>8.2191780821917817</v>
      </c>
    </row>
    <row r="346" spans="12:16" ht="15" hidden="1" customHeight="1">
      <c r="L346" s="58">
        <f t="shared" si="53"/>
        <v>46578</v>
      </c>
      <c r="M346" s="59">
        <f t="shared" si="56"/>
        <v>0</v>
      </c>
      <c r="N346" s="59">
        <f t="shared" si="54"/>
        <v>100000</v>
      </c>
      <c r="O346" s="59">
        <f t="shared" si="57"/>
        <v>13.698630136986301</v>
      </c>
      <c r="P346" s="59">
        <f t="shared" si="55"/>
        <v>8.2191780821917817</v>
      </c>
    </row>
    <row r="347" spans="12:16" ht="15" hidden="1" customHeight="1">
      <c r="L347" s="58">
        <f t="shared" si="53"/>
        <v>46579</v>
      </c>
      <c r="M347" s="59">
        <f t="shared" si="56"/>
        <v>0</v>
      </c>
      <c r="N347" s="59">
        <f t="shared" si="54"/>
        <v>100000</v>
      </c>
      <c r="O347" s="59">
        <f t="shared" si="57"/>
        <v>13.698630136986301</v>
      </c>
      <c r="P347" s="59">
        <f t="shared" si="55"/>
        <v>8.2191780821917817</v>
      </c>
    </row>
    <row r="348" spans="12:16" ht="15" hidden="1" customHeight="1">
      <c r="L348" s="58">
        <f t="shared" si="53"/>
        <v>46580</v>
      </c>
      <c r="M348" s="59">
        <f t="shared" si="56"/>
        <v>0</v>
      </c>
      <c r="N348" s="59">
        <f t="shared" si="54"/>
        <v>100000</v>
      </c>
      <c r="O348" s="59">
        <f t="shared" si="57"/>
        <v>13.698630136986301</v>
      </c>
      <c r="P348" s="59">
        <f t="shared" si="55"/>
        <v>8.2191780821917817</v>
      </c>
    </row>
    <row r="349" spans="12:16" ht="15" hidden="1" customHeight="1">
      <c r="L349" s="58">
        <f t="shared" si="53"/>
        <v>46581</v>
      </c>
      <c r="M349" s="59">
        <f t="shared" si="56"/>
        <v>0</v>
      </c>
      <c r="N349" s="59">
        <f t="shared" si="54"/>
        <v>100000</v>
      </c>
      <c r="O349" s="59">
        <f t="shared" si="57"/>
        <v>13.698630136986301</v>
      </c>
      <c r="P349" s="59">
        <f t="shared" si="55"/>
        <v>8.2191780821917817</v>
      </c>
    </row>
    <row r="350" spans="12:16" ht="15" hidden="1" customHeight="1">
      <c r="L350" s="58">
        <f t="shared" si="53"/>
        <v>46582</v>
      </c>
      <c r="M350" s="59">
        <f t="shared" si="56"/>
        <v>0</v>
      </c>
      <c r="N350" s="59">
        <f t="shared" si="54"/>
        <v>100000</v>
      </c>
      <c r="O350" s="59">
        <f t="shared" si="57"/>
        <v>13.698630136986301</v>
      </c>
      <c r="P350" s="59">
        <f t="shared" si="55"/>
        <v>8.2191780821917817</v>
      </c>
    </row>
    <row r="351" spans="12:16" ht="15" hidden="1" customHeight="1">
      <c r="L351" s="58">
        <f t="shared" si="53"/>
        <v>46583</v>
      </c>
      <c r="M351" s="59">
        <f t="shared" si="56"/>
        <v>0</v>
      </c>
      <c r="N351" s="59">
        <f t="shared" si="54"/>
        <v>100000</v>
      </c>
      <c r="O351" s="59">
        <f t="shared" si="57"/>
        <v>13.698630136986301</v>
      </c>
      <c r="P351" s="59">
        <f t="shared" si="55"/>
        <v>8.2191780821917817</v>
      </c>
    </row>
    <row r="352" spans="12:16" ht="15" hidden="1" customHeight="1">
      <c r="L352" s="58">
        <f t="shared" si="53"/>
        <v>46584</v>
      </c>
      <c r="M352" s="59">
        <f t="shared" si="56"/>
        <v>0</v>
      </c>
      <c r="N352" s="59">
        <f t="shared" si="54"/>
        <v>100000</v>
      </c>
      <c r="O352" s="59">
        <f t="shared" si="57"/>
        <v>13.698630136986301</v>
      </c>
      <c r="P352" s="59">
        <f t="shared" si="55"/>
        <v>8.2191780821917817</v>
      </c>
    </row>
    <row r="353" spans="12:16" ht="15" hidden="1" customHeight="1">
      <c r="L353" s="58">
        <f t="shared" si="53"/>
        <v>46585</v>
      </c>
      <c r="M353" s="59">
        <f t="shared" si="56"/>
        <v>0</v>
      </c>
      <c r="N353" s="59">
        <f t="shared" si="54"/>
        <v>100000</v>
      </c>
      <c r="O353" s="59">
        <f t="shared" si="57"/>
        <v>13.698630136986301</v>
      </c>
      <c r="P353" s="59">
        <f t="shared" si="55"/>
        <v>8.2191780821917817</v>
      </c>
    </row>
    <row r="354" spans="12:16" ht="15" hidden="1" customHeight="1">
      <c r="L354" s="58">
        <f t="shared" ref="L354:L417" si="58">IFERROR(IF(MAX(L353+1,$F$5+1)&gt;Дата_погашения_Займа,"-",MAX(L353+1,$F$5+1)),"-")</f>
        <v>46586</v>
      </c>
      <c r="M354" s="59">
        <f t="shared" si="56"/>
        <v>0</v>
      </c>
      <c r="N354" s="59">
        <f t="shared" si="54"/>
        <v>100000</v>
      </c>
      <c r="O354" s="59">
        <f t="shared" si="57"/>
        <v>13.698630136986301</v>
      </c>
      <c r="P354" s="59">
        <f t="shared" si="55"/>
        <v>8.2191780821917817</v>
      </c>
    </row>
    <row r="355" spans="12:16" ht="15" hidden="1" customHeight="1">
      <c r="L355" s="58">
        <f t="shared" si="58"/>
        <v>46587</v>
      </c>
      <c r="M355" s="59">
        <f t="shared" si="56"/>
        <v>0</v>
      </c>
      <c r="N355" s="59">
        <f t="shared" si="54"/>
        <v>100000</v>
      </c>
      <c r="O355" s="59">
        <f t="shared" si="57"/>
        <v>13.698630136986301</v>
      </c>
      <c r="P355" s="59">
        <f t="shared" si="55"/>
        <v>8.2191780821917817</v>
      </c>
    </row>
    <row r="356" spans="12:16" ht="15" hidden="1" customHeight="1">
      <c r="L356" s="58">
        <f t="shared" si="58"/>
        <v>46588</v>
      </c>
      <c r="M356" s="59">
        <f t="shared" si="56"/>
        <v>0</v>
      </c>
      <c r="N356" s="59">
        <f t="shared" si="54"/>
        <v>100000</v>
      </c>
      <c r="O356" s="59">
        <f t="shared" si="57"/>
        <v>13.698630136986301</v>
      </c>
      <c r="P356" s="59">
        <f t="shared" si="55"/>
        <v>8.2191780821917817</v>
      </c>
    </row>
    <row r="357" spans="12:16" ht="15" hidden="1" customHeight="1">
      <c r="L357" s="58">
        <f t="shared" si="58"/>
        <v>46589</v>
      </c>
      <c r="M357" s="59">
        <f t="shared" si="56"/>
        <v>0</v>
      </c>
      <c r="N357" s="59">
        <f t="shared" si="54"/>
        <v>100000</v>
      </c>
      <c r="O357" s="59">
        <f t="shared" si="57"/>
        <v>13.698630136986301</v>
      </c>
      <c r="P357" s="59">
        <f t="shared" si="55"/>
        <v>8.2191780821917817</v>
      </c>
    </row>
    <row r="358" spans="12:16" ht="15" hidden="1" customHeight="1">
      <c r="L358" s="58">
        <f t="shared" si="58"/>
        <v>46590</v>
      </c>
      <c r="M358" s="59">
        <f t="shared" si="56"/>
        <v>0</v>
      </c>
      <c r="N358" s="59">
        <f t="shared" si="54"/>
        <v>100000</v>
      </c>
      <c r="O358" s="59">
        <f t="shared" si="57"/>
        <v>13.698630136986301</v>
      </c>
      <c r="P358" s="59">
        <f t="shared" si="55"/>
        <v>8.2191780821917817</v>
      </c>
    </row>
    <row r="359" spans="12:16" ht="15" hidden="1" customHeight="1">
      <c r="L359" s="58">
        <f t="shared" si="58"/>
        <v>46591</v>
      </c>
      <c r="M359" s="59">
        <f t="shared" si="56"/>
        <v>0</v>
      </c>
      <c r="N359" s="59">
        <f t="shared" si="54"/>
        <v>100000</v>
      </c>
      <c r="O359" s="59">
        <f t="shared" si="57"/>
        <v>13.698630136986301</v>
      </c>
      <c r="P359" s="59">
        <f t="shared" si="55"/>
        <v>8.2191780821917817</v>
      </c>
    </row>
    <row r="360" spans="12:16" ht="15" hidden="1" customHeight="1">
      <c r="L360" s="58">
        <f t="shared" si="58"/>
        <v>46592</v>
      </c>
      <c r="M360" s="59">
        <f t="shared" si="56"/>
        <v>0</v>
      </c>
      <c r="N360" s="59">
        <f t="shared" si="54"/>
        <v>100000</v>
      </c>
      <c r="O360" s="59">
        <f t="shared" si="57"/>
        <v>13.698630136986301</v>
      </c>
      <c r="P360" s="59">
        <f t="shared" si="55"/>
        <v>8.2191780821917817</v>
      </c>
    </row>
    <row r="361" spans="12:16" ht="15" hidden="1" customHeight="1">
      <c r="L361" s="58">
        <f t="shared" si="58"/>
        <v>46593</v>
      </c>
      <c r="M361" s="59">
        <f t="shared" si="56"/>
        <v>0</v>
      </c>
      <c r="N361" s="59">
        <f t="shared" si="54"/>
        <v>100000</v>
      </c>
      <c r="O361" s="59">
        <f t="shared" si="57"/>
        <v>13.698630136986301</v>
      </c>
      <c r="P361" s="59">
        <f t="shared" si="55"/>
        <v>8.2191780821917817</v>
      </c>
    </row>
    <row r="362" spans="12:16" ht="15" hidden="1" customHeight="1">
      <c r="L362" s="58">
        <f t="shared" si="58"/>
        <v>46594</v>
      </c>
      <c r="M362" s="59">
        <f t="shared" si="56"/>
        <v>0</v>
      </c>
      <c r="N362" s="59">
        <f t="shared" si="54"/>
        <v>100000</v>
      </c>
      <c r="O362" s="59">
        <f t="shared" si="57"/>
        <v>13.698630136986301</v>
      </c>
      <c r="P362" s="59">
        <f t="shared" si="55"/>
        <v>8.2191780821917817</v>
      </c>
    </row>
    <row r="363" spans="12:16" ht="15" hidden="1" customHeight="1">
      <c r="L363" s="58">
        <f t="shared" si="58"/>
        <v>46595</v>
      </c>
      <c r="M363" s="59">
        <f t="shared" si="56"/>
        <v>0</v>
      </c>
      <c r="N363" s="59">
        <f t="shared" si="54"/>
        <v>100000</v>
      </c>
      <c r="O363" s="59">
        <f t="shared" si="57"/>
        <v>13.698630136986301</v>
      </c>
      <c r="P363" s="59">
        <f t="shared" si="55"/>
        <v>8.2191780821917817</v>
      </c>
    </row>
    <row r="364" spans="12:16" ht="15" hidden="1" customHeight="1">
      <c r="L364" s="58">
        <f t="shared" si="58"/>
        <v>46596</v>
      </c>
      <c r="M364" s="59">
        <f t="shared" si="56"/>
        <v>0</v>
      </c>
      <c r="N364" s="59">
        <f t="shared" si="54"/>
        <v>100000</v>
      </c>
      <c r="O364" s="59">
        <f t="shared" si="57"/>
        <v>13.698630136986301</v>
      </c>
      <c r="P364" s="59">
        <f t="shared" si="55"/>
        <v>8.2191780821917817</v>
      </c>
    </row>
    <row r="365" spans="12:16" ht="15" hidden="1" customHeight="1">
      <c r="L365" s="58">
        <f t="shared" si="58"/>
        <v>46597</v>
      </c>
      <c r="M365" s="59">
        <f t="shared" si="56"/>
        <v>0</v>
      </c>
      <c r="N365" s="59">
        <f t="shared" si="54"/>
        <v>100000</v>
      </c>
      <c r="O365" s="59">
        <f t="shared" si="57"/>
        <v>13.698630136986301</v>
      </c>
      <c r="P365" s="59">
        <f t="shared" si="55"/>
        <v>8.2191780821917817</v>
      </c>
    </row>
    <row r="366" spans="12:16" ht="15" hidden="1" customHeight="1">
      <c r="L366" s="58">
        <f t="shared" si="58"/>
        <v>46598</v>
      </c>
      <c r="M366" s="59">
        <f t="shared" si="56"/>
        <v>0</v>
      </c>
      <c r="N366" s="59">
        <f t="shared" si="54"/>
        <v>100000</v>
      </c>
      <c r="O366" s="59">
        <f t="shared" si="57"/>
        <v>13.698630136986301</v>
      </c>
      <c r="P366" s="59">
        <f t="shared" si="55"/>
        <v>8.2191780821917817</v>
      </c>
    </row>
    <row r="367" spans="12:16" ht="15" hidden="1" customHeight="1">
      <c r="L367" s="58">
        <f t="shared" si="58"/>
        <v>46599</v>
      </c>
      <c r="M367" s="59">
        <f t="shared" si="56"/>
        <v>0</v>
      </c>
      <c r="N367" s="59">
        <f t="shared" si="54"/>
        <v>100000</v>
      </c>
      <c r="O367" s="59">
        <f t="shared" si="57"/>
        <v>13.698630136986301</v>
      </c>
      <c r="P367" s="59">
        <f t="shared" si="55"/>
        <v>8.2191780821917817</v>
      </c>
    </row>
    <row r="368" spans="12:16" ht="15" hidden="1" customHeight="1">
      <c r="L368" s="58">
        <f t="shared" si="58"/>
        <v>46600</v>
      </c>
      <c r="M368" s="59">
        <f t="shared" si="56"/>
        <v>0</v>
      </c>
      <c r="N368" s="59">
        <f t="shared" ref="N368:N431" si="59">IF(ISNUMBER(N367),N367-M368,$E$8)</f>
        <v>100000</v>
      </c>
      <c r="O368" s="59">
        <f t="shared" si="57"/>
        <v>13.698630136986301</v>
      </c>
      <c r="P368" s="59">
        <f t="shared" ref="P368:P431" si="60">IFERROR(IF(ISNUMBER(N367),N367,$E$8)*3%/IF(MOD(YEAR(L368),4),365,366)*IF(ISBLANK(L367),(L368-$F$5),L368-L367),0)</f>
        <v>8.2191780821917817</v>
      </c>
    </row>
    <row r="369" spans="12:16" ht="15" hidden="1" customHeight="1">
      <c r="L369" s="58">
        <f t="shared" si="58"/>
        <v>46601</v>
      </c>
      <c r="M369" s="59">
        <f t="shared" si="56"/>
        <v>0</v>
      </c>
      <c r="N369" s="59">
        <f t="shared" si="59"/>
        <v>100000</v>
      </c>
      <c r="O369" s="59">
        <f t="shared" si="57"/>
        <v>13.698630136986301</v>
      </c>
      <c r="P369" s="59">
        <f t="shared" si="60"/>
        <v>8.2191780821917817</v>
      </c>
    </row>
    <row r="370" spans="12:16" ht="15" hidden="1" customHeight="1">
      <c r="L370" s="58">
        <f t="shared" si="58"/>
        <v>46602</v>
      </c>
      <c r="M370" s="59">
        <f t="shared" si="56"/>
        <v>0</v>
      </c>
      <c r="N370" s="59">
        <f t="shared" si="59"/>
        <v>100000</v>
      </c>
      <c r="O370" s="59">
        <f t="shared" si="57"/>
        <v>13.698630136986301</v>
      </c>
      <c r="P370" s="59">
        <f t="shared" si="60"/>
        <v>8.2191780821917817</v>
      </c>
    </row>
    <row r="371" spans="12:16" ht="15" hidden="1" customHeight="1">
      <c r="L371" s="58">
        <f t="shared" si="58"/>
        <v>46603</v>
      </c>
      <c r="M371" s="59">
        <f t="shared" si="56"/>
        <v>0</v>
      </c>
      <c r="N371" s="59">
        <f t="shared" si="59"/>
        <v>100000</v>
      </c>
      <c r="O371" s="59">
        <f t="shared" si="57"/>
        <v>13.698630136986301</v>
      </c>
      <c r="P371" s="59">
        <f t="shared" si="60"/>
        <v>8.2191780821917817</v>
      </c>
    </row>
    <row r="372" spans="12:16" ht="15" hidden="1" customHeight="1">
      <c r="L372" s="58">
        <f t="shared" si="58"/>
        <v>46604</v>
      </c>
      <c r="M372" s="59">
        <f t="shared" si="56"/>
        <v>0</v>
      </c>
      <c r="N372" s="59">
        <f t="shared" si="59"/>
        <v>100000</v>
      </c>
      <c r="O372" s="59">
        <f t="shared" si="57"/>
        <v>13.698630136986301</v>
      </c>
      <c r="P372" s="59">
        <f t="shared" si="60"/>
        <v>8.2191780821917817</v>
      </c>
    </row>
    <row r="373" spans="12:16" ht="15" hidden="1" customHeight="1">
      <c r="L373" s="58">
        <f t="shared" si="58"/>
        <v>46605</v>
      </c>
      <c r="M373" s="59">
        <f t="shared" si="56"/>
        <v>0</v>
      </c>
      <c r="N373" s="59">
        <f t="shared" si="59"/>
        <v>100000</v>
      </c>
      <c r="O373" s="59">
        <f t="shared" si="57"/>
        <v>13.698630136986301</v>
      </c>
      <c r="P373" s="59">
        <f t="shared" si="60"/>
        <v>8.2191780821917817</v>
      </c>
    </row>
    <row r="374" spans="12:16" ht="15" hidden="1" customHeight="1">
      <c r="L374" s="58">
        <f t="shared" si="58"/>
        <v>46606</v>
      </c>
      <c r="M374" s="59">
        <f t="shared" si="56"/>
        <v>0</v>
      </c>
      <c r="N374" s="59">
        <f t="shared" si="59"/>
        <v>100000</v>
      </c>
      <c r="O374" s="59">
        <f t="shared" si="57"/>
        <v>13.698630136986301</v>
      </c>
      <c r="P374" s="59">
        <f t="shared" si="60"/>
        <v>8.2191780821917817</v>
      </c>
    </row>
    <row r="375" spans="12:16" ht="15" hidden="1" customHeight="1">
      <c r="L375" s="58">
        <f t="shared" si="58"/>
        <v>46607</v>
      </c>
      <c r="M375" s="59">
        <f t="shared" si="56"/>
        <v>0</v>
      </c>
      <c r="N375" s="59">
        <f t="shared" si="59"/>
        <v>100000</v>
      </c>
      <c r="O375" s="59">
        <f t="shared" si="57"/>
        <v>13.698630136986301</v>
      </c>
      <c r="P375" s="59">
        <f t="shared" si="60"/>
        <v>8.2191780821917817</v>
      </c>
    </row>
    <row r="376" spans="12:16" ht="15" hidden="1" customHeight="1">
      <c r="L376" s="58">
        <f t="shared" si="58"/>
        <v>46608</v>
      </c>
      <c r="M376" s="59">
        <f t="shared" si="56"/>
        <v>0</v>
      </c>
      <c r="N376" s="59">
        <f t="shared" si="59"/>
        <v>100000</v>
      </c>
      <c r="O376" s="59">
        <f t="shared" si="57"/>
        <v>13.698630136986301</v>
      </c>
      <c r="P376" s="59">
        <f t="shared" si="60"/>
        <v>8.2191780821917817</v>
      </c>
    </row>
    <row r="377" spans="12:16" ht="15" hidden="1" customHeight="1">
      <c r="L377" s="58">
        <f t="shared" si="58"/>
        <v>46609</v>
      </c>
      <c r="M377" s="59">
        <f t="shared" si="56"/>
        <v>0</v>
      </c>
      <c r="N377" s="59">
        <f t="shared" si="59"/>
        <v>100000</v>
      </c>
      <c r="O377" s="59">
        <f t="shared" si="57"/>
        <v>13.698630136986301</v>
      </c>
      <c r="P377" s="59">
        <f t="shared" si="60"/>
        <v>8.2191780821917817</v>
      </c>
    </row>
    <row r="378" spans="12:16" ht="15" hidden="1" customHeight="1">
      <c r="L378" s="58">
        <f t="shared" si="58"/>
        <v>46610</v>
      </c>
      <c r="M378" s="59">
        <f t="shared" si="56"/>
        <v>0</v>
      </c>
      <c r="N378" s="59">
        <f t="shared" si="59"/>
        <v>100000</v>
      </c>
      <c r="O378" s="59">
        <f t="shared" si="57"/>
        <v>13.698630136986301</v>
      </c>
      <c r="P378" s="59">
        <f t="shared" si="60"/>
        <v>8.2191780821917817</v>
      </c>
    </row>
    <row r="379" spans="12:16" ht="15" hidden="1" customHeight="1">
      <c r="L379" s="58">
        <f t="shared" si="58"/>
        <v>46611</v>
      </c>
      <c r="M379" s="59">
        <f t="shared" si="56"/>
        <v>0</v>
      </c>
      <c r="N379" s="59">
        <f t="shared" si="59"/>
        <v>100000</v>
      </c>
      <c r="O379" s="59">
        <f t="shared" si="57"/>
        <v>13.698630136986301</v>
      </c>
      <c r="P379" s="59">
        <f t="shared" si="60"/>
        <v>8.2191780821917817</v>
      </c>
    </row>
    <row r="380" spans="12:16" ht="15" hidden="1" customHeight="1">
      <c r="L380" s="58">
        <f t="shared" si="58"/>
        <v>46612</v>
      </c>
      <c r="M380" s="59">
        <f t="shared" si="56"/>
        <v>0</v>
      </c>
      <c r="N380" s="59">
        <f t="shared" si="59"/>
        <v>100000</v>
      </c>
      <c r="O380" s="59">
        <f t="shared" si="57"/>
        <v>13.698630136986301</v>
      </c>
      <c r="P380" s="59">
        <f t="shared" si="60"/>
        <v>8.2191780821917817</v>
      </c>
    </row>
    <row r="381" spans="12:16" ht="15" hidden="1" customHeight="1">
      <c r="L381" s="58">
        <f t="shared" si="58"/>
        <v>46613</v>
      </c>
      <c r="M381" s="59">
        <f t="shared" si="56"/>
        <v>0</v>
      </c>
      <c r="N381" s="59">
        <f t="shared" si="59"/>
        <v>100000</v>
      </c>
      <c r="O381" s="59">
        <f t="shared" si="57"/>
        <v>13.698630136986301</v>
      </c>
      <c r="P381" s="59">
        <f t="shared" si="60"/>
        <v>8.2191780821917817</v>
      </c>
    </row>
    <row r="382" spans="12:16" ht="15" hidden="1" customHeight="1">
      <c r="L382" s="58">
        <f t="shared" si="58"/>
        <v>46614</v>
      </c>
      <c r="M382" s="59">
        <f t="shared" si="56"/>
        <v>0</v>
      </c>
      <c r="N382" s="59">
        <f t="shared" si="59"/>
        <v>100000</v>
      </c>
      <c r="O382" s="59">
        <f t="shared" si="57"/>
        <v>13.698630136986301</v>
      </c>
      <c r="P382" s="59">
        <f t="shared" si="60"/>
        <v>8.2191780821917817</v>
      </c>
    </row>
    <row r="383" spans="12:16" ht="15" hidden="1" customHeight="1">
      <c r="L383" s="58">
        <f t="shared" si="58"/>
        <v>46615</v>
      </c>
      <c r="M383" s="59">
        <f t="shared" si="56"/>
        <v>0</v>
      </c>
      <c r="N383" s="59">
        <f t="shared" si="59"/>
        <v>100000</v>
      </c>
      <c r="O383" s="59">
        <f t="shared" si="57"/>
        <v>13.698630136986301</v>
      </c>
      <c r="P383" s="59">
        <f t="shared" si="60"/>
        <v>8.2191780821917817</v>
      </c>
    </row>
    <row r="384" spans="12:16" ht="15" hidden="1" customHeight="1">
      <c r="L384" s="58">
        <f t="shared" si="58"/>
        <v>46616</v>
      </c>
      <c r="M384" s="59">
        <f t="shared" si="56"/>
        <v>0</v>
      </c>
      <c r="N384" s="59">
        <f t="shared" si="59"/>
        <v>100000</v>
      </c>
      <c r="O384" s="59">
        <f t="shared" si="57"/>
        <v>13.698630136986301</v>
      </c>
      <c r="P384" s="59">
        <f t="shared" si="60"/>
        <v>8.2191780821917817</v>
      </c>
    </row>
    <row r="385" spans="12:16" ht="15" hidden="1" customHeight="1">
      <c r="L385" s="58">
        <f t="shared" si="58"/>
        <v>46617</v>
      </c>
      <c r="M385" s="59">
        <f t="shared" si="56"/>
        <v>0</v>
      </c>
      <c r="N385" s="59">
        <f t="shared" si="59"/>
        <v>100000</v>
      </c>
      <c r="O385" s="59">
        <f t="shared" si="57"/>
        <v>13.698630136986301</v>
      </c>
      <c r="P385" s="59">
        <f t="shared" si="60"/>
        <v>8.2191780821917817</v>
      </c>
    </row>
    <row r="386" spans="12:16" ht="15" hidden="1" customHeight="1">
      <c r="L386" s="58">
        <f t="shared" si="58"/>
        <v>46618</v>
      </c>
      <c r="M386" s="59">
        <f t="shared" si="56"/>
        <v>0</v>
      </c>
      <c r="N386" s="59">
        <f t="shared" si="59"/>
        <v>100000</v>
      </c>
      <c r="O386" s="59">
        <f t="shared" si="57"/>
        <v>13.698630136986301</v>
      </c>
      <c r="P386" s="59">
        <f t="shared" si="60"/>
        <v>8.2191780821917817</v>
      </c>
    </row>
    <row r="387" spans="12:16" ht="15" hidden="1" customHeight="1">
      <c r="L387" s="58">
        <f t="shared" si="58"/>
        <v>46619</v>
      </c>
      <c r="M387" s="59">
        <f t="shared" si="56"/>
        <v>0</v>
      </c>
      <c r="N387" s="59">
        <f t="shared" si="59"/>
        <v>100000</v>
      </c>
      <c r="O387" s="59">
        <f t="shared" si="57"/>
        <v>13.698630136986301</v>
      </c>
      <c r="P387" s="59">
        <f t="shared" si="60"/>
        <v>8.2191780821917817</v>
      </c>
    </row>
    <row r="388" spans="12:16" ht="15" hidden="1" customHeight="1">
      <c r="L388" s="58">
        <f t="shared" si="58"/>
        <v>46620</v>
      </c>
      <c r="M388" s="59">
        <f t="shared" si="56"/>
        <v>0</v>
      </c>
      <c r="N388" s="59">
        <f t="shared" si="59"/>
        <v>100000</v>
      </c>
      <c r="O388" s="59">
        <f t="shared" si="57"/>
        <v>13.698630136986301</v>
      </c>
      <c r="P388" s="59">
        <f t="shared" si="60"/>
        <v>8.2191780821917817</v>
      </c>
    </row>
    <row r="389" spans="12:16" ht="15" hidden="1" customHeight="1">
      <c r="L389" s="58">
        <f t="shared" si="58"/>
        <v>46621</v>
      </c>
      <c r="M389" s="59">
        <f t="shared" si="56"/>
        <v>0</v>
      </c>
      <c r="N389" s="59">
        <f t="shared" si="59"/>
        <v>100000</v>
      </c>
      <c r="O389" s="59">
        <f t="shared" si="57"/>
        <v>13.698630136986301</v>
      </c>
      <c r="P389" s="59">
        <f t="shared" si="60"/>
        <v>8.2191780821917817</v>
      </c>
    </row>
    <row r="390" spans="12:16" ht="15" hidden="1" customHeight="1">
      <c r="L390" s="58">
        <f t="shared" si="58"/>
        <v>46622</v>
      </c>
      <c r="M390" s="59">
        <f t="shared" si="56"/>
        <v>0</v>
      </c>
      <c r="N390" s="59">
        <f t="shared" si="59"/>
        <v>100000</v>
      </c>
      <c r="O390" s="59">
        <f t="shared" si="57"/>
        <v>13.698630136986301</v>
      </c>
      <c r="P390" s="59">
        <f t="shared" si="60"/>
        <v>8.2191780821917817</v>
      </c>
    </row>
    <row r="391" spans="12:16" ht="15" hidden="1" customHeight="1">
      <c r="L391" s="58">
        <f t="shared" si="58"/>
        <v>46623</v>
      </c>
      <c r="M391" s="59">
        <f t="shared" si="56"/>
        <v>0</v>
      </c>
      <c r="N391" s="59">
        <f t="shared" si="59"/>
        <v>100000</v>
      </c>
      <c r="O391" s="59">
        <f t="shared" si="57"/>
        <v>13.698630136986301</v>
      </c>
      <c r="P391" s="59">
        <f t="shared" si="60"/>
        <v>8.2191780821917817</v>
      </c>
    </row>
    <row r="392" spans="12:16" ht="15" hidden="1" customHeight="1">
      <c r="L392" s="58">
        <f t="shared" si="58"/>
        <v>46624</v>
      </c>
      <c r="M392" s="59">
        <f t="shared" si="56"/>
        <v>0</v>
      </c>
      <c r="N392" s="59">
        <f t="shared" si="59"/>
        <v>100000</v>
      </c>
      <c r="O392" s="59">
        <f t="shared" si="57"/>
        <v>13.698630136986301</v>
      </c>
      <c r="P392" s="59">
        <f t="shared" si="60"/>
        <v>8.2191780821917817</v>
      </c>
    </row>
    <row r="393" spans="12:16" ht="15" hidden="1" customHeight="1">
      <c r="L393" s="58">
        <f t="shared" si="58"/>
        <v>46625</v>
      </c>
      <c r="M393" s="59">
        <f t="shared" si="56"/>
        <v>0</v>
      </c>
      <c r="N393" s="59">
        <f t="shared" si="59"/>
        <v>100000</v>
      </c>
      <c r="O393" s="59">
        <f t="shared" si="57"/>
        <v>13.698630136986301</v>
      </c>
      <c r="P393" s="59">
        <f t="shared" si="60"/>
        <v>8.2191780821917817</v>
      </c>
    </row>
    <row r="394" spans="12:16" ht="15" hidden="1" customHeight="1">
      <c r="L394" s="58">
        <f t="shared" si="58"/>
        <v>46626</v>
      </c>
      <c r="M394" s="59">
        <f t="shared" si="56"/>
        <v>0</v>
      </c>
      <c r="N394" s="59">
        <f t="shared" si="59"/>
        <v>100000</v>
      </c>
      <c r="O394" s="59">
        <f t="shared" si="57"/>
        <v>13.698630136986301</v>
      </c>
      <c r="P394" s="59">
        <f t="shared" si="60"/>
        <v>8.2191780821917817</v>
      </c>
    </row>
    <row r="395" spans="12:16" ht="15" hidden="1" customHeight="1">
      <c r="L395" s="58">
        <f t="shared" si="58"/>
        <v>46627</v>
      </c>
      <c r="M395" s="59">
        <f t="shared" si="56"/>
        <v>0</v>
      </c>
      <c r="N395" s="59">
        <f t="shared" si="59"/>
        <v>100000</v>
      </c>
      <c r="O395" s="59">
        <f t="shared" si="57"/>
        <v>13.698630136986301</v>
      </c>
      <c r="P395" s="59">
        <f t="shared" si="60"/>
        <v>8.2191780821917817</v>
      </c>
    </row>
    <row r="396" spans="12:16" ht="15" hidden="1" customHeight="1">
      <c r="L396" s="58">
        <f t="shared" si="58"/>
        <v>46628</v>
      </c>
      <c r="M396" s="59">
        <f t="shared" si="56"/>
        <v>0</v>
      </c>
      <c r="N396" s="59">
        <f t="shared" si="59"/>
        <v>100000</v>
      </c>
      <c r="O396" s="59">
        <f t="shared" si="57"/>
        <v>13.698630136986301</v>
      </c>
      <c r="P396" s="59">
        <f t="shared" si="60"/>
        <v>8.2191780821917817</v>
      </c>
    </row>
    <row r="397" spans="12:16" ht="15" hidden="1" customHeight="1">
      <c r="L397" s="58">
        <f t="shared" si="58"/>
        <v>46629</v>
      </c>
      <c r="M397" s="59">
        <f t="shared" si="56"/>
        <v>0</v>
      </c>
      <c r="N397" s="59">
        <f t="shared" si="59"/>
        <v>100000</v>
      </c>
      <c r="O397" s="59">
        <f t="shared" si="57"/>
        <v>13.698630136986301</v>
      </c>
      <c r="P397" s="59">
        <f t="shared" si="60"/>
        <v>8.2191780821917817</v>
      </c>
    </row>
    <row r="398" spans="12:16" ht="15" hidden="1" customHeight="1">
      <c r="L398" s="58">
        <f t="shared" si="58"/>
        <v>46630</v>
      </c>
      <c r="M398" s="59">
        <f t="shared" si="56"/>
        <v>0</v>
      </c>
      <c r="N398" s="59">
        <f t="shared" si="59"/>
        <v>100000</v>
      </c>
      <c r="O398" s="59">
        <f t="shared" si="57"/>
        <v>13.698630136986301</v>
      </c>
      <c r="P398" s="59">
        <f t="shared" si="60"/>
        <v>8.2191780821917817</v>
      </c>
    </row>
    <row r="399" spans="12:16" ht="15" hidden="1" customHeight="1">
      <c r="L399" s="58">
        <f t="shared" si="58"/>
        <v>46631</v>
      </c>
      <c r="M399" s="59">
        <f t="shared" si="56"/>
        <v>0</v>
      </c>
      <c r="N399" s="59">
        <f t="shared" si="59"/>
        <v>100000</v>
      </c>
      <c r="O399" s="59">
        <f t="shared" si="57"/>
        <v>13.698630136986301</v>
      </c>
      <c r="P399" s="59">
        <f t="shared" si="60"/>
        <v>8.2191780821917817</v>
      </c>
    </row>
    <row r="400" spans="12:16" ht="15" hidden="1" customHeight="1">
      <c r="L400" s="58">
        <f t="shared" si="58"/>
        <v>46632</v>
      </c>
      <c r="M400" s="59">
        <f t="shared" si="56"/>
        <v>0</v>
      </c>
      <c r="N400" s="59">
        <f t="shared" si="59"/>
        <v>100000</v>
      </c>
      <c r="O400" s="59">
        <f t="shared" si="57"/>
        <v>13.698630136986301</v>
      </c>
      <c r="P400" s="59">
        <f t="shared" si="60"/>
        <v>8.2191780821917817</v>
      </c>
    </row>
    <row r="401" spans="12:16" ht="15" hidden="1" customHeight="1">
      <c r="L401" s="58">
        <f t="shared" si="58"/>
        <v>46633</v>
      </c>
      <c r="M401" s="59">
        <f t="shared" si="56"/>
        <v>0</v>
      </c>
      <c r="N401" s="59">
        <f t="shared" si="59"/>
        <v>100000</v>
      </c>
      <c r="O401" s="59">
        <f t="shared" si="57"/>
        <v>13.698630136986301</v>
      </c>
      <c r="P401" s="59">
        <f t="shared" si="60"/>
        <v>8.2191780821917817</v>
      </c>
    </row>
    <row r="402" spans="12:16" ht="15" hidden="1" customHeight="1">
      <c r="L402" s="58">
        <f t="shared" si="58"/>
        <v>46634</v>
      </c>
      <c r="M402" s="59">
        <f t="shared" si="56"/>
        <v>0</v>
      </c>
      <c r="N402" s="59">
        <f t="shared" si="59"/>
        <v>100000</v>
      </c>
      <c r="O402" s="59">
        <f t="shared" si="57"/>
        <v>13.698630136986301</v>
      </c>
      <c r="P402" s="59">
        <f t="shared" si="60"/>
        <v>8.2191780821917817</v>
      </c>
    </row>
    <row r="403" spans="12:16" ht="15" hidden="1" customHeight="1">
      <c r="L403" s="58">
        <f t="shared" si="58"/>
        <v>46635</v>
      </c>
      <c r="M403" s="59">
        <f t="shared" ref="M403:M466" si="61">IFERROR(VLOOKUP(L403,$B$19:$E$80,4,FALSE),0)</f>
        <v>0</v>
      </c>
      <c r="N403" s="59">
        <f t="shared" si="59"/>
        <v>100000</v>
      </c>
      <c r="O403" s="59">
        <f t="shared" ref="O403:O466" si="62">IFERROR(IF(ISNUMBER(N402),N402,$E$8)*IF(L403&gt;=$J$8,$E$12,$E$12)/IF(MOD(YEAR(L403),4),365,366)*IF(ISBLANK(L402),L403-$F$5,L403-L402),0)</f>
        <v>13.698630136986301</v>
      </c>
      <c r="P403" s="59">
        <f t="shared" si="60"/>
        <v>8.2191780821917817</v>
      </c>
    </row>
    <row r="404" spans="12:16" ht="15" hidden="1" customHeight="1">
      <c r="L404" s="58">
        <f t="shared" si="58"/>
        <v>46636</v>
      </c>
      <c r="M404" s="59">
        <f t="shared" si="61"/>
        <v>0</v>
      </c>
      <c r="N404" s="59">
        <f t="shared" si="59"/>
        <v>100000</v>
      </c>
      <c r="O404" s="59">
        <f t="shared" si="62"/>
        <v>13.698630136986301</v>
      </c>
      <c r="P404" s="59">
        <f t="shared" si="60"/>
        <v>8.2191780821917817</v>
      </c>
    </row>
    <row r="405" spans="12:16" ht="15" hidden="1" customHeight="1">
      <c r="L405" s="58">
        <f t="shared" si="58"/>
        <v>46637</v>
      </c>
      <c r="M405" s="59">
        <f t="shared" si="61"/>
        <v>0</v>
      </c>
      <c r="N405" s="59">
        <f t="shared" si="59"/>
        <v>100000</v>
      </c>
      <c r="O405" s="59">
        <f t="shared" si="62"/>
        <v>13.698630136986301</v>
      </c>
      <c r="P405" s="59">
        <f t="shared" si="60"/>
        <v>8.2191780821917817</v>
      </c>
    </row>
    <row r="406" spans="12:16" ht="15" hidden="1" customHeight="1">
      <c r="L406" s="58">
        <f t="shared" si="58"/>
        <v>46638</v>
      </c>
      <c r="M406" s="59">
        <f t="shared" si="61"/>
        <v>0</v>
      </c>
      <c r="N406" s="59">
        <f t="shared" si="59"/>
        <v>100000</v>
      </c>
      <c r="O406" s="59">
        <f t="shared" si="62"/>
        <v>13.698630136986301</v>
      </c>
      <c r="P406" s="59">
        <f t="shared" si="60"/>
        <v>8.2191780821917817</v>
      </c>
    </row>
    <row r="407" spans="12:16" ht="15" hidden="1" customHeight="1">
      <c r="L407" s="58">
        <f t="shared" si="58"/>
        <v>46639</v>
      </c>
      <c r="M407" s="59">
        <f t="shared" si="61"/>
        <v>0</v>
      </c>
      <c r="N407" s="59">
        <f t="shared" si="59"/>
        <v>100000</v>
      </c>
      <c r="O407" s="59">
        <f t="shared" si="62"/>
        <v>13.698630136986301</v>
      </c>
      <c r="P407" s="59">
        <f t="shared" si="60"/>
        <v>8.2191780821917817</v>
      </c>
    </row>
    <row r="408" spans="12:16" ht="15" hidden="1" customHeight="1">
      <c r="L408" s="58">
        <f t="shared" si="58"/>
        <v>46640</v>
      </c>
      <c r="M408" s="59">
        <f t="shared" si="61"/>
        <v>0</v>
      </c>
      <c r="N408" s="59">
        <f t="shared" si="59"/>
        <v>100000</v>
      </c>
      <c r="O408" s="59">
        <f t="shared" si="62"/>
        <v>13.698630136986301</v>
      </c>
      <c r="P408" s="59">
        <f t="shared" si="60"/>
        <v>8.2191780821917817</v>
      </c>
    </row>
    <row r="409" spans="12:16" ht="15" hidden="1" customHeight="1">
      <c r="L409" s="58">
        <f t="shared" si="58"/>
        <v>46641</v>
      </c>
      <c r="M409" s="59">
        <f t="shared" si="61"/>
        <v>0</v>
      </c>
      <c r="N409" s="59">
        <f t="shared" si="59"/>
        <v>100000</v>
      </c>
      <c r="O409" s="59">
        <f t="shared" si="62"/>
        <v>13.698630136986301</v>
      </c>
      <c r="P409" s="59">
        <f t="shared" si="60"/>
        <v>8.2191780821917817</v>
      </c>
    </row>
    <row r="410" spans="12:16" ht="15" hidden="1" customHeight="1">
      <c r="L410" s="58">
        <f t="shared" si="58"/>
        <v>46642</v>
      </c>
      <c r="M410" s="59">
        <f t="shared" si="61"/>
        <v>0</v>
      </c>
      <c r="N410" s="59">
        <f t="shared" si="59"/>
        <v>100000</v>
      </c>
      <c r="O410" s="59">
        <f t="shared" si="62"/>
        <v>13.698630136986301</v>
      </c>
      <c r="P410" s="59">
        <f t="shared" si="60"/>
        <v>8.2191780821917817</v>
      </c>
    </row>
    <row r="411" spans="12:16" ht="15" hidden="1" customHeight="1">
      <c r="L411" s="58">
        <f t="shared" si="58"/>
        <v>46643</v>
      </c>
      <c r="M411" s="59">
        <f t="shared" si="61"/>
        <v>0</v>
      </c>
      <c r="N411" s="59">
        <f t="shared" si="59"/>
        <v>100000</v>
      </c>
      <c r="O411" s="59">
        <f t="shared" si="62"/>
        <v>13.698630136986301</v>
      </c>
      <c r="P411" s="59">
        <f t="shared" si="60"/>
        <v>8.2191780821917817</v>
      </c>
    </row>
    <row r="412" spans="12:16" ht="15" hidden="1" customHeight="1">
      <c r="L412" s="58">
        <f t="shared" si="58"/>
        <v>46644</v>
      </c>
      <c r="M412" s="59">
        <f t="shared" si="61"/>
        <v>0</v>
      </c>
      <c r="N412" s="59">
        <f t="shared" si="59"/>
        <v>100000</v>
      </c>
      <c r="O412" s="59">
        <f t="shared" si="62"/>
        <v>13.698630136986301</v>
      </c>
      <c r="P412" s="59">
        <f t="shared" si="60"/>
        <v>8.2191780821917817</v>
      </c>
    </row>
    <row r="413" spans="12:16" ht="15" hidden="1" customHeight="1">
      <c r="L413" s="58">
        <f t="shared" si="58"/>
        <v>46645</v>
      </c>
      <c r="M413" s="59">
        <f t="shared" si="61"/>
        <v>0</v>
      </c>
      <c r="N413" s="59">
        <f t="shared" si="59"/>
        <v>100000</v>
      </c>
      <c r="O413" s="59">
        <f t="shared" si="62"/>
        <v>13.698630136986301</v>
      </c>
      <c r="P413" s="59">
        <f t="shared" si="60"/>
        <v>8.2191780821917817</v>
      </c>
    </row>
    <row r="414" spans="12:16" ht="15" hidden="1" customHeight="1">
      <c r="L414" s="58">
        <f t="shared" si="58"/>
        <v>46646</v>
      </c>
      <c r="M414" s="59">
        <f t="shared" si="61"/>
        <v>0</v>
      </c>
      <c r="N414" s="59">
        <f t="shared" si="59"/>
        <v>100000</v>
      </c>
      <c r="O414" s="59">
        <f t="shared" si="62"/>
        <v>13.698630136986301</v>
      </c>
      <c r="P414" s="59">
        <f t="shared" si="60"/>
        <v>8.2191780821917817</v>
      </c>
    </row>
    <row r="415" spans="12:16" ht="15" hidden="1" customHeight="1">
      <c r="L415" s="58">
        <f t="shared" si="58"/>
        <v>46647</v>
      </c>
      <c r="M415" s="59">
        <f t="shared" si="61"/>
        <v>0</v>
      </c>
      <c r="N415" s="59">
        <f t="shared" si="59"/>
        <v>100000</v>
      </c>
      <c r="O415" s="59">
        <f t="shared" si="62"/>
        <v>13.698630136986301</v>
      </c>
      <c r="P415" s="59">
        <f t="shared" si="60"/>
        <v>8.2191780821917817</v>
      </c>
    </row>
    <row r="416" spans="12:16" ht="15" hidden="1" customHeight="1">
      <c r="L416" s="58">
        <f t="shared" si="58"/>
        <v>46648</v>
      </c>
      <c r="M416" s="59">
        <f t="shared" si="61"/>
        <v>0</v>
      </c>
      <c r="N416" s="59">
        <f t="shared" si="59"/>
        <v>100000</v>
      </c>
      <c r="O416" s="59">
        <f t="shared" si="62"/>
        <v>13.698630136986301</v>
      </c>
      <c r="P416" s="59">
        <f t="shared" si="60"/>
        <v>8.2191780821917817</v>
      </c>
    </row>
    <row r="417" spans="12:16" ht="15" hidden="1" customHeight="1">
      <c r="L417" s="58">
        <f t="shared" si="58"/>
        <v>46649</v>
      </c>
      <c r="M417" s="59">
        <f t="shared" si="61"/>
        <v>0</v>
      </c>
      <c r="N417" s="59">
        <f t="shared" si="59"/>
        <v>100000</v>
      </c>
      <c r="O417" s="59">
        <f t="shared" si="62"/>
        <v>13.698630136986301</v>
      </c>
      <c r="P417" s="59">
        <f t="shared" si="60"/>
        <v>8.2191780821917817</v>
      </c>
    </row>
    <row r="418" spans="12:16" ht="15" hidden="1" customHeight="1">
      <c r="L418" s="58">
        <f t="shared" ref="L418:L481" si="63">IFERROR(IF(MAX(L417+1,$F$5+1)&gt;Дата_погашения_Займа,"-",MAX(L417+1,$F$5+1)),"-")</f>
        <v>46650</v>
      </c>
      <c r="M418" s="59">
        <f t="shared" si="61"/>
        <v>0</v>
      </c>
      <c r="N418" s="59">
        <f t="shared" si="59"/>
        <v>100000</v>
      </c>
      <c r="O418" s="59">
        <f t="shared" si="62"/>
        <v>13.698630136986301</v>
      </c>
      <c r="P418" s="59">
        <f t="shared" si="60"/>
        <v>8.2191780821917817</v>
      </c>
    </row>
    <row r="419" spans="12:16" ht="15" hidden="1" customHeight="1">
      <c r="L419" s="58">
        <f t="shared" si="63"/>
        <v>46651</v>
      </c>
      <c r="M419" s="59">
        <f t="shared" si="61"/>
        <v>0</v>
      </c>
      <c r="N419" s="59">
        <f t="shared" si="59"/>
        <v>100000</v>
      </c>
      <c r="O419" s="59">
        <f t="shared" si="62"/>
        <v>13.698630136986301</v>
      </c>
      <c r="P419" s="59">
        <f t="shared" si="60"/>
        <v>8.2191780821917817</v>
      </c>
    </row>
    <row r="420" spans="12:16" ht="15" hidden="1" customHeight="1">
      <c r="L420" s="58">
        <f t="shared" si="63"/>
        <v>46652</v>
      </c>
      <c r="M420" s="59">
        <f t="shared" si="61"/>
        <v>0</v>
      </c>
      <c r="N420" s="59">
        <f t="shared" si="59"/>
        <v>100000</v>
      </c>
      <c r="O420" s="59">
        <f t="shared" si="62"/>
        <v>13.698630136986301</v>
      </c>
      <c r="P420" s="59">
        <f t="shared" si="60"/>
        <v>8.2191780821917817</v>
      </c>
    </row>
    <row r="421" spans="12:16" ht="15" hidden="1" customHeight="1">
      <c r="L421" s="58">
        <f t="shared" si="63"/>
        <v>46653</v>
      </c>
      <c r="M421" s="59">
        <f t="shared" si="61"/>
        <v>0</v>
      </c>
      <c r="N421" s="59">
        <f t="shared" si="59"/>
        <v>100000</v>
      </c>
      <c r="O421" s="59">
        <f t="shared" si="62"/>
        <v>13.698630136986301</v>
      </c>
      <c r="P421" s="59">
        <f t="shared" si="60"/>
        <v>8.2191780821917817</v>
      </c>
    </row>
    <row r="422" spans="12:16" ht="15" hidden="1" customHeight="1">
      <c r="L422" s="58">
        <f t="shared" si="63"/>
        <v>46654</v>
      </c>
      <c r="M422" s="59">
        <f t="shared" si="61"/>
        <v>0</v>
      </c>
      <c r="N422" s="59">
        <f t="shared" si="59"/>
        <v>100000</v>
      </c>
      <c r="O422" s="59">
        <f t="shared" si="62"/>
        <v>13.698630136986301</v>
      </c>
      <c r="P422" s="59">
        <f t="shared" si="60"/>
        <v>8.2191780821917817</v>
      </c>
    </row>
    <row r="423" spans="12:16" ht="15" hidden="1" customHeight="1">
      <c r="L423" s="58">
        <f t="shared" si="63"/>
        <v>46655</v>
      </c>
      <c r="M423" s="59">
        <f t="shared" si="61"/>
        <v>0</v>
      </c>
      <c r="N423" s="59">
        <f t="shared" si="59"/>
        <v>100000</v>
      </c>
      <c r="O423" s="59">
        <f t="shared" si="62"/>
        <v>13.698630136986301</v>
      </c>
      <c r="P423" s="59">
        <f t="shared" si="60"/>
        <v>8.2191780821917817</v>
      </c>
    </row>
    <row r="424" spans="12:16" ht="15" hidden="1" customHeight="1">
      <c r="L424" s="58">
        <f t="shared" si="63"/>
        <v>46656</v>
      </c>
      <c r="M424" s="59">
        <f t="shared" si="61"/>
        <v>0</v>
      </c>
      <c r="N424" s="59">
        <f t="shared" si="59"/>
        <v>100000</v>
      </c>
      <c r="O424" s="59">
        <f t="shared" si="62"/>
        <v>13.698630136986301</v>
      </c>
      <c r="P424" s="59">
        <f t="shared" si="60"/>
        <v>8.2191780821917817</v>
      </c>
    </row>
    <row r="425" spans="12:16" ht="15" hidden="1" customHeight="1">
      <c r="L425" s="58">
        <f t="shared" si="63"/>
        <v>46657</v>
      </c>
      <c r="M425" s="59">
        <f t="shared" si="61"/>
        <v>0</v>
      </c>
      <c r="N425" s="59">
        <f t="shared" si="59"/>
        <v>100000</v>
      </c>
      <c r="O425" s="59">
        <f t="shared" si="62"/>
        <v>13.698630136986301</v>
      </c>
      <c r="P425" s="59">
        <f t="shared" si="60"/>
        <v>8.2191780821917817</v>
      </c>
    </row>
    <row r="426" spans="12:16" ht="15" hidden="1" customHeight="1">
      <c r="L426" s="58">
        <f t="shared" si="63"/>
        <v>46658</v>
      </c>
      <c r="M426" s="59">
        <f t="shared" si="61"/>
        <v>0</v>
      </c>
      <c r="N426" s="59">
        <f t="shared" si="59"/>
        <v>100000</v>
      </c>
      <c r="O426" s="59">
        <f t="shared" si="62"/>
        <v>13.698630136986301</v>
      </c>
      <c r="P426" s="59">
        <f t="shared" si="60"/>
        <v>8.2191780821917817</v>
      </c>
    </row>
    <row r="427" spans="12:16" ht="15" hidden="1" customHeight="1">
      <c r="L427" s="58">
        <f t="shared" si="63"/>
        <v>46659</v>
      </c>
      <c r="M427" s="59">
        <f t="shared" si="61"/>
        <v>0</v>
      </c>
      <c r="N427" s="59">
        <f t="shared" si="59"/>
        <v>100000</v>
      </c>
      <c r="O427" s="59">
        <f t="shared" si="62"/>
        <v>13.698630136986301</v>
      </c>
      <c r="P427" s="59">
        <f t="shared" si="60"/>
        <v>8.2191780821917817</v>
      </c>
    </row>
    <row r="428" spans="12:16" ht="15" hidden="1" customHeight="1">
      <c r="L428" s="58">
        <f t="shared" si="63"/>
        <v>46660</v>
      </c>
      <c r="M428" s="59">
        <f t="shared" si="61"/>
        <v>0</v>
      </c>
      <c r="N428" s="59">
        <f t="shared" si="59"/>
        <v>100000</v>
      </c>
      <c r="O428" s="59">
        <f t="shared" si="62"/>
        <v>13.698630136986301</v>
      </c>
      <c r="P428" s="59">
        <f t="shared" si="60"/>
        <v>8.2191780821917817</v>
      </c>
    </row>
    <row r="429" spans="12:16" ht="15" hidden="1" customHeight="1">
      <c r="L429" s="58">
        <f t="shared" si="63"/>
        <v>46661</v>
      </c>
      <c r="M429" s="59">
        <f t="shared" si="61"/>
        <v>0</v>
      </c>
      <c r="N429" s="59">
        <f t="shared" si="59"/>
        <v>100000</v>
      </c>
      <c r="O429" s="59">
        <f t="shared" si="62"/>
        <v>13.698630136986301</v>
      </c>
      <c r="P429" s="59">
        <f t="shared" si="60"/>
        <v>8.2191780821917817</v>
      </c>
    </row>
    <row r="430" spans="12:16" ht="15" hidden="1" customHeight="1">
      <c r="L430" s="58">
        <f t="shared" si="63"/>
        <v>46662</v>
      </c>
      <c r="M430" s="59">
        <f t="shared" si="61"/>
        <v>0</v>
      </c>
      <c r="N430" s="59">
        <f t="shared" si="59"/>
        <v>100000</v>
      </c>
      <c r="O430" s="59">
        <f t="shared" si="62"/>
        <v>13.698630136986301</v>
      </c>
      <c r="P430" s="59">
        <f t="shared" si="60"/>
        <v>8.2191780821917817</v>
      </c>
    </row>
    <row r="431" spans="12:16" ht="15" hidden="1" customHeight="1">
      <c r="L431" s="58">
        <f t="shared" si="63"/>
        <v>46663</v>
      </c>
      <c r="M431" s="59">
        <f t="shared" si="61"/>
        <v>0</v>
      </c>
      <c r="N431" s="59">
        <f t="shared" si="59"/>
        <v>100000</v>
      </c>
      <c r="O431" s="59">
        <f t="shared" si="62"/>
        <v>13.698630136986301</v>
      </c>
      <c r="P431" s="59">
        <f t="shared" si="60"/>
        <v>8.2191780821917817</v>
      </c>
    </row>
    <row r="432" spans="12:16" ht="15" hidden="1" customHeight="1">
      <c r="L432" s="58">
        <f t="shared" si="63"/>
        <v>46664</v>
      </c>
      <c r="M432" s="59">
        <f t="shared" si="61"/>
        <v>0</v>
      </c>
      <c r="N432" s="59">
        <f t="shared" ref="N432:N495" si="64">IF(ISNUMBER(N431),N431-M432,$E$8)</f>
        <v>100000</v>
      </c>
      <c r="O432" s="59">
        <f t="shared" si="62"/>
        <v>13.698630136986301</v>
      </c>
      <c r="P432" s="59">
        <f t="shared" ref="P432:P495" si="65">IFERROR(IF(ISNUMBER(N431),N431,$E$8)*3%/IF(MOD(YEAR(L432),4),365,366)*IF(ISBLANK(L431),(L432-$F$5),L432-L431),0)</f>
        <v>8.2191780821917817</v>
      </c>
    </row>
    <row r="433" spans="12:16" ht="15" hidden="1" customHeight="1">
      <c r="L433" s="58">
        <f t="shared" si="63"/>
        <v>46665</v>
      </c>
      <c r="M433" s="59">
        <f t="shared" si="61"/>
        <v>0</v>
      </c>
      <c r="N433" s="59">
        <f t="shared" si="64"/>
        <v>100000</v>
      </c>
      <c r="O433" s="59">
        <f t="shared" si="62"/>
        <v>13.698630136986301</v>
      </c>
      <c r="P433" s="59">
        <f t="shared" si="65"/>
        <v>8.2191780821917817</v>
      </c>
    </row>
    <row r="434" spans="12:16" ht="15" hidden="1" customHeight="1">
      <c r="L434" s="58">
        <f t="shared" si="63"/>
        <v>46666</v>
      </c>
      <c r="M434" s="59">
        <f t="shared" si="61"/>
        <v>0</v>
      </c>
      <c r="N434" s="59">
        <f t="shared" si="64"/>
        <v>100000</v>
      </c>
      <c r="O434" s="59">
        <f t="shared" si="62"/>
        <v>13.698630136986301</v>
      </c>
      <c r="P434" s="59">
        <f t="shared" si="65"/>
        <v>8.2191780821917817</v>
      </c>
    </row>
    <row r="435" spans="12:16" ht="15" hidden="1" customHeight="1">
      <c r="L435" s="58">
        <f t="shared" si="63"/>
        <v>46667</v>
      </c>
      <c r="M435" s="59">
        <f t="shared" si="61"/>
        <v>0</v>
      </c>
      <c r="N435" s="59">
        <f t="shared" si="64"/>
        <v>100000</v>
      </c>
      <c r="O435" s="59">
        <f t="shared" si="62"/>
        <v>13.698630136986301</v>
      </c>
      <c r="P435" s="59">
        <f t="shared" si="65"/>
        <v>8.2191780821917817</v>
      </c>
    </row>
    <row r="436" spans="12:16" ht="15" hidden="1" customHeight="1">
      <c r="L436" s="58">
        <f t="shared" si="63"/>
        <v>46668</v>
      </c>
      <c r="M436" s="59">
        <f t="shared" si="61"/>
        <v>0</v>
      </c>
      <c r="N436" s="59">
        <f t="shared" si="64"/>
        <v>100000</v>
      </c>
      <c r="O436" s="59">
        <f t="shared" si="62"/>
        <v>13.698630136986301</v>
      </c>
      <c r="P436" s="59">
        <f t="shared" si="65"/>
        <v>8.2191780821917817</v>
      </c>
    </row>
    <row r="437" spans="12:16" ht="15" hidden="1" customHeight="1">
      <c r="L437" s="58">
        <f t="shared" si="63"/>
        <v>46669</v>
      </c>
      <c r="M437" s="59">
        <f t="shared" si="61"/>
        <v>0</v>
      </c>
      <c r="N437" s="59">
        <f t="shared" si="64"/>
        <v>100000</v>
      </c>
      <c r="O437" s="59">
        <f t="shared" si="62"/>
        <v>13.698630136986301</v>
      </c>
      <c r="P437" s="59">
        <f t="shared" si="65"/>
        <v>8.2191780821917817</v>
      </c>
    </row>
    <row r="438" spans="12:16" ht="15" hidden="1" customHeight="1">
      <c r="L438" s="58">
        <f t="shared" si="63"/>
        <v>46670</v>
      </c>
      <c r="M438" s="59">
        <f t="shared" si="61"/>
        <v>0</v>
      </c>
      <c r="N438" s="59">
        <f t="shared" si="64"/>
        <v>100000</v>
      </c>
      <c r="O438" s="59">
        <f t="shared" si="62"/>
        <v>13.698630136986301</v>
      </c>
      <c r="P438" s="59">
        <f t="shared" si="65"/>
        <v>8.2191780821917817</v>
      </c>
    </row>
    <row r="439" spans="12:16" ht="15" hidden="1" customHeight="1">
      <c r="L439" s="58">
        <f t="shared" si="63"/>
        <v>46671</v>
      </c>
      <c r="M439" s="59">
        <f t="shared" si="61"/>
        <v>0</v>
      </c>
      <c r="N439" s="59">
        <f t="shared" si="64"/>
        <v>100000</v>
      </c>
      <c r="O439" s="59">
        <f t="shared" si="62"/>
        <v>13.698630136986301</v>
      </c>
      <c r="P439" s="59">
        <f t="shared" si="65"/>
        <v>8.2191780821917817</v>
      </c>
    </row>
    <row r="440" spans="12:16" ht="15" hidden="1" customHeight="1">
      <c r="L440" s="58">
        <f t="shared" si="63"/>
        <v>46672</v>
      </c>
      <c r="M440" s="59">
        <f t="shared" si="61"/>
        <v>0</v>
      </c>
      <c r="N440" s="59">
        <f t="shared" si="64"/>
        <v>100000</v>
      </c>
      <c r="O440" s="59">
        <f t="shared" si="62"/>
        <v>13.698630136986301</v>
      </c>
      <c r="P440" s="59">
        <f t="shared" si="65"/>
        <v>8.2191780821917817</v>
      </c>
    </row>
    <row r="441" spans="12:16" ht="15" hidden="1" customHeight="1">
      <c r="L441" s="58">
        <f t="shared" si="63"/>
        <v>46673</v>
      </c>
      <c r="M441" s="59">
        <f t="shared" si="61"/>
        <v>0</v>
      </c>
      <c r="N441" s="59">
        <f t="shared" si="64"/>
        <v>100000</v>
      </c>
      <c r="O441" s="59">
        <f t="shared" si="62"/>
        <v>13.698630136986301</v>
      </c>
      <c r="P441" s="59">
        <f t="shared" si="65"/>
        <v>8.2191780821917817</v>
      </c>
    </row>
    <row r="442" spans="12:16" ht="15" hidden="1" customHeight="1">
      <c r="L442" s="58">
        <f t="shared" si="63"/>
        <v>46674</v>
      </c>
      <c r="M442" s="59">
        <f t="shared" si="61"/>
        <v>0</v>
      </c>
      <c r="N442" s="59">
        <f t="shared" si="64"/>
        <v>100000</v>
      </c>
      <c r="O442" s="59">
        <f t="shared" si="62"/>
        <v>13.698630136986301</v>
      </c>
      <c r="P442" s="59">
        <f t="shared" si="65"/>
        <v>8.2191780821917817</v>
      </c>
    </row>
    <row r="443" spans="12:16" ht="15" hidden="1" customHeight="1">
      <c r="L443" s="58">
        <f t="shared" si="63"/>
        <v>46675</v>
      </c>
      <c r="M443" s="59">
        <f t="shared" si="61"/>
        <v>0</v>
      </c>
      <c r="N443" s="59">
        <f t="shared" si="64"/>
        <v>100000</v>
      </c>
      <c r="O443" s="59">
        <f t="shared" si="62"/>
        <v>13.698630136986301</v>
      </c>
      <c r="P443" s="59">
        <f t="shared" si="65"/>
        <v>8.2191780821917817</v>
      </c>
    </row>
    <row r="444" spans="12:16" ht="15" hidden="1" customHeight="1">
      <c r="L444" s="58">
        <f t="shared" si="63"/>
        <v>46676</v>
      </c>
      <c r="M444" s="59">
        <f t="shared" si="61"/>
        <v>0</v>
      </c>
      <c r="N444" s="59">
        <f t="shared" si="64"/>
        <v>100000</v>
      </c>
      <c r="O444" s="59">
        <f t="shared" si="62"/>
        <v>13.698630136986301</v>
      </c>
      <c r="P444" s="59">
        <f t="shared" si="65"/>
        <v>8.2191780821917817</v>
      </c>
    </row>
    <row r="445" spans="12:16" ht="15" hidden="1" customHeight="1">
      <c r="L445" s="58">
        <f t="shared" si="63"/>
        <v>46677</v>
      </c>
      <c r="M445" s="59">
        <f t="shared" si="61"/>
        <v>0</v>
      </c>
      <c r="N445" s="59">
        <f t="shared" si="64"/>
        <v>100000</v>
      </c>
      <c r="O445" s="59">
        <f t="shared" si="62"/>
        <v>13.698630136986301</v>
      </c>
      <c r="P445" s="59">
        <f t="shared" si="65"/>
        <v>8.2191780821917817</v>
      </c>
    </row>
    <row r="446" spans="12:16" ht="15" hidden="1" customHeight="1">
      <c r="L446" s="58">
        <f t="shared" si="63"/>
        <v>46678</v>
      </c>
      <c r="M446" s="59">
        <f t="shared" si="61"/>
        <v>0</v>
      </c>
      <c r="N446" s="59">
        <f t="shared" si="64"/>
        <v>100000</v>
      </c>
      <c r="O446" s="59">
        <f t="shared" si="62"/>
        <v>13.698630136986301</v>
      </c>
      <c r="P446" s="59">
        <f t="shared" si="65"/>
        <v>8.2191780821917817</v>
      </c>
    </row>
    <row r="447" spans="12:16" ht="15" hidden="1" customHeight="1">
      <c r="L447" s="58">
        <f t="shared" si="63"/>
        <v>46679</v>
      </c>
      <c r="M447" s="59">
        <f t="shared" si="61"/>
        <v>0</v>
      </c>
      <c r="N447" s="59">
        <f t="shared" si="64"/>
        <v>100000</v>
      </c>
      <c r="O447" s="59">
        <f t="shared" si="62"/>
        <v>13.698630136986301</v>
      </c>
      <c r="P447" s="59">
        <f t="shared" si="65"/>
        <v>8.2191780821917817</v>
      </c>
    </row>
    <row r="448" spans="12:16" ht="15" hidden="1" customHeight="1">
      <c r="L448" s="58">
        <f t="shared" si="63"/>
        <v>46680</v>
      </c>
      <c r="M448" s="59">
        <f t="shared" si="61"/>
        <v>0</v>
      </c>
      <c r="N448" s="59">
        <f t="shared" si="64"/>
        <v>100000</v>
      </c>
      <c r="O448" s="59">
        <f t="shared" si="62"/>
        <v>13.698630136986301</v>
      </c>
      <c r="P448" s="59">
        <f t="shared" si="65"/>
        <v>8.2191780821917817</v>
      </c>
    </row>
    <row r="449" spans="12:16" ht="15" hidden="1" customHeight="1">
      <c r="L449" s="58">
        <f t="shared" si="63"/>
        <v>46681</v>
      </c>
      <c r="M449" s="59">
        <f t="shared" si="61"/>
        <v>0</v>
      </c>
      <c r="N449" s="59">
        <f t="shared" si="64"/>
        <v>100000</v>
      </c>
      <c r="O449" s="59">
        <f t="shared" si="62"/>
        <v>13.698630136986301</v>
      </c>
      <c r="P449" s="59">
        <f t="shared" si="65"/>
        <v>8.2191780821917817</v>
      </c>
    </row>
    <row r="450" spans="12:16" ht="15" hidden="1" customHeight="1">
      <c r="L450" s="58">
        <f t="shared" si="63"/>
        <v>46682</v>
      </c>
      <c r="M450" s="59">
        <f t="shared" si="61"/>
        <v>0</v>
      </c>
      <c r="N450" s="59">
        <f t="shared" si="64"/>
        <v>100000</v>
      </c>
      <c r="O450" s="59">
        <f t="shared" si="62"/>
        <v>13.698630136986301</v>
      </c>
      <c r="P450" s="59">
        <f t="shared" si="65"/>
        <v>8.2191780821917817</v>
      </c>
    </row>
    <row r="451" spans="12:16" ht="15" hidden="1" customHeight="1">
      <c r="L451" s="58">
        <f t="shared" si="63"/>
        <v>46683</v>
      </c>
      <c r="M451" s="59">
        <f t="shared" si="61"/>
        <v>0</v>
      </c>
      <c r="N451" s="59">
        <f t="shared" si="64"/>
        <v>100000</v>
      </c>
      <c r="O451" s="59">
        <f t="shared" si="62"/>
        <v>13.698630136986301</v>
      </c>
      <c r="P451" s="59">
        <f t="shared" si="65"/>
        <v>8.2191780821917817</v>
      </c>
    </row>
    <row r="452" spans="12:16" ht="15" hidden="1" customHeight="1">
      <c r="L452" s="58">
        <f t="shared" si="63"/>
        <v>46684</v>
      </c>
      <c r="M452" s="59">
        <f t="shared" si="61"/>
        <v>0</v>
      </c>
      <c r="N452" s="59">
        <f t="shared" si="64"/>
        <v>100000</v>
      </c>
      <c r="O452" s="59">
        <f t="shared" si="62"/>
        <v>13.698630136986301</v>
      </c>
      <c r="P452" s="59">
        <f t="shared" si="65"/>
        <v>8.2191780821917817</v>
      </c>
    </row>
    <row r="453" spans="12:16" ht="15" hidden="1" customHeight="1">
      <c r="L453" s="58">
        <f t="shared" si="63"/>
        <v>46685</v>
      </c>
      <c r="M453" s="59">
        <f t="shared" si="61"/>
        <v>0</v>
      </c>
      <c r="N453" s="59">
        <f t="shared" si="64"/>
        <v>100000</v>
      </c>
      <c r="O453" s="59">
        <f t="shared" si="62"/>
        <v>13.698630136986301</v>
      </c>
      <c r="P453" s="59">
        <f t="shared" si="65"/>
        <v>8.2191780821917817</v>
      </c>
    </row>
    <row r="454" spans="12:16" ht="15" hidden="1" customHeight="1">
      <c r="L454" s="58">
        <f t="shared" si="63"/>
        <v>46686</v>
      </c>
      <c r="M454" s="59">
        <f t="shared" si="61"/>
        <v>0</v>
      </c>
      <c r="N454" s="59">
        <f t="shared" si="64"/>
        <v>100000</v>
      </c>
      <c r="O454" s="59">
        <f t="shared" si="62"/>
        <v>13.698630136986301</v>
      </c>
      <c r="P454" s="59">
        <f t="shared" si="65"/>
        <v>8.2191780821917817</v>
      </c>
    </row>
    <row r="455" spans="12:16" ht="15" hidden="1" customHeight="1">
      <c r="L455" s="58">
        <f t="shared" si="63"/>
        <v>46687</v>
      </c>
      <c r="M455" s="59">
        <f t="shared" si="61"/>
        <v>0</v>
      </c>
      <c r="N455" s="59">
        <f t="shared" si="64"/>
        <v>100000</v>
      </c>
      <c r="O455" s="59">
        <f t="shared" si="62"/>
        <v>13.698630136986301</v>
      </c>
      <c r="P455" s="59">
        <f t="shared" si="65"/>
        <v>8.2191780821917817</v>
      </c>
    </row>
    <row r="456" spans="12:16" ht="15" hidden="1" customHeight="1">
      <c r="L456" s="58">
        <f t="shared" si="63"/>
        <v>46688</v>
      </c>
      <c r="M456" s="59">
        <f t="shared" si="61"/>
        <v>0</v>
      </c>
      <c r="N456" s="59">
        <f t="shared" si="64"/>
        <v>100000</v>
      </c>
      <c r="O456" s="59">
        <f t="shared" si="62"/>
        <v>13.698630136986301</v>
      </c>
      <c r="P456" s="59">
        <f t="shared" si="65"/>
        <v>8.2191780821917817</v>
      </c>
    </row>
    <row r="457" spans="12:16" ht="15" hidden="1" customHeight="1">
      <c r="L457" s="58">
        <f t="shared" si="63"/>
        <v>46689</v>
      </c>
      <c r="M457" s="59">
        <f t="shared" si="61"/>
        <v>0</v>
      </c>
      <c r="N457" s="59">
        <f t="shared" si="64"/>
        <v>100000</v>
      </c>
      <c r="O457" s="59">
        <f t="shared" si="62"/>
        <v>13.698630136986301</v>
      </c>
      <c r="P457" s="59">
        <f t="shared" si="65"/>
        <v>8.2191780821917817</v>
      </c>
    </row>
    <row r="458" spans="12:16" ht="15" hidden="1" customHeight="1">
      <c r="L458" s="58">
        <f t="shared" si="63"/>
        <v>46690</v>
      </c>
      <c r="M458" s="59">
        <f t="shared" si="61"/>
        <v>0</v>
      </c>
      <c r="N458" s="59">
        <f t="shared" si="64"/>
        <v>100000</v>
      </c>
      <c r="O458" s="59">
        <f t="shared" si="62"/>
        <v>13.698630136986301</v>
      </c>
      <c r="P458" s="59">
        <f t="shared" si="65"/>
        <v>8.2191780821917817</v>
      </c>
    </row>
    <row r="459" spans="12:16" ht="15" hidden="1" customHeight="1">
      <c r="L459" s="58">
        <f t="shared" si="63"/>
        <v>46691</v>
      </c>
      <c r="M459" s="59">
        <f t="shared" si="61"/>
        <v>0</v>
      </c>
      <c r="N459" s="59">
        <f t="shared" si="64"/>
        <v>100000</v>
      </c>
      <c r="O459" s="59">
        <f t="shared" si="62"/>
        <v>13.698630136986301</v>
      </c>
      <c r="P459" s="59">
        <f t="shared" si="65"/>
        <v>8.2191780821917817</v>
      </c>
    </row>
    <row r="460" spans="12:16" ht="15" hidden="1" customHeight="1">
      <c r="L460" s="58">
        <f t="shared" si="63"/>
        <v>46692</v>
      </c>
      <c r="M460" s="59">
        <f t="shared" si="61"/>
        <v>0</v>
      </c>
      <c r="N460" s="59">
        <f t="shared" si="64"/>
        <v>100000</v>
      </c>
      <c r="O460" s="59">
        <f t="shared" si="62"/>
        <v>13.698630136986301</v>
      </c>
      <c r="P460" s="59">
        <f t="shared" si="65"/>
        <v>8.2191780821917817</v>
      </c>
    </row>
    <row r="461" spans="12:16" ht="15" hidden="1" customHeight="1">
      <c r="L461" s="58">
        <f t="shared" si="63"/>
        <v>46693</v>
      </c>
      <c r="M461" s="59">
        <f t="shared" si="61"/>
        <v>0</v>
      </c>
      <c r="N461" s="59">
        <f t="shared" si="64"/>
        <v>100000</v>
      </c>
      <c r="O461" s="59">
        <f t="shared" si="62"/>
        <v>13.698630136986301</v>
      </c>
      <c r="P461" s="59">
        <f t="shared" si="65"/>
        <v>8.2191780821917817</v>
      </c>
    </row>
    <row r="462" spans="12:16" ht="15" hidden="1" customHeight="1">
      <c r="L462" s="58">
        <f t="shared" si="63"/>
        <v>46694</v>
      </c>
      <c r="M462" s="59">
        <f t="shared" si="61"/>
        <v>0</v>
      </c>
      <c r="N462" s="59">
        <f t="shared" si="64"/>
        <v>100000</v>
      </c>
      <c r="O462" s="59">
        <f t="shared" si="62"/>
        <v>13.698630136986301</v>
      </c>
      <c r="P462" s="59">
        <f t="shared" si="65"/>
        <v>8.2191780821917817</v>
      </c>
    </row>
    <row r="463" spans="12:16" ht="15" hidden="1" customHeight="1">
      <c r="L463" s="58">
        <f t="shared" si="63"/>
        <v>46695</v>
      </c>
      <c r="M463" s="59">
        <f t="shared" si="61"/>
        <v>0</v>
      </c>
      <c r="N463" s="59">
        <f t="shared" si="64"/>
        <v>100000</v>
      </c>
      <c r="O463" s="59">
        <f t="shared" si="62"/>
        <v>13.698630136986301</v>
      </c>
      <c r="P463" s="59">
        <f t="shared" si="65"/>
        <v>8.2191780821917817</v>
      </c>
    </row>
    <row r="464" spans="12:16" ht="15" hidden="1" customHeight="1">
      <c r="L464" s="58">
        <f t="shared" si="63"/>
        <v>46696</v>
      </c>
      <c r="M464" s="59">
        <f t="shared" si="61"/>
        <v>0</v>
      </c>
      <c r="N464" s="59">
        <f t="shared" si="64"/>
        <v>100000</v>
      </c>
      <c r="O464" s="59">
        <f t="shared" si="62"/>
        <v>13.698630136986301</v>
      </c>
      <c r="P464" s="59">
        <f t="shared" si="65"/>
        <v>8.2191780821917817</v>
      </c>
    </row>
    <row r="465" spans="12:16" ht="15" hidden="1" customHeight="1">
      <c r="L465" s="58">
        <f t="shared" si="63"/>
        <v>46697</v>
      </c>
      <c r="M465" s="59">
        <f t="shared" si="61"/>
        <v>0</v>
      </c>
      <c r="N465" s="59">
        <f t="shared" si="64"/>
        <v>100000</v>
      </c>
      <c r="O465" s="59">
        <f t="shared" si="62"/>
        <v>13.698630136986301</v>
      </c>
      <c r="P465" s="59">
        <f t="shared" si="65"/>
        <v>8.2191780821917817</v>
      </c>
    </row>
    <row r="466" spans="12:16" ht="15" hidden="1" customHeight="1">
      <c r="L466" s="58">
        <f t="shared" si="63"/>
        <v>46698</v>
      </c>
      <c r="M466" s="59">
        <f t="shared" si="61"/>
        <v>0</v>
      </c>
      <c r="N466" s="59">
        <f t="shared" si="64"/>
        <v>100000</v>
      </c>
      <c r="O466" s="59">
        <f t="shared" si="62"/>
        <v>13.698630136986301</v>
      </c>
      <c r="P466" s="59">
        <f t="shared" si="65"/>
        <v>8.2191780821917817</v>
      </c>
    </row>
    <row r="467" spans="12:16" ht="15" hidden="1" customHeight="1">
      <c r="L467" s="58">
        <f t="shared" si="63"/>
        <v>46699</v>
      </c>
      <c r="M467" s="59">
        <f t="shared" ref="M467:M530" si="66">IFERROR(VLOOKUP(L467,$B$19:$E$80,4,FALSE),0)</f>
        <v>0</v>
      </c>
      <c r="N467" s="59">
        <f t="shared" si="64"/>
        <v>100000</v>
      </c>
      <c r="O467" s="59">
        <f t="shared" ref="O467:O530" si="67">IFERROR(IF(ISNUMBER(N466),N466,$E$8)*IF(L467&gt;=$J$8,$E$12,$E$12)/IF(MOD(YEAR(L467),4),365,366)*IF(ISBLANK(L466),L467-$F$5,L467-L466),0)</f>
        <v>13.698630136986301</v>
      </c>
      <c r="P467" s="59">
        <f t="shared" si="65"/>
        <v>8.2191780821917817</v>
      </c>
    </row>
    <row r="468" spans="12:16" ht="15" hidden="1" customHeight="1">
      <c r="L468" s="58">
        <f t="shared" si="63"/>
        <v>46700</v>
      </c>
      <c r="M468" s="59">
        <f t="shared" si="66"/>
        <v>0</v>
      </c>
      <c r="N468" s="59">
        <f t="shared" si="64"/>
        <v>100000</v>
      </c>
      <c r="O468" s="59">
        <f t="shared" si="67"/>
        <v>13.698630136986301</v>
      </c>
      <c r="P468" s="59">
        <f t="shared" si="65"/>
        <v>8.2191780821917817</v>
      </c>
    </row>
    <row r="469" spans="12:16" ht="15" hidden="1" customHeight="1">
      <c r="L469" s="58">
        <f t="shared" si="63"/>
        <v>46701</v>
      </c>
      <c r="M469" s="59">
        <f t="shared" si="66"/>
        <v>0</v>
      </c>
      <c r="N469" s="59">
        <f t="shared" si="64"/>
        <v>100000</v>
      </c>
      <c r="O469" s="59">
        <f t="shared" si="67"/>
        <v>13.698630136986301</v>
      </c>
      <c r="P469" s="59">
        <f t="shared" si="65"/>
        <v>8.2191780821917817</v>
      </c>
    </row>
    <row r="470" spans="12:16" ht="15" hidden="1" customHeight="1">
      <c r="L470" s="58">
        <f t="shared" si="63"/>
        <v>46702</v>
      </c>
      <c r="M470" s="59">
        <f t="shared" si="66"/>
        <v>0</v>
      </c>
      <c r="N470" s="59">
        <f t="shared" si="64"/>
        <v>100000</v>
      </c>
      <c r="O470" s="59">
        <f t="shared" si="67"/>
        <v>13.698630136986301</v>
      </c>
      <c r="P470" s="59">
        <f t="shared" si="65"/>
        <v>8.2191780821917817</v>
      </c>
    </row>
    <row r="471" spans="12:16" ht="15" hidden="1" customHeight="1">
      <c r="L471" s="58">
        <f t="shared" si="63"/>
        <v>46703</v>
      </c>
      <c r="M471" s="59">
        <f t="shared" si="66"/>
        <v>0</v>
      </c>
      <c r="N471" s="59">
        <f t="shared" si="64"/>
        <v>100000</v>
      </c>
      <c r="O471" s="59">
        <f t="shared" si="67"/>
        <v>13.698630136986301</v>
      </c>
      <c r="P471" s="59">
        <f t="shared" si="65"/>
        <v>8.2191780821917817</v>
      </c>
    </row>
    <row r="472" spans="12:16" ht="15" hidden="1" customHeight="1">
      <c r="L472" s="58">
        <f t="shared" si="63"/>
        <v>46704</v>
      </c>
      <c r="M472" s="59">
        <f t="shared" si="66"/>
        <v>0</v>
      </c>
      <c r="N472" s="59">
        <f t="shared" si="64"/>
        <v>100000</v>
      </c>
      <c r="O472" s="59">
        <f t="shared" si="67"/>
        <v>13.698630136986301</v>
      </c>
      <c r="P472" s="59">
        <f t="shared" si="65"/>
        <v>8.2191780821917817</v>
      </c>
    </row>
    <row r="473" spans="12:16" ht="15" hidden="1" customHeight="1">
      <c r="L473" s="58">
        <f t="shared" si="63"/>
        <v>46705</v>
      </c>
      <c r="M473" s="59">
        <f t="shared" si="66"/>
        <v>0</v>
      </c>
      <c r="N473" s="59">
        <f t="shared" si="64"/>
        <v>100000</v>
      </c>
      <c r="O473" s="59">
        <f t="shared" si="67"/>
        <v>13.698630136986301</v>
      </c>
      <c r="P473" s="59">
        <f t="shared" si="65"/>
        <v>8.2191780821917817</v>
      </c>
    </row>
    <row r="474" spans="12:16" ht="15" hidden="1" customHeight="1">
      <c r="L474" s="58">
        <f t="shared" si="63"/>
        <v>46706</v>
      </c>
      <c r="M474" s="59">
        <f t="shared" si="66"/>
        <v>0</v>
      </c>
      <c r="N474" s="59">
        <f t="shared" si="64"/>
        <v>100000</v>
      </c>
      <c r="O474" s="59">
        <f t="shared" si="67"/>
        <v>13.698630136986301</v>
      </c>
      <c r="P474" s="59">
        <f t="shared" si="65"/>
        <v>8.2191780821917817</v>
      </c>
    </row>
    <row r="475" spans="12:16" ht="15" hidden="1" customHeight="1">
      <c r="L475" s="58">
        <f t="shared" si="63"/>
        <v>46707</v>
      </c>
      <c r="M475" s="59">
        <f t="shared" si="66"/>
        <v>0</v>
      </c>
      <c r="N475" s="59">
        <f t="shared" si="64"/>
        <v>100000</v>
      </c>
      <c r="O475" s="59">
        <f t="shared" si="67"/>
        <v>13.698630136986301</v>
      </c>
      <c r="P475" s="59">
        <f t="shared" si="65"/>
        <v>8.2191780821917817</v>
      </c>
    </row>
    <row r="476" spans="12:16" ht="15" hidden="1" customHeight="1">
      <c r="L476" s="58">
        <f t="shared" si="63"/>
        <v>46708</v>
      </c>
      <c r="M476" s="59">
        <f t="shared" si="66"/>
        <v>0</v>
      </c>
      <c r="N476" s="59">
        <f t="shared" si="64"/>
        <v>100000</v>
      </c>
      <c r="O476" s="59">
        <f t="shared" si="67"/>
        <v>13.698630136986301</v>
      </c>
      <c r="P476" s="59">
        <f t="shared" si="65"/>
        <v>8.2191780821917817</v>
      </c>
    </row>
    <row r="477" spans="12:16" ht="15" hidden="1" customHeight="1">
      <c r="L477" s="58">
        <f t="shared" si="63"/>
        <v>46709</v>
      </c>
      <c r="M477" s="59">
        <f t="shared" si="66"/>
        <v>0</v>
      </c>
      <c r="N477" s="59">
        <f t="shared" si="64"/>
        <v>100000</v>
      </c>
      <c r="O477" s="59">
        <f t="shared" si="67"/>
        <v>13.698630136986301</v>
      </c>
      <c r="P477" s="59">
        <f t="shared" si="65"/>
        <v>8.2191780821917817</v>
      </c>
    </row>
    <row r="478" spans="12:16" ht="15" hidden="1" customHeight="1">
      <c r="L478" s="58">
        <f t="shared" si="63"/>
        <v>46710</v>
      </c>
      <c r="M478" s="59">
        <f t="shared" si="66"/>
        <v>0</v>
      </c>
      <c r="N478" s="59">
        <f t="shared" si="64"/>
        <v>100000</v>
      </c>
      <c r="O478" s="59">
        <f t="shared" si="67"/>
        <v>13.698630136986301</v>
      </c>
      <c r="P478" s="59">
        <f t="shared" si="65"/>
        <v>8.2191780821917817</v>
      </c>
    </row>
    <row r="479" spans="12:16" ht="15" hidden="1" customHeight="1">
      <c r="L479" s="58">
        <f t="shared" si="63"/>
        <v>46711</v>
      </c>
      <c r="M479" s="59">
        <f t="shared" si="66"/>
        <v>0</v>
      </c>
      <c r="N479" s="59">
        <f t="shared" si="64"/>
        <v>100000</v>
      </c>
      <c r="O479" s="59">
        <f t="shared" si="67"/>
        <v>13.698630136986301</v>
      </c>
      <c r="P479" s="59">
        <f t="shared" si="65"/>
        <v>8.2191780821917817</v>
      </c>
    </row>
    <row r="480" spans="12:16" ht="15" hidden="1" customHeight="1">
      <c r="L480" s="58">
        <f t="shared" si="63"/>
        <v>46712</v>
      </c>
      <c r="M480" s="59">
        <f t="shared" si="66"/>
        <v>0</v>
      </c>
      <c r="N480" s="59">
        <f t="shared" si="64"/>
        <v>100000</v>
      </c>
      <c r="O480" s="59">
        <f t="shared" si="67"/>
        <v>13.698630136986301</v>
      </c>
      <c r="P480" s="59">
        <f t="shared" si="65"/>
        <v>8.2191780821917817</v>
      </c>
    </row>
    <row r="481" spans="12:16" ht="15" hidden="1" customHeight="1">
      <c r="L481" s="58">
        <f t="shared" si="63"/>
        <v>46713</v>
      </c>
      <c r="M481" s="59">
        <f t="shared" si="66"/>
        <v>0</v>
      </c>
      <c r="N481" s="59">
        <f t="shared" si="64"/>
        <v>100000</v>
      </c>
      <c r="O481" s="59">
        <f t="shared" si="67"/>
        <v>13.698630136986301</v>
      </c>
      <c r="P481" s="59">
        <f t="shared" si="65"/>
        <v>8.2191780821917817</v>
      </c>
    </row>
    <row r="482" spans="12:16" ht="15" hidden="1" customHeight="1">
      <c r="L482" s="58">
        <f t="shared" ref="L482:L545" si="68">IFERROR(IF(MAX(L481+1,$F$5+1)&gt;Дата_погашения_Займа,"-",MAX(L481+1,$F$5+1)),"-")</f>
        <v>46714</v>
      </c>
      <c r="M482" s="59">
        <f t="shared" si="66"/>
        <v>0</v>
      </c>
      <c r="N482" s="59">
        <f t="shared" si="64"/>
        <v>100000</v>
      </c>
      <c r="O482" s="59">
        <f t="shared" si="67"/>
        <v>13.698630136986301</v>
      </c>
      <c r="P482" s="59">
        <f t="shared" si="65"/>
        <v>8.2191780821917817</v>
      </c>
    </row>
    <row r="483" spans="12:16" ht="15" hidden="1" customHeight="1">
      <c r="L483" s="58">
        <f t="shared" si="68"/>
        <v>46715</v>
      </c>
      <c r="M483" s="59">
        <f t="shared" si="66"/>
        <v>0</v>
      </c>
      <c r="N483" s="59">
        <f t="shared" si="64"/>
        <v>100000</v>
      </c>
      <c r="O483" s="59">
        <f t="shared" si="67"/>
        <v>13.698630136986301</v>
      </c>
      <c r="P483" s="59">
        <f t="shared" si="65"/>
        <v>8.2191780821917817</v>
      </c>
    </row>
    <row r="484" spans="12:16" ht="15" hidden="1" customHeight="1">
      <c r="L484" s="58">
        <f t="shared" si="68"/>
        <v>46716</v>
      </c>
      <c r="M484" s="59">
        <f t="shared" si="66"/>
        <v>0</v>
      </c>
      <c r="N484" s="59">
        <f t="shared" si="64"/>
        <v>100000</v>
      </c>
      <c r="O484" s="59">
        <f t="shared" si="67"/>
        <v>13.698630136986301</v>
      </c>
      <c r="P484" s="59">
        <f t="shared" si="65"/>
        <v>8.2191780821917817</v>
      </c>
    </row>
    <row r="485" spans="12:16" ht="15" hidden="1" customHeight="1">
      <c r="L485" s="58">
        <f t="shared" si="68"/>
        <v>46717</v>
      </c>
      <c r="M485" s="59">
        <f t="shared" si="66"/>
        <v>0</v>
      </c>
      <c r="N485" s="59">
        <f t="shared" si="64"/>
        <v>100000</v>
      </c>
      <c r="O485" s="59">
        <f t="shared" si="67"/>
        <v>13.698630136986301</v>
      </c>
      <c r="P485" s="59">
        <f t="shared" si="65"/>
        <v>8.2191780821917817</v>
      </c>
    </row>
    <row r="486" spans="12:16" ht="15" hidden="1" customHeight="1">
      <c r="L486" s="58">
        <f t="shared" si="68"/>
        <v>46718</v>
      </c>
      <c r="M486" s="59">
        <f t="shared" si="66"/>
        <v>0</v>
      </c>
      <c r="N486" s="59">
        <f t="shared" si="64"/>
        <v>100000</v>
      </c>
      <c r="O486" s="59">
        <f t="shared" si="67"/>
        <v>13.698630136986301</v>
      </c>
      <c r="P486" s="59">
        <f t="shared" si="65"/>
        <v>8.2191780821917817</v>
      </c>
    </row>
    <row r="487" spans="12:16" ht="15" hidden="1" customHeight="1">
      <c r="L487" s="58">
        <f t="shared" si="68"/>
        <v>46719</v>
      </c>
      <c r="M487" s="59">
        <f t="shared" si="66"/>
        <v>0</v>
      </c>
      <c r="N487" s="59">
        <f t="shared" si="64"/>
        <v>100000</v>
      </c>
      <c r="O487" s="59">
        <f t="shared" si="67"/>
        <v>13.698630136986301</v>
      </c>
      <c r="P487" s="59">
        <f t="shared" si="65"/>
        <v>8.2191780821917817</v>
      </c>
    </row>
    <row r="488" spans="12:16" ht="15" hidden="1" customHeight="1">
      <c r="L488" s="58">
        <f t="shared" si="68"/>
        <v>46720</v>
      </c>
      <c r="M488" s="59">
        <f t="shared" si="66"/>
        <v>0</v>
      </c>
      <c r="N488" s="59">
        <f t="shared" si="64"/>
        <v>100000</v>
      </c>
      <c r="O488" s="59">
        <f t="shared" si="67"/>
        <v>13.698630136986301</v>
      </c>
      <c r="P488" s="59">
        <f t="shared" si="65"/>
        <v>8.2191780821917817</v>
      </c>
    </row>
    <row r="489" spans="12:16" ht="15" hidden="1" customHeight="1">
      <c r="L489" s="58">
        <f t="shared" si="68"/>
        <v>46721</v>
      </c>
      <c r="M489" s="59">
        <f t="shared" si="66"/>
        <v>0</v>
      </c>
      <c r="N489" s="59">
        <f t="shared" si="64"/>
        <v>100000</v>
      </c>
      <c r="O489" s="59">
        <f t="shared" si="67"/>
        <v>13.698630136986301</v>
      </c>
      <c r="P489" s="59">
        <f t="shared" si="65"/>
        <v>8.2191780821917817</v>
      </c>
    </row>
    <row r="490" spans="12:16" ht="15" hidden="1" customHeight="1">
      <c r="L490" s="58">
        <f t="shared" si="68"/>
        <v>46722</v>
      </c>
      <c r="M490" s="59">
        <f t="shared" si="66"/>
        <v>0</v>
      </c>
      <c r="N490" s="59">
        <f t="shared" si="64"/>
        <v>100000</v>
      </c>
      <c r="O490" s="59">
        <f t="shared" si="67"/>
        <v>13.698630136986301</v>
      </c>
      <c r="P490" s="59">
        <f t="shared" si="65"/>
        <v>8.2191780821917817</v>
      </c>
    </row>
    <row r="491" spans="12:16" ht="15" hidden="1" customHeight="1">
      <c r="L491" s="58">
        <f t="shared" si="68"/>
        <v>46723</v>
      </c>
      <c r="M491" s="59">
        <f t="shared" si="66"/>
        <v>0</v>
      </c>
      <c r="N491" s="59">
        <f t="shared" si="64"/>
        <v>100000</v>
      </c>
      <c r="O491" s="59">
        <f t="shared" si="67"/>
        <v>13.698630136986301</v>
      </c>
      <c r="P491" s="59">
        <f t="shared" si="65"/>
        <v>8.2191780821917817</v>
      </c>
    </row>
    <row r="492" spans="12:16" ht="15" hidden="1" customHeight="1">
      <c r="L492" s="58">
        <f t="shared" si="68"/>
        <v>46724</v>
      </c>
      <c r="M492" s="59">
        <f t="shared" si="66"/>
        <v>0</v>
      </c>
      <c r="N492" s="59">
        <f t="shared" si="64"/>
        <v>100000</v>
      </c>
      <c r="O492" s="59">
        <f t="shared" si="67"/>
        <v>13.698630136986301</v>
      </c>
      <c r="P492" s="59">
        <f t="shared" si="65"/>
        <v>8.2191780821917817</v>
      </c>
    </row>
    <row r="493" spans="12:16" ht="15" hidden="1" customHeight="1">
      <c r="L493" s="58">
        <f t="shared" si="68"/>
        <v>46725</v>
      </c>
      <c r="M493" s="59">
        <f t="shared" si="66"/>
        <v>0</v>
      </c>
      <c r="N493" s="59">
        <f t="shared" si="64"/>
        <v>100000</v>
      </c>
      <c r="O493" s="59">
        <f t="shared" si="67"/>
        <v>13.698630136986301</v>
      </c>
      <c r="P493" s="59">
        <f t="shared" si="65"/>
        <v>8.2191780821917817</v>
      </c>
    </row>
    <row r="494" spans="12:16" ht="15" hidden="1" customHeight="1">
      <c r="L494" s="58">
        <f t="shared" si="68"/>
        <v>46726</v>
      </c>
      <c r="M494" s="59">
        <f t="shared" si="66"/>
        <v>0</v>
      </c>
      <c r="N494" s="59">
        <f t="shared" si="64"/>
        <v>100000</v>
      </c>
      <c r="O494" s="59">
        <f t="shared" si="67"/>
        <v>13.698630136986301</v>
      </c>
      <c r="P494" s="59">
        <f t="shared" si="65"/>
        <v>8.2191780821917817</v>
      </c>
    </row>
    <row r="495" spans="12:16" ht="15" hidden="1" customHeight="1">
      <c r="L495" s="58">
        <f t="shared" si="68"/>
        <v>46727</v>
      </c>
      <c r="M495" s="59">
        <f t="shared" si="66"/>
        <v>0</v>
      </c>
      <c r="N495" s="59">
        <f t="shared" si="64"/>
        <v>100000</v>
      </c>
      <c r="O495" s="59">
        <f t="shared" si="67"/>
        <v>13.698630136986301</v>
      </c>
      <c r="P495" s="59">
        <f t="shared" si="65"/>
        <v>8.2191780821917817</v>
      </c>
    </row>
    <row r="496" spans="12:16" ht="15" hidden="1" customHeight="1">
      <c r="L496" s="58">
        <f t="shared" si="68"/>
        <v>46728</v>
      </c>
      <c r="M496" s="59">
        <f t="shared" si="66"/>
        <v>0</v>
      </c>
      <c r="N496" s="59">
        <f t="shared" ref="N496:N559" si="69">IF(ISNUMBER(N495),N495-M496,$E$8)</f>
        <v>100000</v>
      </c>
      <c r="O496" s="59">
        <f t="shared" si="67"/>
        <v>13.698630136986301</v>
      </c>
      <c r="P496" s="59">
        <f t="shared" ref="P496:P559" si="70">IFERROR(IF(ISNUMBER(N495),N495,$E$8)*3%/IF(MOD(YEAR(L496),4),365,366)*IF(ISBLANK(L495),(L496-$F$5),L496-L495),0)</f>
        <v>8.2191780821917817</v>
      </c>
    </row>
    <row r="497" spans="12:16" ht="15" hidden="1" customHeight="1">
      <c r="L497" s="58">
        <f t="shared" si="68"/>
        <v>46729</v>
      </c>
      <c r="M497" s="59">
        <f t="shared" si="66"/>
        <v>0</v>
      </c>
      <c r="N497" s="59">
        <f t="shared" si="69"/>
        <v>100000</v>
      </c>
      <c r="O497" s="59">
        <f t="shared" si="67"/>
        <v>13.698630136986301</v>
      </c>
      <c r="P497" s="59">
        <f t="shared" si="70"/>
        <v>8.2191780821917817</v>
      </c>
    </row>
    <row r="498" spans="12:16" ht="15" hidden="1" customHeight="1">
      <c r="L498" s="58">
        <f t="shared" si="68"/>
        <v>46730</v>
      </c>
      <c r="M498" s="59">
        <f t="shared" si="66"/>
        <v>0</v>
      </c>
      <c r="N498" s="59">
        <f t="shared" si="69"/>
        <v>100000</v>
      </c>
      <c r="O498" s="59">
        <f t="shared" si="67"/>
        <v>13.698630136986301</v>
      </c>
      <c r="P498" s="59">
        <f t="shared" si="70"/>
        <v>8.2191780821917817</v>
      </c>
    </row>
    <row r="499" spans="12:16" ht="15" hidden="1" customHeight="1">
      <c r="L499" s="58">
        <f t="shared" si="68"/>
        <v>46731</v>
      </c>
      <c r="M499" s="59">
        <f t="shared" si="66"/>
        <v>0</v>
      </c>
      <c r="N499" s="59">
        <f t="shared" si="69"/>
        <v>100000</v>
      </c>
      <c r="O499" s="59">
        <f t="shared" si="67"/>
        <v>13.698630136986301</v>
      </c>
      <c r="P499" s="59">
        <f t="shared" si="70"/>
        <v>8.2191780821917817</v>
      </c>
    </row>
    <row r="500" spans="12:16" ht="15" hidden="1" customHeight="1">
      <c r="L500" s="58">
        <f t="shared" si="68"/>
        <v>46732</v>
      </c>
      <c r="M500" s="59">
        <f t="shared" si="66"/>
        <v>0</v>
      </c>
      <c r="N500" s="59">
        <f t="shared" si="69"/>
        <v>100000</v>
      </c>
      <c r="O500" s="59">
        <f t="shared" si="67"/>
        <v>13.698630136986301</v>
      </c>
      <c r="P500" s="59">
        <f t="shared" si="70"/>
        <v>8.2191780821917817</v>
      </c>
    </row>
    <row r="501" spans="12:16" ht="15" hidden="1" customHeight="1">
      <c r="L501" s="58">
        <f t="shared" si="68"/>
        <v>46733</v>
      </c>
      <c r="M501" s="59">
        <f t="shared" si="66"/>
        <v>0</v>
      </c>
      <c r="N501" s="59">
        <f t="shared" si="69"/>
        <v>100000</v>
      </c>
      <c r="O501" s="59">
        <f t="shared" si="67"/>
        <v>13.698630136986301</v>
      </c>
      <c r="P501" s="59">
        <f t="shared" si="70"/>
        <v>8.2191780821917817</v>
      </c>
    </row>
    <row r="502" spans="12:16" ht="15" hidden="1" customHeight="1">
      <c r="L502" s="58">
        <f t="shared" si="68"/>
        <v>46734</v>
      </c>
      <c r="M502" s="59">
        <f t="shared" si="66"/>
        <v>0</v>
      </c>
      <c r="N502" s="59">
        <f t="shared" si="69"/>
        <v>100000</v>
      </c>
      <c r="O502" s="59">
        <f t="shared" si="67"/>
        <v>13.698630136986301</v>
      </c>
      <c r="P502" s="59">
        <f t="shared" si="70"/>
        <v>8.2191780821917817</v>
      </c>
    </row>
    <row r="503" spans="12:16" ht="15" hidden="1" customHeight="1">
      <c r="L503" s="58">
        <f t="shared" si="68"/>
        <v>46735</v>
      </c>
      <c r="M503" s="59">
        <f t="shared" si="66"/>
        <v>0</v>
      </c>
      <c r="N503" s="59">
        <f t="shared" si="69"/>
        <v>100000</v>
      </c>
      <c r="O503" s="59">
        <f t="shared" si="67"/>
        <v>13.698630136986301</v>
      </c>
      <c r="P503" s="59">
        <f t="shared" si="70"/>
        <v>8.2191780821917817</v>
      </c>
    </row>
    <row r="504" spans="12:16" ht="15" hidden="1" customHeight="1">
      <c r="L504" s="58">
        <f t="shared" si="68"/>
        <v>46736</v>
      </c>
      <c r="M504" s="59">
        <f t="shared" si="66"/>
        <v>0</v>
      </c>
      <c r="N504" s="59">
        <f t="shared" si="69"/>
        <v>100000</v>
      </c>
      <c r="O504" s="59">
        <f t="shared" si="67"/>
        <v>13.698630136986301</v>
      </c>
      <c r="P504" s="59">
        <f t="shared" si="70"/>
        <v>8.2191780821917817</v>
      </c>
    </row>
    <row r="505" spans="12:16" ht="15" hidden="1" customHeight="1">
      <c r="L505" s="58">
        <f t="shared" si="68"/>
        <v>46737</v>
      </c>
      <c r="M505" s="59">
        <f t="shared" si="66"/>
        <v>0</v>
      </c>
      <c r="N505" s="59">
        <f t="shared" si="69"/>
        <v>100000</v>
      </c>
      <c r="O505" s="59">
        <f t="shared" si="67"/>
        <v>13.698630136986301</v>
      </c>
      <c r="P505" s="59">
        <f t="shared" si="70"/>
        <v>8.2191780821917817</v>
      </c>
    </row>
    <row r="506" spans="12:16" ht="15" hidden="1" customHeight="1">
      <c r="L506" s="58">
        <f t="shared" si="68"/>
        <v>46738</v>
      </c>
      <c r="M506" s="59">
        <f t="shared" si="66"/>
        <v>0</v>
      </c>
      <c r="N506" s="59">
        <f t="shared" si="69"/>
        <v>100000</v>
      </c>
      <c r="O506" s="59">
        <f t="shared" si="67"/>
        <v>13.698630136986301</v>
      </c>
      <c r="P506" s="59">
        <f t="shared" si="70"/>
        <v>8.2191780821917817</v>
      </c>
    </row>
    <row r="507" spans="12:16" ht="15" hidden="1" customHeight="1">
      <c r="L507" s="58">
        <f t="shared" si="68"/>
        <v>46739</v>
      </c>
      <c r="M507" s="59">
        <f t="shared" si="66"/>
        <v>0</v>
      </c>
      <c r="N507" s="59">
        <f t="shared" si="69"/>
        <v>100000</v>
      </c>
      <c r="O507" s="59">
        <f t="shared" si="67"/>
        <v>13.698630136986301</v>
      </c>
      <c r="P507" s="59">
        <f t="shared" si="70"/>
        <v>8.2191780821917817</v>
      </c>
    </row>
    <row r="508" spans="12:16" ht="15" hidden="1" customHeight="1">
      <c r="L508" s="58">
        <f t="shared" si="68"/>
        <v>46740</v>
      </c>
      <c r="M508" s="59">
        <f t="shared" si="66"/>
        <v>0</v>
      </c>
      <c r="N508" s="59">
        <f t="shared" si="69"/>
        <v>100000</v>
      </c>
      <c r="O508" s="59">
        <f t="shared" si="67"/>
        <v>13.698630136986301</v>
      </c>
      <c r="P508" s="59">
        <f t="shared" si="70"/>
        <v>8.2191780821917817</v>
      </c>
    </row>
    <row r="509" spans="12:16" ht="15" hidden="1" customHeight="1">
      <c r="L509" s="58">
        <f t="shared" si="68"/>
        <v>46741</v>
      </c>
      <c r="M509" s="59">
        <f t="shared" si="66"/>
        <v>0</v>
      </c>
      <c r="N509" s="59">
        <f t="shared" si="69"/>
        <v>100000</v>
      </c>
      <c r="O509" s="59">
        <f t="shared" si="67"/>
        <v>13.698630136986301</v>
      </c>
      <c r="P509" s="59">
        <f t="shared" si="70"/>
        <v>8.2191780821917817</v>
      </c>
    </row>
    <row r="510" spans="12:16" ht="15" hidden="1" customHeight="1">
      <c r="L510" s="58">
        <f t="shared" si="68"/>
        <v>46742</v>
      </c>
      <c r="M510" s="59">
        <f t="shared" si="66"/>
        <v>0</v>
      </c>
      <c r="N510" s="59">
        <f t="shared" si="69"/>
        <v>100000</v>
      </c>
      <c r="O510" s="59">
        <f t="shared" si="67"/>
        <v>13.698630136986301</v>
      </c>
      <c r="P510" s="59">
        <f t="shared" si="70"/>
        <v>8.2191780821917817</v>
      </c>
    </row>
    <row r="511" spans="12:16" ht="15" hidden="1" customHeight="1">
      <c r="L511" s="58">
        <f t="shared" si="68"/>
        <v>46743</v>
      </c>
      <c r="M511" s="59">
        <f t="shared" si="66"/>
        <v>0</v>
      </c>
      <c r="N511" s="59">
        <f t="shared" si="69"/>
        <v>100000</v>
      </c>
      <c r="O511" s="59">
        <f t="shared" si="67"/>
        <v>13.698630136986301</v>
      </c>
      <c r="P511" s="59">
        <f t="shared" si="70"/>
        <v>8.2191780821917817</v>
      </c>
    </row>
    <row r="512" spans="12:16" ht="15" hidden="1" customHeight="1">
      <c r="L512" s="58">
        <f t="shared" si="68"/>
        <v>46744</v>
      </c>
      <c r="M512" s="59">
        <f t="shared" si="66"/>
        <v>0</v>
      </c>
      <c r="N512" s="59">
        <f t="shared" si="69"/>
        <v>100000</v>
      </c>
      <c r="O512" s="59">
        <f t="shared" si="67"/>
        <v>13.698630136986301</v>
      </c>
      <c r="P512" s="59">
        <f t="shared" si="70"/>
        <v>8.2191780821917817</v>
      </c>
    </row>
    <row r="513" spans="12:16" ht="15" hidden="1" customHeight="1">
      <c r="L513" s="58">
        <f t="shared" si="68"/>
        <v>46745</v>
      </c>
      <c r="M513" s="59">
        <f t="shared" si="66"/>
        <v>0</v>
      </c>
      <c r="N513" s="59">
        <f t="shared" si="69"/>
        <v>100000</v>
      </c>
      <c r="O513" s="59">
        <f t="shared" si="67"/>
        <v>13.698630136986301</v>
      </c>
      <c r="P513" s="59">
        <f t="shared" si="70"/>
        <v>8.2191780821917817</v>
      </c>
    </row>
    <row r="514" spans="12:16" ht="15" hidden="1" customHeight="1">
      <c r="L514" s="58">
        <f t="shared" si="68"/>
        <v>46746</v>
      </c>
      <c r="M514" s="59">
        <f t="shared" si="66"/>
        <v>0</v>
      </c>
      <c r="N514" s="59">
        <f t="shared" si="69"/>
        <v>100000</v>
      </c>
      <c r="O514" s="59">
        <f t="shared" si="67"/>
        <v>13.698630136986301</v>
      </c>
      <c r="P514" s="59">
        <f t="shared" si="70"/>
        <v>8.2191780821917817</v>
      </c>
    </row>
    <row r="515" spans="12:16" ht="15" hidden="1" customHeight="1">
      <c r="L515" s="58">
        <f t="shared" si="68"/>
        <v>46747</v>
      </c>
      <c r="M515" s="59">
        <f t="shared" si="66"/>
        <v>0</v>
      </c>
      <c r="N515" s="59">
        <f t="shared" si="69"/>
        <v>100000</v>
      </c>
      <c r="O515" s="59">
        <f t="shared" si="67"/>
        <v>13.698630136986301</v>
      </c>
      <c r="P515" s="59">
        <f t="shared" si="70"/>
        <v>8.2191780821917817</v>
      </c>
    </row>
    <row r="516" spans="12:16" ht="15" hidden="1" customHeight="1">
      <c r="L516" s="58">
        <f t="shared" si="68"/>
        <v>46748</v>
      </c>
      <c r="M516" s="59">
        <f t="shared" si="66"/>
        <v>0</v>
      </c>
      <c r="N516" s="59">
        <f t="shared" si="69"/>
        <v>100000</v>
      </c>
      <c r="O516" s="59">
        <f t="shared" si="67"/>
        <v>13.698630136986301</v>
      </c>
      <c r="P516" s="59">
        <f t="shared" si="70"/>
        <v>8.2191780821917817</v>
      </c>
    </row>
    <row r="517" spans="12:16" ht="15" hidden="1" customHeight="1">
      <c r="L517" s="58">
        <f t="shared" si="68"/>
        <v>46749</v>
      </c>
      <c r="M517" s="59">
        <f t="shared" si="66"/>
        <v>0</v>
      </c>
      <c r="N517" s="59">
        <f t="shared" si="69"/>
        <v>100000</v>
      </c>
      <c r="O517" s="59">
        <f t="shared" si="67"/>
        <v>13.698630136986301</v>
      </c>
      <c r="P517" s="59">
        <f t="shared" si="70"/>
        <v>8.2191780821917817</v>
      </c>
    </row>
    <row r="518" spans="12:16" ht="15" hidden="1" customHeight="1">
      <c r="L518" s="58">
        <f t="shared" si="68"/>
        <v>46750</v>
      </c>
      <c r="M518" s="59">
        <f t="shared" si="66"/>
        <v>0</v>
      </c>
      <c r="N518" s="59">
        <f t="shared" si="69"/>
        <v>100000</v>
      </c>
      <c r="O518" s="59">
        <f t="shared" si="67"/>
        <v>13.698630136986301</v>
      </c>
      <c r="P518" s="59">
        <f t="shared" si="70"/>
        <v>8.2191780821917817</v>
      </c>
    </row>
    <row r="519" spans="12:16" ht="15" hidden="1" customHeight="1">
      <c r="L519" s="58">
        <f t="shared" si="68"/>
        <v>46751</v>
      </c>
      <c r="M519" s="59">
        <f t="shared" si="66"/>
        <v>0</v>
      </c>
      <c r="N519" s="59">
        <f t="shared" si="69"/>
        <v>100000</v>
      </c>
      <c r="O519" s="59">
        <f t="shared" si="67"/>
        <v>13.698630136986301</v>
      </c>
      <c r="P519" s="59">
        <f t="shared" si="70"/>
        <v>8.2191780821917817</v>
      </c>
    </row>
    <row r="520" spans="12:16" ht="15" hidden="1" customHeight="1">
      <c r="L520" s="58">
        <f t="shared" si="68"/>
        <v>46752</v>
      </c>
      <c r="M520" s="59">
        <f t="shared" si="66"/>
        <v>0</v>
      </c>
      <c r="N520" s="59">
        <f t="shared" si="69"/>
        <v>100000</v>
      </c>
      <c r="O520" s="59">
        <f t="shared" si="67"/>
        <v>13.698630136986301</v>
      </c>
      <c r="P520" s="59">
        <f t="shared" si="70"/>
        <v>8.2191780821917817</v>
      </c>
    </row>
    <row r="521" spans="12:16" ht="15" hidden="1" customHeight="1">
      <c r="L521" s="58">
        <f t="shared" si="68"/>
        <v>46753</v>
      </c>
      <c r="M521" s="59">
        <f t="shared" si="66"/>
        <v>0</v>
      </c>
      <c r="N521" s="59">
        <f t="shared" si="69"/>
        <v>100000</v>
      </c>
      <c r="O521" s="59">
        <f t="shared" si="67"/>
        <v>13.66120218579235</v>
      </c>
      <c r="P521" s="59">
        <f t="shared" si="70"/>
        <v>8.1967213114754092</v>
      </c>
    </row>
    <row r="522" spans="12:16" ht="15" hidden="1" customHeight="1">
      <c r="L522" s="58">
        <f t="shared" si="68"/>
        <v>46754</v>
      </c>
      <c r="M522" s="59">
        <f t="shared" si="66"/>
        <v>0</v>
      </c>
      <c r="N522" s="59">
        <f t="shared" si="69"/>
        <v>100000</v>
      </c>
      <c r="O522" s="59">
        <f t="shared" si="67"/>
        <v>13.66120218579235</v>
      </c>
      <c r="P522" s="59">
        <f t="shared" si="70"/>
        <v>8.1967213114754092</v>
      </c>
    </row>
    <row r="523" spans="12:16" ht="15" hidden="1" customHeight="1">
      <c r="L523" s="58">
        <f t="shared" si="68"/>
        <v>46755</v>
      </c>
      <c r="M523" s="59">
        <f t="shared" si="66"/>
        <v>0</v>
      </c>
      <c r="N523" s="59">
        <f t="shared" si="69"/>
        <v>100000</v>
      </c>
      <c r="O523" s="59">
        <f t="shared" si="67"/>
        <v>13.66120218579235</v>
      </c>
      <c r="P523" s="59">
        <f t="shared" si="70"/>
        <v>8.1967213114754092</v>
      </c>
    </row>
    <row r="524" spans="12:16" ht="15" hidden="1" customHeight="1">
      <c r="L524" s="58">
        <f t="shared" si="68"/>
        <v>46756</v>
      </c>
      <c r="M524" s="59">
        <f t="shared" si="66"/>
        <v>0</v>
      </c>
      <c r="N524" s="59">
        <f t="shared" si="69"/>
        <v>100000</v>
      </c>
      <c r="O524" s="59">
        <f t="shared" si="67"/>
        <v>13.66120218579235</v>
      </c>
      <c r="P524" s="59">
        <f t="shared" si="70"/>
        <v>8.1967213114754092</v>
      </c>
    </row>
    <row r="525" spans="12:16" ht="15" hidden="1" customHeight="1">
      <c r="L525" s="58">
        <f t="shared" si="68"/>
        <v>46757</v>
      </c>
      <c r="M525" s="59">
        <f t="shared" si="66"/>
        <v>0</v>
      </c>
      <c r="N525" s="59">
        <f t="shared" si="69"/>
        <v>100000</v>
      </c>
      <c r="O525" s="59">
        <f t="shared" si="67"/>
        <v>13.66120218579235</v>
      </c>
      <c r="P525" s="59">
        <f t="shared" si="70"/>
        <v>8.1967213114754092</v>
      </c>
    </row>
    <row r="526" spans="12:16" ht="15" hidden="1" customHeight="1">
      <c r="L526" s="58">
        <f t="shared" si="68"/>
        <v>46758</v>
      </c>
      <c r="M526" s="59">
        <f t="shared" si="66"/>
        <v>0</v>
      </c>
      <c r="N526" s="59">
        <f t="shared" si="69"/>
        <v>100000</v>
      </c>
      <c r="O526" s="59">
        <f t="shared" si="67"/>
        <v>13.66120218579235</v>
      </c>
      <c r="P526" s="59">
        <f t="shared" si="70"/>
        <v>8.1967213114754092</v>
      </c>
    </row>
    <row r="527" spans="12:16" ht="15" hidden="1" customHeight="1">
      <c r="L527" s="58">
        <f t="shared" si="68"/>
        <v>46759</v>
      </c>
      <c r="M527" s="59">
        <f t="shared" si="66"/>
        <v>0</v>
      </c>
      <c r="N527" s="59">
        <f t="shared" si="69"/>
        <v>100000</v>
      </c>
      <c r="O527" s="59">
        <f t="shared" si="67"/>
        <v>13.66120218579235</v>
      </c>
      <c r="P527" s="59">
        <f t="shared" si="70"/>
        <v>8.1967213114754092</v>
      </c>
    </row>
    <row r="528" spans="12:16" ht="15" hidden="1" customHeight="1">
      <c r="L528" s="58">
        <f t="shared" si="68"/>
        <v>46760</v>
      </c>
      <c r="M528" s="59">
        <f t="shared" si="66"/>
        <v>0</v>
      </c>
      <c r="N528" s="59">
        <f t="shared" si="69"/>
        <v>100000</v>
      </c>
      <c r="O528" s="59">
        <f t="shared" si="67"/>
        <v>13.66120218579235</v>
      </c>
      <c r="P528" s="59">
        <f t="shared" si="70"/>
        <v>8.1967213114754092</v>
      </c>
    </row>
    <row r="529" spans="12:16" ht="15" hidden="1" customHeight="1">
      <c r="L529" s="58">
        <f t="shared" si="68"/>
        <v>46761</v>
      </c>
      <c r="M529" s="59">
        <f t="shared" si="66"/>
        <v>0</v>
      </c>
      <c r="N529" s="59">
        <f t="shared" si="69"/>
        <v>100000</v>
      </c>
      <c r="O529" s="59">
        <f t="shared" si="67"/>
        <v>13.66120218579235</v>
      </c>
      <c r="P529" s="59">
        <f t="shared" si="70"/>
        <v>8.1967213114754092</v>
      </c>
    </row>
    <row r="530" spans="12:16" ht="15" hidden="1" customHeight="1">
      <c r="L530" s="58">
        <f t="shared" si="68"/>
        <v>46762</v>
      </c>
      <c r="M530" s="59">
        <f t="shared" si="66"/>
        <v>0</v>
      </c>
      <c r="N530" s="59">
        <f t="shared" si="69"/>
        <v>100000</v>
      </c>
      <c r="O530" s="59">
        <f t="shared" si="67"/>
        <v>13.66120218579235</v>
      </c>
      <c r="P530" s="59">
        <f t="shared" si="70"/>
        <v>8.1967213114754092</v>
      </c>
    </row>
    <row r="531" spans="12:16" ht="15" hidden="1" customHeight="1">
      <c r="L531" s="58">
        <f t="shared" si="68"/>
        <v>46763</v>
      </c>
      <c r="M531" s="59">
        <f t="shared" ref="M531:M594" si="71">IFERROR(VLOOKUP(L531,$B$19:$E$80,4,FALSE),0)</f>
        <v>0</v>
      </c>
      <c r="N531" s="59">
        <f t="shared" si="69"/>
        <v>100000</v>
      </c>
      <c r="O531" s="59">
        <f t="shared" ref="O531:O594" si="72">IFERROR(IF(ISNUMBER(N530),N530,$E$8)*IF(L531&gt;=$J$8,$E$12,$E$12)/IF(MOD(YEAR(L531),4),365,366)*IF(ISBLANK(L530),L531-$F$5,L531-L530),0)</f>
        <v>13.66120218579235</v>
      </c>
      <c r="P531" s="59">
        <f t="shared" si="70"/>
        <v>8.1967213114754092</v>
      </c>
    </row>
    <row r="532" spans="12:16" ht="15" hidden="1" customHeight="1">
      <c r="L532" s="58">
        <f t="shared" si="68"/>
        <v>46764</v>
      </c>
      <c r="M532" s="59">
        <f t="shared" si="71"/>
        <v>0</v>
      </c>
      <c r="N532" s="59">
        <f t="shared" si="69"/>
        <v>100000</v>
      </c>
      <c r="O532" s="59">
        <f t="shared" si="72"/>
        <v>13.66120218579235</v>
      </c>
      <c r="P532" s="59">
        <f t="shared" si="70"/>
        <v>8.1967213114754092</v>
      </c>
    </row>
    <row r="533" spans="12:16" ht="15" hidden="1" customHeight="1">
      <c r="L533" s="58">
        <f t="shared" si="68"/>
        <v>46765</v>
      </c>
      <c r="M533" s="59">
        <f t="shared" si="71"/>
        <v>0</v>
      </c>
      <c r="N533" s="59">
        <f t="shared" si="69"/>
        <v>100000</v>
      </c>
      <c r="O533" s="59">
        <f t="shared" si="72"/>
        <v>13.66120218579235</v>
      </c>
      <c r="P533" s="59">
        <f t="shared" si="70"/>
        <v>8.1967213114754092</v>
      </c>
    </row>
    <row r="534" spans="12:16" ht="15" hidden="1" customHeight="1">
      <c r="L534" s="58">
        <f t="shared" si="68"/>
        <v>46766</v>
      </c>
      <c r="M534" s="59">
        <f t="shared" si="71"/>
        <v>0</v>
      </c>
      <c r="N534" s="59">
        <f t="shared" si="69"/>
        <v>100000</v>
      </c>
      <c r="O534" s="59">
        <f t="shared" si="72"/>
        <v>13.66120218579235</v>
      </c>
      <c r="P534" s="59">
        <f t="shared" si="70"/>
        <v>8.1967213114754092</v>
      </c>
    </row>
    <row r="535" spans="12:16" ht="15" hidden="1" customHeight="1">
      <c r="L535" s="58">
        <f t="shared" si="68"/>
        <v>46767</v>
      </c>
      <c r="M535" s="59">
        <f t="shared" si="71"/>
        <v>0</v>
      </c>
      <c r="N535" s="59">
        <f t="shared" si="69"/>
        <v>100000</v>
      </c>
      <c r="O535" s="59">
        <f t="shared" si="72"/>
        <v>13.66120218579235</v>
      </c>
      <c r="P535" s="59">
        <f t="shared" si="70"/>
        <v>8.1967213114754092</v>
      </c>
    </row>
    <row r="536" spans="12:16" ht="15" hidden="1" customHeight="1">
      <c r="L536" s="58">
        <f t="shared" si="68"/>
        <v>46768</v>
      </c>
      <c r="M536" s="59">
        <f t="shared" si="71"/>
        <v>0</v>
      </c>
      <c r="N536" s="59">
        <f t="shared" si="69"/>
        <v>100000</v>
      </c>
      <c r="O536" s="59">
        <f t="shared" si="72"/>
        <v>13.66120218579235</v>
      </c>
      <c r="P536" s="59">
        <f t="shared" si="70"/>
        <v>8.1967213114754092</v>
      </c>
    </row>
    <row r="537" spans="12:16" ht="15" hidden="1" customHeight="1">
      <c r="L537" s="58">
        <f t="shared" si="68"/>
        <v>46769</v>
      </c>
      <c r="M537" s="59">
        <f t="shared" si="71"/>
        <v>0</v>
      </c>
      <c r="N537" s="59">
        <f t="shared" si="69"/>
        <v>100000</v>
      </c>
      <c r="O537" s="59">
        <f t="shared" si="72"/>
        <v>13.66120218579235</v>
      </c>
      <c r="P537" s="59">
        <f t="shared" si="70"/>
        <v>8.1967213114754092</v>
      </c>
    </row>
    <row r="538" spans="12:16" ht="15" hidden="1" customHeight="1">
      <c r="L538" s="58">
        <f t="shared" si="68"/>
        <v>46770</v>
      </c>
      <c r="M538" s="59">
        <f t="shared" si="71"/>
        <v>0</v>
      </c>
      <c r="N538" s="59">
        <f t="shared" si="69"/>
        <v>100000</v>
      </c>
      <c r="O538" s="59">
        <f t="shared" si="72"/>
        <v>13.66120218579235</v>
      </c>
      <c r="P538" s="59">
        <f t="shared" si="70"/>
        <v>8.1967213114754092</v>
      </c>
    </row>
    <row r="539" spans="12:16" ht="15" hidden="1" customHeight="1">
      <c r="L539" s="58">
        <f t="shared" si="68"/>
        <v>46771</v>
      </c>
      <c r="M539" s="59">
        <f t="shared" si="71"/>
        <v>0</v>
      </c>
      <c r="N539" s="59">
        <f t="shared" si="69"/>
        <v>100000</v>
      </c>
      <c r="O539" s="59">
        <f t="shared" si="72"/>
        <v>13.66120218579235</v>
      </c>
      <c r="P539" s="59">
        <f t="shared" si="70"/>
        <v>8.1967213114754092</v>
      </c>
    </row>
    <row r="540" spans="12:16" ht="15" hidden="1" customHeight="1">
      <c r="L540" s="58">
        <f t="shared" si="68"/>
        <v>46772</v>
      </c>
      <c r="M540" s="59">
        <f t="shared" si="71"/>
        <v>0</v>
      </c>
      <c r="N540" s="59">
        <f t="shared" si="69"/>
        <v>100000</v>
      </c>
      <c r="O540" s="59">
        <f t="shared" si="72"/>
        <v>13.66120218579235</v>
      </c>
      <c r="P540" s="59">
        <f t="shared" si="70"/>
        <v>8.1967213114754092</v>
      </c>
    </row>
    <row r="541" spans="12:16" ht="15" hidden="1" customHeight="1">
      <c r="L541" s="58">
        <f t="shared" si="68"/>
        <v>46773</v>
      </c>
      <c r="M541" s="59">
        <f t="shared" si="71"/>
        <v>0</v>
      </c>
      <c r="N541" s="59">
        <f t="shared" si="69"/>
        <v>100000</v>
      </c>
      <c r="O541" s="59">
        <f t="shared" si="72"/>
        <v>13.66120218579235</v>
      </c>
      <c r="P541" s="59">
        <f t="shared" si="70"/>
        <v>8.1967213114754092</v>
      </c>
    </row>
    <row r="542" spans="12:16" ht="15" hidden="1" customHeight="1">
      <c r="L542" s="58">
        <f t="shared" si="68"/>
        <v>46774</v>
      </c>
      <c r="M542" s="59">
        <f t="shared" si="71"/>
        <v>0</v>
      </c>
      <c r="N542" s="59">
        <f t="shared" si="69"/>
        <v>100000</v>
      </c>
      <c r="O542" s="59">
        <f t="shared" si="72"/>
        <v>13.66120218579235</v>
      </c>
      <c r="P542" s="59">
        <f t="shared" si="70"/>
        <v>8.1967213114754092</v>
      </c>
    </row>
    <row r="543" spans="12:16" ht="15" hidden="1" customHeight="1">
      <c r="L543" s="58">
        <f t="shared" si="68"/>
        <v>46775</v>
      </c>
      <c r="M543" s="59">
        <f t="shared" si="71"/>
        <v>0</v>
      </c>
      <c r="N543" s="59">
        <f t="shared" si="69"/>
        <v>100000</v>
      </c>
      <c r="O543" s="59">
        <f t="shared" si="72"/>
        <v>13.66120218579235</v>
      </c>
      <c r="P543" s="59">
        <f t="shared" si="70"/>
        <v>8.1967213114754092</v>
      </c>
    </row>
    <row r="544" spans="12:16" ht="15" hidden="1" customHeight="1">
      <c r="L544" s="58">
        <f t="shared" si="68"/>
        <v>46776</v>
      </c>
      <c r="M544" s="59">
        <f t="shared" si="71"/>
        <v>0</v>
      </c>
      <c r="N544" s="59">
        <f t="shared" si="69"/>
        <v>100000</v>
      </c>
      <c r="O544" s="59">
        <f t="shared" si="72"/>
        <v>13.66120218579235</v>
      </c>
      <c r="P544" s="59">
        <f t="shared" si="70"/>
        <v>8.1967213114754092</v>
      </c>
    </row>
    <row r="545" spans="12:16" ht="15" hidden="1" customHeight="1">
      <c r="L545" s="58">
        <f t="shared" si="68"/>
        <v>46777</v>
      </c>
      <c r="M545" s="59">
        <f t="shared" si="71"/>
        <v>0</v>
      </c>
      <c r="N545" s="59">
        <f t="shared" si="69"/>
        <v>100000</v>
      </c>
      <c r="O545" s="59">
        <f t="shared" si="72"/>
        <v>13.66120218579235</v>
      </c>
      <c r="P545" s="59">
        <f t="shared" si="70"/>
        <v>8.1967213114754092</v>
      </c>
    </row>
    <row r="546" spans="12:16" ht="15" hidden="1" customHeight="1">
      <c r="L546" s="58">
        <f t="shared" ref="L546:L609" si="73">IFERROR(IF(MAX(L545+1,$F$5+1)&gt;Дата_погашения_Займа,"-",MAX(L545+1,$F$5+1)),"-")</f>
        <v>46778</v>
      </c>
      <c r="M546" s="59">
        <f t="shared" si="71"/>
        <v>0</v>
      </c>
      <c r="N546" s="59">
        <f t="shared" si="69"/>
        <v>100000</v>
      </c>
      <c r="O546" s="59">
        <f t="shared" si="72"/>
        <v>13.66120218579235</v>
      </c>
      <c r="P546" s="59">
        <f t="shared" si="70"/>
        <v>8.1967213114754092</v>
      </c>
    </row>
    <row r="547" spans="12:16" ht="15" hidden="1" customHeight="1">
      <c r="L547" s="58">
        <f t="shared" si="73"/>
        <v>46779</v>
      </c>
      <c r="M547" s="59">
        <f t="shared" si="71"/>
        <v>0</v>
      </c>
      <c r="N547" s="59">
        <f t="shared" si="69"/>
        <v>100000</v>
      </c>
      <c r="O547" s="59">
        <f t="shared" si="72"/>
        <v>13.66120218579235</v>
      </c>
      <c r="P547" s="59">
        <f t="shared" si="70"/>
        <v>8.1967213114754092</v>
      </c>
    </row>
    <row r="548" spans="12:16" ht="15" hidden="1" customHeight="1">
      <c r="L548" s="58">
        <f t="shared" si="73"/>
        <v>46780</v>
      </c>
      <c r="M548" s="59">
        <f t="shared" si="71"/>
        <v>0</v>
      </c>
      <c r="N548" s="59">
        <f t="shared" si="69"/>
        <v>100000</v>
      </c>
      <c r="O548" s="59">
        <f t="shared" si="72"/>
        <v>13.66120218579235</v>
      </c>
      <c r="P548" s="59">
        <f t="shared" si="70"/>
        <v>8.1967213114754092</v>
      </c>
    </row>
    <row r="549" spans="12:16" ht="15" hidden="1" customHeight="1">
      <c r="L549" s="58">
        <f t="shared" si="73"/>
        <v>46781</v>
      </c>
      <c r="M549" s="59">
        <f t="shared" si="71"/>
        <v>0</v>
      </c>
      <c r="N549" s="59">
        <f t="shared" si="69"/>
        <v>100000</v>
      </c>
      <c r="O549" s="59">
        <f t="shared" si="72"/>
        <v>13.66120218579235</v>
      </c>
      <c r="P549" s="59">
        <f t="shared" si="70"/>
        <v>8.1967213114754092</v>
      </c>
    </row>
    <row r="550" spans="12:16" ht="15" hidden="1" customHeight="1">
      <c r="L550" s="58">
        <f t="shared" si="73"/>
        <v>46782</v>
      </c>
      <c r="M550" s="59">
        <f t="shared" si="71"/>
        <v>0</v>
      </c>
      <c r="N550" s="59">
        <f t="shared" si="69"/>
        <v>100000</v>
      </c>
      <c r="O550" s="59">
        <f t="shared" si="72"/>
        <v>13.66120218579235</v>
      </c>
      <c r="P550" s="59">
        <f t="shared" si="70"/>
        <v>8.1967213114754092</v>
      </c>
    </row>
    <row r="551" spans="12:16" ht="15" hidden="1" customHeight="1">
      <c r="L551" s="58">
        <f t="shared" si="73"/>
        <v>46783</v>
      </c>
      <c r="M551" s="59">
        <f t="shared" si="71"/>
        <v>0</v>
      </c>
      <c r="N551" s="59">
        <f t="shared" si="69"/>
        <v>100000</v>
      </c>
      <c r="O551" s="59">
        <f t="shared" si="72"/>
        <v>13.66120218579235</v>
      </c>
      <c r="P551" s="59">
        <f t="shared" si="70"/>
        <v>8.1967213114754092</v>
      </c>
    </row>
    <row r="552" spans="12:16" ht="15" hidden="1" customHeight="1">
      <c r="L552" s="58">
        <f t="shared" si="73"/>
        <v>46784</v>
      </c>
      <c r="M552" s="59">
        <f t="shared" si="71"/>
        <v>0</v>
      </c>
      <c r="N552" s="59">
        <f t="shared" si="69"/>
        <v>100000</v>
      </c>
      <c r="O552" s="59">
        <f t="shared" si="72"/>
        <v>13.66120218579235</v>
      </c>
      <c r="P552" s="59">
        <f t="shared" si="70"/>
        <v>8.1967213114754092</v>
      </c>
    </row>
    <row r="553" spans="12:16" ht="15" hidden="1" customHeight="1">
      <c r="L553" s="58">
        <f t="shared" si="73"/>
        <v>46785</v>
      </c>
      <c r="M553" s="59">
        <f t="shared" si="71"/>
        <v>0</v>
      </c>
      <c r="N553" s="59">
        <f t="shared" si="69"/>
        <v>100000</v>
      </c>
      <c r="O553" s="59">
        <f t="shared" si="72"/>
        <v>13.66120218579235</v>
      </c>
      <c r="P553" s="59">
        <f t="shared" si="70"/>
        <v>8.1967213114754092</v>
      </c>
    </row>
    <row r="554" spans="12:16" ht="15" hidden="1" customHeight="1">
      <c r="L554" s="58">
        <f t="shared" si="73"/>
        <v>46786</v>
      </c>
      <c r="M554" s="59">
        <f t="shared" si="71"/>
        <v>0</v>
      </c>
      <c r="N554" s="59">
        <f t="shared" si="69"/>
        <v>100000</v>
      </c>
      <c r="O554" s="59">
        <f t="shared" si="72"/>
        <v>13.66120218579235</v>
      </c>
      <c r="P554" s="59">
        <f t="shared" si="70"/>
        <v>8.1967213114754092</v>
      </c>
    </row>
    <row r="555" spans="12:16" ht="15" hidden="1" customHeight="1">
      <c r="L555" s="58">
        <f t="shared" si="73"/>
        <v>46787</v>
      </c>
      <c r="M555" s="59">
        <f t="shared" si="71"/>
        <v>0</v>
      </c>
      <c r="N555" s="59">
        <f t="shared" si="69"/>
        <v>100000</v>
      </c>
      <c r="O555" s="59">
        <f t="shared" si="72"/>
        <v>13.66120218579235</v>
      </c>
      <c r="P555" s="59">
        <f t="shared" si="70"/>
        <v>8.1967213114754092</v>
      </c>
    </row>
    <row r="556" spans="12:16" ht="15" hidden="1" customHeight="1">
      <c r="L556" s="58">
        <f t="shared" si="73"/>
        <v>46788</v>
      </c>
      <c r="M556" s="59">
        <f t="shared" si="71"/>
        <v>0</v>
      </c>
      <c r="N556" s="59">
        <f t="shared" si="69"/>
        <v>100000</v>
      </c>
      <c r="O556" s="59">
        <f t="shared" si="72"/>
        <v>13.66120218579235</v>
      </c>
      <c r="P556" s="59">
        <f t="shared" si="70"/>
        <v>8.1967213114754092</v>
      </c>
    </row>
    <row r="557" spans="12:16" ht="15" hidden="1" customHeight="1">
      <c r="L557" s="58">
        <f t="shared" si="73"/>
        <v>46789</v>
      </c>
      <c r="M557" s="59">
        <f t="shared" si="71"/>
        <v>0</v>
      </c>
      <c r="N557" s="59">
        <f t="shared" si="69"/>
        <v>100000</v>
      </c>
      <c r="O557" s="59">
        <f t="shared" si="72"/>
        <v>13.66120218579235</v>
      </c>
      <c r="P557" s="59">
        <f t="shared" si="70"/>
        <v>8.1967213114754092</v>
      </c>
    </row>
    <row r="558" spans="12:16" ht="15" hidden="1" customHeight="1">
      <c r="L558" s="58">
        <f t="shared" si="73"/>
        <v>46790</v>
      </c>
      <c r="M558" s="59">
        <f t="shared" si="71"/>
        <v>0</v>
      </c>
      <c r="N558" s="59">
        <f t="shared" si="69"/>
        <v>100000</v>
      </c>
      <c r="O558" s="59">
        <f t="shared" si="72"/>
        <v>13.66120218579235</v>
      </c>
      <c r="P558" s="59">
        <f t="shared" si="70"/>
        <v>8.1967213114754092</v>
      </c>
    </row>
    <row r="559" spans="12:16" ht="15" hidden="1" customHeight="1">
      <c r="L559" s="58">
        <f t="shared" si="73"/>
        <v>46791</v>
      </c>
      <c r="M559" s="59">
        <f t="shared" si="71"/>
        <v>0</v>
      </c>
      <c r="N559" s="59">
        <f t="shared" si="69"/>
        <v>100000</v>
      </c>
      <c r="O559" s="59">
        <f t="shared" si="72"/>
        <v>13.66120218579235</v>
      </c>
      <c r="P559" s="59">
        <f t="shared" si="70"/>
        <v>8.1967213114754092</v>
      </c>
    </row>
    <row r="560" spans="12:16" ht="15" hidden="1" customHeight="1">
      <c r="L560" s="58">
        <f t="shared" si="73"/>
        <v>46792</v>
      </c>
      <c r="M560" s="59">
        <f t="shared" si="71"/>
        <v>0</v>
      </c>
      <c r="N560" s="59">
        <f t="shared" ref="N560:N623" si="74">IF(ISNUMBER(N559),N559-M560,$E$8)</f>
        <v>100000</v>
      </c>
      <c r="O560" s="59">
        <f t="shared" si="72"/>
        <v>13.66120218579235</v>
      </c>
      <c r="P560" s="59">
        <f t="shared" ref="P560:P623" si="75">IFERROR(IF(ISNUMBER(N559),N559,$E$8)*3%/IF(MOD(YEAR(L560),4),365,366)*IF(ISBLANK(L559),(L560-$F$5),L560-L559),0)</f>
        <v>8.1967213114754092</v>
      </c>
    </row>
    <row r="561" spans="12:16" ht="15" hidden="1" customHeight="1">
      <c r="L561" s="58">
        <f t="shared" si="73"/>
        <v>46793</v>
      </c>
      <c r="M561" s="59">
        <f t="shared" si="71"/>
        <v>0</v>
      </c>
      <c r="N561" s="59">
        <f t="shared" si="74"/>
        <v>100000</v>
      </c>
      <c r="O561" s="59">
        <f t="shared" si="72"/>
        <v>13.66120218579235</v>
      </c>
      <c r="P561" s="59">
        <f t="shared" si="75"/>
        <v>8.1967213114754092</v>
      </c>
    </row>
    <row r="562" spans="12:16" ht="15" hidden="1" customHeight="1">
      <c r="L562" s="58">
        <f t="shared" si="73"/>
        <v>46794</v>
      </c>
      <c r="M562" s="59">
        <f t="shared" si="71"/>
        <v>0</v>
      </c>
      <c r="N562" s="59">
        <f t="shared" si="74"/>
        <v>100000</v>
      </c>
      <c r="O562" s="59">
        <f t="shared" si="72"/>
        <v>13.66120218579235</v>
      </c>
      <c r="P562" s="59">
        <f t="shared" si="75"/>
        <v>8.1967213114754092</v>
      </c>
    </row>
    <row r="563" spans="12:16" ht="15" hidden="1" customHeight="1">
      <c r="L563" s="58">
        <f t="shared" si="73"/>
        <v>46795</v>
      </c>
      <c r="M563" s="59">
        <f t="shared" si="71"/>
        <v>0</v>
      </c>
      <c r="N563" s="59">
        <f t="shared" si="74"/>
        <v>100000</v>
      </c>
      <c r="O563" s="59">
        <f t="shared" si="72"/>
        <v>13.66120218579235</v>
      </c>
      <c r="P563" s="59">
        <f t="shared" si="75"/>
        <v>8.1967213114754092</v>
      </c>
    </row>
    <row r="564" spans="12:16" ht="15" hidden="1" customHeight="1">
      <c r="L564" s="58">
        <f t="shared" si="73"/>
        <v>46796</v>
      </c>
      <c r="M564" s="59">
        <f t="shared" si="71"/>
        <v>0</v>
      </c>
      <c r="N564" s="59">
        <f t="shared" si="74"/>
        <v>100000</v>
      </c>
      <c r="O564" s="59">
        <f t="shared" si="72"/>
        <v>13.66120218579235</v>
      </c>
      <c r="P564" s="59">
        <f t="shared" si="75"/>
        <v>8.1967213114754092</v>
      </c>
    </row>
    <row r="565" spans="12:16" ht="15" hidden="1" customHeight="1">
      <c r="L565" s="58">
        <f t="shared" si="73"/>
        <v>46797</v>
      </c>
      <c r="M565" s="59">
        <f t="shared" si="71"/>
        <v>0</v>
      </c>
      <c r="N565" s="59">
        <f t="shared" si="74"/>
        <v>100000</v>
      </c>
      <c r="O565" s="59">
        <f t="shared" si="72"/>
        <v>13.66120218579235</v>
      </c>
      <c r="P565" s="59">
        <f t="shared" si="75"/>
        <v>8.1967213114754092</v>
      </c>
    </row>
    <row r="566" spans="12:16" ht="15" hidden="1" customHeight="1">
      <c r="L566" s="58">
        <f t="shared" si="73"/>
        <v>46798</v>
      </c>
      <c r="M566" s="59">
        <f t="shared" si="71"/>
        <v>0</v>
      </c>
      <c r="N566" s="59">
        <f t="shared" si="74"/>
        <v>100000</v>
      </c>
      <c r="O566" s="59">
        <f t="shared" si="72"/>
        <v>13.66120218579235</v>
      </c>
      <c r="P566" s="59">
        <f t="shared" si="75"/>
        <v>8.1967213114754092</v>
      </c>
    </row>
    <row r="567" spans="12:16" ht="15" hidden="1" customHeight="1">
      <c r="L567" s="58">
        <f t="shared" si="73"/>
        <v>46799</v>
      </c>
      <c r="M567" s="59">
        <f t="shared" si="71"/>
        <v>0</v>
      </c>
      <c r="N567" s="59">
        <f t="shared" si="74"/>
        <v>100000</v>
      </c>
      <c r="O567" s="59">
        <f t="shared" si="72"/>
        <v>13.66120218579235</v>
      </c>
      <c r="P567" s="59">
        <f t="shared" si="75"/>
        <v>8.1967213114754092</v>
      </c>
    </row>
    <row r="568" spans="12:16" ht="15" hidden="1" customHeight="1">
      <c r="L568" s="58">
        <f t="shared" si="73"/>
        <v>46800</v>
      </c>
      <c r="M568" s="59">
        <f t="shared" si="71"/>
        <v>0</v>
      </c>
      <c r="N568" s="59">
        <f t="shared" si="74"/>
        <v>100000</v>
      </c>
      <c r="O568" s="59">
        <f t="shared" si="72"/>
        <v>13.66120218579235</v>
      </c>
      <c r="P568" s="59">
        <f t="shared" si="75"/>
        <v>8.1967213114754092</v>
      </c>
    </row>
    <row r="569" spans="12:16" ht="15" hidden="1" customHeight="1">
      <c r="L569" s="58">
        <f t="shared" si="73"/>
        <v>46801</v>
      </c>
      <c r="M569" s="59">
        <f t="shared" si="71"/>
        <v>0</v>
      </c>
      <c r="N569" s="59">
        <f t="shared" si="74"/>
        <v>100000</v>
      </c>
      <c r="O569" s="59">
        <f t="shared" si="72"/>
        <v>13.66120218579235</v>
      </c>
      <c r="P569" s="59">
        <f t="shared" si="75"/>
        <v>8.1967213114754092</v>
      </c>
    </row>
    <row r="570" spans="12:16" ht="15" hidden="1" customHeight="1">
      <c r="L570" s="58">
        <f t="shared" si="73"/>
        <v>46802</v>
      </c>
      <c r="M570" s="59">
        <f t="shared" si="71"/>
        <v>0</v>
      </c>
      <c r="N570" s="59">
        <f t="shared" si="74"/>
        <v>100000</v>
      </c>
      <c r="O570" s="59">
        <f t="shared" si="72"/>
        <v>13.66120218579235</v>
      </c>
      <c r="P570" s="59">
        <f t="shared" si="75"/>
        <v>8.1967213114754092</v>
      </c>
    </row>
    <row r="571" spans="12:16" ht="15" hidden="1" customHeight="1">
      <c r="L571" s="58">
        <f t="shared" si="73"/>
        <v>46803</v>
      </c>
      <c r="M571" s="59">
        <f t="shared" si="71"/>
        <v>0</v>
      </c>
      <c r="N571" s="59">
        <f t="shared" si="74"/>
        <v>100000</v>
      </c>
      <c r="O571" s="59">
        <f t="shared" si="72"/>
        <v>13.66120218579235</v>
      </c>
      <c r="P571" s="59">
        <f t="shared" si="75"/>
        <v>8.1967213114754092</v>
      </c>
    </row>
    <row r="572" spans="12:16" ht="15" hidden="1" customHeight="1">
      <c r="L572" s="58">
        <f t="shared" si="73"/>
        <v>46804</v>
      </c>
      <c r="M572" s="59">
        <f t="shared" si="71"/>
        <v>0</v>
      </c>
      <c r="N572" s="59">
        <f t="shared" si="74"/>
        <v>100000</v>
      </c>
      <c r="O572" s="59">
        <f t="shared" si="72"/>
        <v>13.66120218579235</v>
      </c>
      <c r="P572" s="59">
        <f t="shared" si="75"/>
        <v>8.1967213114754092</v>
      </c>
    </row>
    <row r="573" spans="12:16" ht="15" hidden="1" customHeight="1">
      <c r="L573" s="58">
        <f t="shared" si="73"/>
        <v>46805</v>
      </c>
      <c r="M573" s="59">
        <f t="shared" si="71"/>
        <v>0</v>
      </c>
      <c r="N573" s="59">
        <f t="shared" si="74"/>
        <v>100000</v>
      </c>
      <c r="O573" s="59">
        <f t="shared" si="72"/>
        <v>13.66120218579235</v>
      </c>
      <c r="P573" s="59">
        <f t="shared" si="75"/>
        <v>8.1967213114754092</v>
      </c>
    </row>
    <row r="574" spans="12:16" ht="15" hidden="1" customHeight="1">
      <c r="L574" s="58">
        <f t="shared" si="73"/>
        <v>46806</v>
      </c>
      <c r="M574" s="59">
        <f t="shared" si="71"/>
        <v>0</v>
      </c>
      <c r="N574" s="59">
        <f t="shared" si="74"/>
        <v>100000</v>
      </c>
      <c r="O574" s="59">
        <f t="shared" si="72"/>
        <v>13.66120218579235</v>
      </c>
      <c r="P574" s="59">
        <f t="shared" si="75"/>
        <v>8.1967213114754092</v>
      </c>
    </row>
    <row r="575" spans="12:16" ht="15" hidden="1" customHeight="1">
      <c r="L575" s="58">
        <f t="shared" si="73"/>
        <v>46807</v>
      </c>
      <c r="M575" s="59">
        <f t="shared" si="71"/>
        <v>0</v>
      </c>
      <c r="N575" s="59">
        <f t="shared" si="74"/>
        <v>100000</v>
      </c>
      <c r="O575" s="59">
        <f t="shared" si="72"/>
        <v>13.66120218579235</v>
      </c>
      <c r="P575" s="59">
        <f t="shared" si="75"/>
        <v>8.1967213114754092</v>
      </c>
    </row>
    <row r="576" spans="12:16" ht="15" hidden="1" customHeight="1">
      <c r="L576" s="58">
        <f t="shared" si="73"/>
        <v>46808</v>
      </c>
      <c r="M576" s="59">
        <f t="shared" si="71"/>
        <v>0</v>
      </c>
      <c r="N576" s="59">
        <f t="shared" si="74"/>
        <v>100000</v>
      </c>
      <c r="O576" s="59">
        <f t="shared" si="72"/>
        <v>13.66120218579235</v>
      </c>
      <c r="P576" s="59">
        <f t="shared" si="75"/>
        <v>8.1967213114754092</v>
      </c>
    </row>
    <row r="577" spans="12:16" ht="15" hidden="1" customHeight="1">
      <c r="L577" s="58">
        <f t="shared" si="73"/>
        <v>46809</v>
      </c>
      <c r="M577" s="59">
        <f t="shared" si="71"/>
        <v>0</v>
      </c>
      <c r="N577" s="59">
        <f t="shared" si="74"/>
        <v>100000</v>
      </c>
      <c r="O577" s="59">
        <f t="shared" si="72"/>
        <v>13.66120218579235</v>
      </c>
      <c r="P577" s="59">
        <f t="shared" si="75"/>
        <v>8.1967213114754092</v>
      </c>
    </row>
    <row r="578" spans="12:16" ht="15" hidden="1" customHeight="1">
      <c r="L578" s="58">
        <f t="shared" si="73"/>
        <v>46810</v>
      </c>
      <c r="M578" s="59">
        <f t="shared" si="71"/>
        <v>0</v>
      </c>
      <c r="N578" s="59">
        <f t="shared" si="74"/>
        <v>100000</v>
      </c>
      <c r="O578" s="59">
        <f t="shared" si="72"/>
        <v>13.66120218579235</v>
      </c>
      <c r="P578" s="59">
        <f t="shared" si="75"/>
        <v>8.1967213114754092</v>
      </c>
    </row>
    <row r="579" spans="12:16" ht="15" hidden="1" customHeight="1">
      <c r="L579" s="58">
        <f t="shared" si="73"/>
        <v>46811</v>
      </c>
      <c r="M579" s="59">
        <f t="shared" si="71"/>
        <v>0</v>
      </c>
      <c r="N579" s="59">
        <f t="shared" si="74"/>
        <v>100000</v>
      </c>
      <c r="O579" s="59">
        <f t="shared" si="72"/>
        <v>13.66120218579235</v>
      </c>
      <c r="P579" s="59">
        <f t="shared" si="75"/>
        <v>8.1967213114754092</v>
      </c>
    </row>
    <row r="580" spans="12:16" ht="15" hidden="1" customHeight="1">
      <c r="L580" s="58">
        <f t="shared" si="73"/>
        <v>46812</v>
      </c>
      <c r="M580" s="59">
        <f t="shared" si="71"/>
        <v>0</v>
      </c>
      <c r="N580" s="59">
        <f t="shared" si="74"/>
        <v>100000</v>
      </c>
      <c r="O580" s="59">
        <f t="shared" si="72"/>
        <v>13.66120218579235</v>
      </c>
      <c r="P580" s="59">
        <f t="shared" si="75"/>
        <v>8.1967213114754092</v>
      </c>
    </row>
    <row r="581" spans="12:16" ht="15" hidden="1" customHeight="1">
      <c r="L581" s="58">
        <f t="shared" si="73"/>
        <v>46813</v>
      </c>
      <c r="M581" s="59">
        <f t="shared" si="71"/>
        <v>0</v>
      </c>
      <c r="N581" s="59">
        <f t="shared" si="74"/>
        <v>100000</v>
      </c>
      <c r="O581" s="59">
        <f t="shared" si="72"/>
        <v>13.66120218579235</v>
      </c>
      <c r="P581" s="59">
        <f t="shared" si="75"/>
        <v>8.1967213114754092</v>
      </c>
    </row>
    <row r="582" spans="12:16" ht="15" hidden="1" customHeight="1">
      <c r="L582" s="58">
        <f t="shared" si="73"/>
        <v>46814</v>
      </c>
      <c r="M582" s="59">
        <f t="shared" si="71"/>
        <v>0</v>
      </c>
      <c r="N582" s="59">
        <f t="shared" si="74"/>
        <v>100000</v>
      </c>
      <c r="O582" s="59">
        <f t="shared" si="72"/>
        <v>13.66120218579235</v>
      </c>
      <c r="P582" s="59">
        <f t="shared" si="75"/>
        <v>8.1967213114754092</v>
      </c>
    </row>
    <row r="583" spans="12:16" ht="15" hidden="1" customHeight="1">
      <c r="L583" s="58">
        <f t="shared" si="73"/>
        <v>46815</v>
      </c>
      <c r="M583" s="59">
        <f t="shared" si="71"/>
        <v>0</v>
      </c>
      <c r="N583" s="59">
        <f t="shared" si="74"/>
        <v>100000</v>
      </c>
      <c r="O583" s="59">
        <f t="shared" si="72"/>
        <v>13.66120218579235</v>
      </c>
      <c r="P583" s="59">
        <f t="shared" si="75"/>
        <v>8.1967213114754092</v>
      </c>
    </row>
    <row r="584" spans="12:16" ht="15" hidden="1" customHeight="1">
      <c r="L584" s="58">
        <f t="shared" si="73"/>
        <v>46816</v>
      </c>
      <c r="M584" s="59">
        <f t="shared" si="71"/>
        <v>0</v>
      </c>
      <c r="N584" s="59">
        <f t="shared" si="74"/>
        <v>100000</v>
      </c>
      <c r="O584" s="59">
        <f t="shared" si="72"/>
        <v>13.66120218579235</v>
      </c>
      <c r="P584" s="59">
        <f t="shared" si="75"/>
        <v>8.1967213114754092</v>
      </c>
    </row>
    <row r="585" spans="12:16" ht="15" hidden="1" customHeight="1">
      <c r="L585" s="58">
        <f t="shared" si="73"/>
        <v>46817</v>
      </c>
      <c r="M585" s="59">
        <f t="shared" si="71"/>
        <v>0</v>
      </c>
      <c r="N585" s="59">
        <f t="shared" si="74"/>
        <v>100000</v>
      </c>
      <c r="O585" s="59">
        <f t="shared" si="72"/>
        <v>13.66120218579235</v>
      </c>
      <c r="P585" s="59">
        <f t="shared" si="75"/>
        <v>8.1967213114754092</v>
      </c>
    </row>
    <row r="586" spans="12:16" ht="15" hidden="1" customHeight="1">
      <c r="L586" s="58">
        <f t="shared" si="73"/>
        <v>46818</v>
      </c>
      <c r="M586" s="59">
        <f t="shared" si="71"/>
        <v>0</v>
      </c>
      <c r="N586" s="59">
        <f t="shared" si="74"/>
        <v>100000</v>
      </c>
      <c r="O586" s="59">
        <f t="shared" si="72"/>
        <v>13.66120218579235</v>
      </c>
      <c r="P586" s="59">
        <f t="shared" si="75"/>
        <v>8.1967213114754092</v>
      </c>
    </row>
    <row r="587" spans="12:16" ht="15" hidden="1" customHeight="1">
      <c r="L587" s="58">
        <f t="shared" si="73"/>
        <v>46819</v>
      </c>
      <c r="M587" s="59">
        <f t="shared" si="71"/>
        <v>0</v>
      </c>
      <c r="N587" s="59">
        <f t="shared" si="74"/>
        <v>100000</v>
      </c>
      <c r="O587" s="59">
        <f t="shared" si="72"/>
        <v>13.66120218579235</v>
      </c>
      <c r="P587" s="59">
        <f t="shared" si="75"/>
        <v>8.1967213114754092</v>
      </c>
    </row>
    <row r="588" spans="12:16" ht="15" hidden="1" customHeight="1">
      <c r="L588" s="58">
        <f t="shared" si="73"/>
        <v>46820</v>
      </c>
      <c r="M588" s="59">
        <f t="shared" si="71"/>
        <v>0</v>
      </c>
      <c r="N588" s="59">
        <f t="shared" si="74"/>
        <v>100000</v>
      </c>
      <c r="O588" s="59">
        <f t="shared" si="72"/>
        <v>13.66120218579235</v>
      </c>
      <c r="P588" s="59">
        <f t="shared" si="75"/>
        <v>8.1967213114754092</v>
      </c>
    </row>
    <row r="589" spans="12:16" ht="15" hidden="1" customHeight="1">
      <c r="L589" s="58">
        <f t="shared" si="73"/>
        <v>46821</v>
      </c>
      <c r="M589" s="59">
        <f t="shared" si="71"/>
        <v>0</v>
      </c>
      <c r="N589" s="59">
        <f t="shared" si="74"/>
        <v>100000</v>
      </c>
      <c r="O589" s="59">
        <f t="shared" si="72"/>
        <v>13.66120218579235</v>
      </c>
      <c r="P589" s="59">
        <f t="shared" si="75"/>
        <v>8.1967213114754092</v>
      </c>
    </row>
    <row r="590" spans="12:16" ht="15" hidden="1" customHeight="1">
      <c r="L590" s="58">
        <f t="shared" si="73"/>
        <v>46822</v>
      </c>
      <c r="M590" s="59">
        <f t="shared" si="71"/>
        <v>0</v>
      </c>
      <c r="N590" s="59">
        <f t="shared" si="74"/>
        <v>100000</v>
      </c>
      <c r="O590" s="59">
        <f t="shared" si="72"/>
        <v>13.66120218579235</v>
      </c>
      <c r="P590" s="59">
        <f t="shared" si="75"/>
        <v>8.1967213114754092</v>
      </c>
    </row>
    <row r="591" spans="12:16" ht="15" hidden="1" customHeight="1">
      <c r="L591" s="58">
        <f t="shared" si="73"/>
        <v>46823</v>
      </c>
      <c r="M591" s="59">
        <f t="shared" si="71"/>
        <v>0</v>
      </c>
      <c r="N591" s="59">
        <f t="shared" si="74"/>
        <v>100000</v>
      </c>
      <c r="O591" s="59">
        <f t="shared" si="72"/>
        <v>13.66120218579235</v>
      </c>
      <c r="P591" s="59">
        <f t="shared" si="75"/>
        <v>8.1967213114754092</v>
      </c>
    </row>
    <row r="592" spans="12:16" ht="15" hidden="1" customHeight="1">
      <c r="L592" s="58">
        <f t="shared" si="73"/>
        <v>46824</v>
      </c>
      <c r="M592" s="59">
        <f t="shared" si="71"/>
        <v>0</v>
      </c>
      <c r="N592" s="59">
        <f t="shared" si="74"/>
        <v>100000</v>
      </c>
      <c r="O592" s="59">
        <f t="shared" si="72"/>
        <v>13.66120218579235</v>
      </c>
      <c r="P592" s="59">
        <f t="shared" si="75"/>
        <v>8.1967213114754092</v>
      </c>
    </row>
    <row r="593" spans="12:16" ht="15" hidden="1" customHeight="1">
      <c r="L593" s="58">
        <f t="shared" si="73"/>
        <v>46825</v>
      </c>
      <c r="M593" s="59">
        <f t="shared" si="71"/>
        <v>0</v>
      </c>
      <c r="N593" s="59">
        <f t="shared" si="74"/>
        <v>100000</v>
      </c>
      <c r="O593" s="59">
        <f t="shared" si="72"/>
        <v>13.66120218579235</v>
      </c>
      <c r="P593" s="59">
        <f t="shared" si="75"/>
        <v>8.1967213114754092</v>
      </c>
    </row>
    <row r="594" spans="12:16" ht="15" hidden="1" customHeight="1">
      <c r="L594" s="58">
        <f t="shared" si="73"/>
        <v>46826</v>
      </c>
      <c r="M594" s="59">
        <f t="shared" si="71"/>
        <v>0</v>
      </c>
      <c r="N594" s="59">
        <f t="shared" si="74"/>
        <v>100000</v>
      </c>
      <c r="O594" s="59">
        <f t="shared" si="72"/>
        <v>13.66120218579235</v>
      </c>
      <c r="P594" s="59">
        <f t="shared" si="75"/>
        <v>8.1967213114754092</v>
      </c>
    </row>
    <row r="595" spans="12:16" ht="15" hidden="1" customHeight="1">
      <c r="L595" s="58">
        <f t="shared" si="73"/>
        <v>46827</v>
      </c>
      <c r="M595" s="59">
        <f t="shared" ref="M595:M658" si="76">IFERROR(VLOOKUP(L595,$B$19:$E$80,4,FALSE),0)</f>
        <v>0</v>
      </c>
      <c r="N595" s="59">
        <f t="shared" si="74"/>
        <v>100000</v>
      </c>
      <c r="O595" s="59">
        <f t="shared" ref="O595:O658" si="77">IFERROR(IF(ISNUMBER(N594),N594,$E$8)*IF(L595&gt;=$J$8,$E$12,$E$12)/IF(MOD(YEAR(L595),4),365,366)*IF(ISBLANK(L594),L595-$F$5,L595-L594),0)</f>
        <v>13.66120218579235</v>
      </c>
      <c r="P595" s="59">
        <f t="shared" si="75"/>
        <v>8.1967213114754092</v>
      </c>
    </row>
    <row r="596" spans="12:16" ht="15" hidden="1" customHeight="1">
      <c r="L596" s="58">
        <f t="shared" si="73"/>
        <v>46828</v>
      </c>
      <c r="M596" s="59">
        <f t="shared" si="76"/>
        <v>0</v>
      </c>
      <c r="N596" s="59">
        <f t="shared" si="74"/>
        <v>100000</v>
      </c>
      <c r="O596" s="59">
        <f t="shared" si="77"/>
        <v>13.66120218579235</v>
      </c>
      <c r="P596" s="59">
        <f t="shared" si="75"/>
        <v>8.1967213114754092</v>
      </c>
    </row>
    <row r="597" spans="12:16" ht="15" hidden="1" customHeight="1">
      <c r="L597" s="58">
        <f t="shared" si="73"/>
        <v>46829</v>
      </c>
      <c r="M597" s="59">
        <f t="shared" si="76"/>
        <v>0</v>
      </c>
      <c r="N597" s="59">
        <f t="shared" si="74"/>
        <v>100000</v>
      </c>
      <c r="O597" s="59">
        <f t="shared" si="77"/>
        <v>13.66120218579235</v>
      </c>
      <c r="P597" s="59">
        <f t="shared" si="75"/>
        <v>8.1967213114754092</v>
      </c>
    </row>
    <row r="598" spans="12:16" ht="15" hidden="1" customHeight="1">
      <c r="L598" s="58">
        <f t="shared" si="73"/>
        <v>46830</v>
      </c>
      <c r="M598" s="59">
        <f t="shared" si="76"/>
        <v>0</v>
      </c>
      <c r="N598" s="59">
        <f t="shared" si="74"/>
        <v>100000</v>
      </c>
      <c r="O598" s="59">
        <f t="shared" si="77"/>
        <v>13.66120218579235</v>
      </c>
      <c r="P598" s="59">
        <f t="shared" si="75"/>
        <v>8.1967213114754092</v>
      </c>
    </row>
    <row r="599" spans="12:16" ht="15" hidden="1" customHeight="1">
      <c r="L599" s="58">
        <f t="shared" si="73"/>
        <v>46831</v>
      </c>
      <c r="M599" s="59">
        <f t="shared" si="76"/>
        <v>0</v>
      </c>
      <c r="N599" s="59">
        <f t="shared" si="74"/>
        <v>100000</v>
      </c>
      <c r="O599" s="59">
        <f t="shared" si="77"/>
        <v>13.66120218579235</v>
      </c>
      <c r="P599" s="59">
        <f t="shared" si="75"/>
        <v>8.1967213114754092</v>
      </c>
    </row>
    <row r="600" spans="12:16" ht="15" hidden="1" customHeight="1">
      <c r="L600" s="58">
        <f t="shared" si="73"/>
        <v>46832</v>
      </c>
      <c r="M600" s="59">
        <f t="shared" si="76"/>
        <v>0</v>
      </c>
      <c r="N600" s="59">
        <f t="shared" si="74"/>
        <v>100000</v>
      </c>
      <c r="O600" s="59">
        <f t="shared" si="77"/>
        <v>13.66120218579235</v>
      </c>
      <c r="P600" s="59">
        <f t="shared" si="75"/>
        <v>8.1967213114754092</v>
      </c>
    </row>
    <row r="601" spans="12:16" ht="15" hidden="1" customHeight="1">
      <c r="L601" s="58">
        <f t="shared" si="73"/>
        <v>46833</v>
      </c>
      <c r="M601" s="59">
        <f t="shared" si="76"/>
        <v>0</v>
      </c>
      <c r="N601" s="59">
        <f t="shared" si="74"/>
        <v>100000</v>
      </c>
      <c r="O601" s="59">
        <f t="shared" si="77"/>
        <v>13.66120218579235</v>
      </c>
      <c r="P601" s="59">
        <f t="shared" si="75"/>
        <v>8.1967213114754092</v>
      </c>
    </row>
    <row r="602" spans="12:16" ht="15" hidden="1" customHeight="1">
      <c r="L602" s="58">
        <f t="shared" si="73"/>
        <v>46834</v>
      </c>
      <c r="M602" s="59">
        <f t="shared" si="76"/>
        <v>0</v>
      </c>
      <c r="N602" s="59">
        <f t="shared" si="74"/>
        <v>100000</v>
      </c>
      <c r="O602" s="59">
        <f t="shared" si="77"/>
        <v>13.66120218579235</v>
      </c>
      <c r="P602" s="59">
        <f t="shared" si="75"/>
        <v>8.1967213114754092</v>
      </c>
    </row>
    <row r="603" spans="12:16" ht="15" hidden="1" customHeight="1">
      <c r="L603" s="58">
        <f t="shared" si="73"/>
        <v>46835</v>
      </c>
      <c r="M603" s="59">
        <f t="shared" si="76"/>
        <v>0</v>
      </c>
      <c r="N603" s="59">
        <f t="shared" si="74"/>
        <v>100000</v>
      </c>
      <c r="O603" s="59">
        <f t="shared" si="77"/>
        <v>13.66120218579235</v>
      </c>
      <c r="P603" s="59">
        <f t="shared" si="75"/>
        <v>8.1967213114754092</v>
      </c>
    </row>
    <row r="604" spans="12:16" ht="15" hidden="1" customHeight="1">
      <c r="L604" s="58">
        <f t="shared" si="73"/>
        <v>46836</v>
      </c>
      <c r="M604" s="59">
        <f t="shared" si="76"/>
        <v>0</v>
      </c>
      <c r="N604" s="59">
        <f t="shared" si="74"/>
        <v>100000</v>
      </c>
      <c r="O604" s="59">
        <f t="shared" si="77"/>
        <v>13.66120218579235</v>
      </c>
      <c r="P604" s="59">
        <f t="shared" si="75"/>
        <v>8.1967213114754092</v>
      </c>
    </row>
    <row r="605" spans="12:16" ht="15" hidden="1" customHeight="1">
      <c r="L605" s="58">
        <f t="shared" si="73"/>
        <v>46837</v>
      </c>
      <c r="M605" s="59">
        <f t="shared" si="76"/>
        <v>0</v>
      </c>
      <c r="N605" s="59">
        <f t="shared" si="74"/>
        <v>100000</v>
      </c>
      <c r="O605" s="59">
        <f t="shared" si="77"/>
        <v>13.66120218579235</v>
      </c>
      <c r="P605" s="59">
        <f t="shared" si="75"/>
        <v>8.1967213114754092</v>
      </c>
    </row>
    <row r="606" spans="12:16" ht="15" hidden="1" customHeight="1">
      <c r="L606" s="58">
        <f t="shared" si="73"/>
        <v>46838</v>
      </c>
      <c r="M606" s="59">
        <f t="shared" si="76"/>
        <v>0</v>
      </c>
      <c r="N606" s="59">
        <f t="shared" si="74"/>
        <v>100000</v>
      </c>
      <c r="O606" s="59">
        <f t="shared" si="77"/>
        <v>13.66120218579235</v>
      </c>
      <c r="P606" s="59">
        <f t="shared" si="75"/>
        <v>8.1967213114754092</v>
      </c>
    </row>
    <row r="607" spans="12:16" ht="15" hidden="1" customHeight="1">
      <c r="L607" s="58">
        <f t="shared" si="73"/>
        <v>46839</v>
      </c>
      <c r="M607" s="59">
        <f t="shared" si="76"/>
        <v>0</v>
      </c>
      <c r="N607" s="59">
        <f t="shared" si="74"/>
        <v>100000</v>
      </c>
      <c r="O607" s="59">
        <f t="shared" si="77"/>
        <v>13.66120218579235</v>
      </c>
      <c r="P607" s="59">
        <f t="shared" si="75"/>
        <v>8.1967213114754092</v>
      </c>
    </row>
    <row r="608" spans="12:16" ht="15" hidden="1" customHeight="1">
      <c r="L608" s="58">
        <f t="shared" si="73"/>
        <v>46840</v>
      </c>
      <c r="M608" s="59">
        <f t="shared" si="76"/>
        <v>0</v>
      </c>
      <c r="N608" s="59">
        <f t="shared" si="74"/>
        <v>100000</v>
      </c>
      <c r="O608" s="59">
        <f t="shared" si="77"/>
        <v>13.66120218579235</v>
      </c>
      <c r="P608" s="59">
        <f t="shared" si="75"/>
        <v>8.1967213114754092</v>
      </c>
    </row>
    <row r="609" spans="12:16" ht="15" hidden="1" customHeight="1">
      <c r="L609" s="58">
        <f t="shared" si="73"/>
        <v>46841</v>
      </c>
      <c r="M609" s="59">
        <f t="shared" si="76"/>
        <v>0</v>
      </c>
      <c r="N609" s="59">
        <f t="shared" si="74"/>
        <v>100000</v>
      </c>
      <c r="O609" s="59">
        <f t="shared" si="77"/>
        <v>13.66120218579235</v>
      </c>
      <c r="P609" s="59">
        <f t="shared" si="75"/>
        <v>8.1967213114754092</v>
      </c>
    </row>
    <row r="610" spans="12:16" ht="15" hidden="1" customHeight="1">
      <c r="L610" s="58">
        <f t="shared" ref="L610:L673" si="78">IFERROR(IF(MAX(L609+1,$F$5+1)&gt;Дата_погашения_Займа,"-",MAX(L609+1,$F$5+1)),"-")</f>
        <v>46842</v>
      </c>
      <c r="M610" s="59">
        <f t="shared" si="76"/>
        <v>0</v>
      </c>
      <c r="N610" s="59">
        <f t="shared" si="74"/>
        <v>100000</v>
      </c>
      <c r="O610" s="59">
        <f t="shared" si="77"/>
        <v>13.66120218579235</v>
      </c>
      <c r="P610" s="59">
        <f t="shared" si="75"/>
        <v>8.1967213114754092</v>
      </c>
    </row>
    <row r="611" spans="12:16" ht="15" hidden="1" customHeight="1">
      <c r="L611" s="58">
        <f t="shared" si="78"/>
        <v>46843</v>
      </c>
      <c r="M611" s="59">
        <f t="shared" si="76"/>
        <v>0</v>
      </c>
      <c r="N611" s="59">
        <f t="shared" si="74"/>
        <v>100000</v>
      </c>
      <c r="O611" s="59">
        <f t="shared" si="77"/>
        <v>13.66120218579235</v>
      </c>
      <c r="P611" s="59">
        <f t="shared" si="75"/>
        <v>8.1967213114754092</v>
      </c>
    </row>
    <row r="612" spans="12:16" ht="15" hidden="1" customHeight="1">
      <c r="L612" s="58">
        <f t="shared" si="78"/>
        <v>46844</v>
      </c>
      <c r="M612" s="59">
        <f t="shared" si="76"/>
        <v>0</v>
      </c>
      <c r="N612" s="59">
        <f t="shared" si="74"/>
        <v>100000</v>
      </c>
      <c r="O612" s="59">
        <f t="shared" si="77"/>
        <v>13.66120218579235</v>
      </c>
      <c r="P612" s="59">
        <f t="shared" si="75"/>
        <v>8.1967213114754092</v>
      </c>
    </row>
    <row r="613" spans="12:16" ht="15" hidden="1" customHeight="1">
      <c r="L613" s="58">
        <f t="shared" si="78"/>
        <v>46845</v>
      </c>
      <c r="M613" s="59">
        <f t="shared" si="76"/>
        <v>0</v>
      </c>
      <c r="N613" s="59">
        <f t="shared" si="74"/>
        <v>100000</v>
      </c>
      <c r="O613" s="59">
        <f t="shared" si="77"/>
        <v>13.66120218579235</v>
      </c>
      <c r="P613" s="59">
        <f t="shared" si="75"/>
        <v>8.1967213114754092</v>
      </c>
    </row>
    <row r="614" spans="12:16" ht="15" hidden="1" customHeight="1">
      <c r="L614" s="58">
        <f t="shared" si="78"/>
        <v>46846</v>
      </c>
      <c r="M614" s="59">
        <f t="shared" si="76"/>
        <v>0</v>
      </c>
      <c r="N614" s="59">
        <f t="shared" si="74"/>
        <v>100000</v>
      </c>
      <c r="O614" s="59">
        <f t="shared" si="77"/>
        <v>13.66120218579235</v>
      </c>
      <c r="P614" s="59">
        <f t="shared" si="75"/>
        <v>8.1967213114754092</v>
      </c>
    </row>
    <row r="615" spans="12:16" ht="15" hidden="1" customHeight="1">
      <c r="L615" s="58">
        <f t="shared" si="78"/>
        <v>46847</v>
      </c>
      <c r="M615" s="59">
        <f t="shared" si="76"/>
        <v>0</v>
      </c>
      <c r="N615" s="59">
        <f t="shared" si="74"/>
        <v>100000</v>
      </c>
      <c r="O615" s="59">
        <f t="shared" si="77"/>
        <v>13.66120218579235</v>
      </c>
      <c r="P615" s="59">
        <f t="shared" si="75"/>
        <v>8.1967213114754092</v>
      </c>
    </row>
    <row r="616" spans="12:16" ht="15" hidden="1" customHeight="1">
      <c r="L616" s="58">
        <f t="shared" si="78"/>
        <v>46848</v>
      </c>
      <c r="M616" s="59">
        <f t="shared" si="76"/>
        <v>0</v>
      </c>
      <c r="N616" s="59">
        <f t="shared" si="74"/>
        <v>100000</v>
      </c>
      <c r="O616" s="59">
        <f t="shared" si="77"/>
        <v>13.66120218579235</v>
      </c>
      <c r="P616" s="59">
        <f t="shared" si="75"/>
        <v>8.1967213114754092</v>
      </c>
    </row>
    <row r="617" spans="12:16" ht="15" hidden="1" customHeight="1">
      <c r="L617" s="58">
        <f t="shared" si="78"/>
        <v>46849</v>
      </c>
      <c r="M617" s="59">
        <f t="shared" si="76"/>
        <v>0</v>
      </c>
      <c r="N617" s="59">
        <f t="shared" si="74"/>
        <v>100000</v>
      </c>
      <c r="O617" s="59">
        <f t="shared" si="77"/>
        <v>13.66120218579235</v>
      </c>
      <c r="P617" s="59">
        <f t="shared" si="75"/>
        <v>8.1967213114754092</v>
      </c>
    </row>
    <row r="618" spans="12:16" ht="15" hidden="1" customHeight="1">
      <c r="L618" s="58">
        <f t="shared" si="78"/>
        <v>46850</v>
      </c>
      <c r="M618" s="59">
        <f t="shared" si="76"/>
        <v>0</v>
      </c>
      <c r="N618" s="59">
        <f t="shared" si="74"/>
        <v>100000</v>
      </c>
      <c r="O618" s="59">
        <f t="shared" si="77"/>
        <v>13.66120218579235</v>
      </c>
      <c r="P618" s="59">
        <f t="shared" si="75"/>
        <v>8.1967213114754092</v>
      </c>
    </row>
    <row r="619" spans="12:16" ht="15" hidden="1" customHeight="1">
      <c r="L619" s="58">
        <f t="shared" si="78"/>
        <v>46851</v>
      </c>
      <c r="M619" s="59">
        <f t="shared" si="76"/>
        <v>0</v>
      </c>
      <c r="N619" s="59">
        <f t="shared" si="74"/>
        <v>100000</v>
      </c>
      <c r="O619" s="59">
        <f t="shared" si="77"/>
        <v>13.66120218579235</v>
      </c>
      <c r="P619" s="59">
        <f t="shared" si="75"/>
        <v>8.1967213114754092</v>
      </c>
    </row>
    <row r="620" spans="12:16" ht="15" hidden="1" customHeight="1">
      <c r="L620" s="58">
        <f t="shared" si="78"/>
        <v>46852</v>
      </c>
      <c r="M620" s="59">
        <f t="shared" si="76"/>
        <v>0</v>
      </c>
      <c r="N620" s="59">
        <f t="shared" si="74"/>
        <v>100000</v>
      </c>
      <c r="O620" s="59">
        <f t="shared" si="77"/>
        <v>13.66120218579235</v>
      </c>
      <c r="P620" s="59">
        <f t="shared" si="75"/>
        <v>8.1967213114754092</v>
      </c>
    </row>
    <row r="621" spans="12:16" ht="15" hidden="1" customHeight="1">
      <c r="L621" s="58">
        <f t="shared" si="78"/>
        <v>46853</v>
      </c>
      <c r="M621" s="59">
        <f t="shared" si="76"/>
        <v>0</v>
      </c>
      <c r="N621" s="59">
        <f t="shared" si="74"/>
        <v>100000</v>
      </c>
      <c r="O621" s="59">
        <f t="shared" si="77"/>
        <v>13.66120218579235</v>
      </c>
      <c r="P621" s="59">
        <f t="shared" si="75"/>
        <v>8.1967213114754092</v>
      </c>
    </row>
    <row r="622" spans="12:16" ht="15" hidden="1" customHeight="1">
      <c r="L622" s="58">
        <f t="shared" si="78"/>
        <v>46854</v>
      </c>
      <c r="M622" s="59">
        <f t="shared" si="76"/>
        <v>0</v>
      </c>
      <c r="N622" s="59">
        <f t="shared" si="74"/>
        <v>100000</v>
      </c>
      <c r="O622" s="59">
        <f t="shared" si="77"/>
        <v>13.66120218579235</v>
      </c>
      <c r="P622" s="59">
        <f t="shared" si="75"/>
        <v>8.1967213114754092</v>
      </c>
    </row>
    <row r="623" spans="12:16" ht="15" hidden="1" customHeight="1">
      <c r="L623" s="58">
        <f t="shared" si="78"/>
        <v>46855</v>
      </c>
      <c r="M623" s="59">
        <f t="shared" si="76"/>
        <v>0</v>
      </c>
      <c r="N623" s="59">
        <f t="shared" si="74"/>
        <v>100000</v>
      </c>
      <c r="O623" s="59">
        <f t="shared" si="77"/>
        <v>13.66120218579235</v>
      </c>
      <c r="P623" s="59">
        <f t="shared" si="75"/>
        <v>8.1967213114754092</v>
      </c>
    </row>
    <row r="624" spans="12:16" ht="15" hidden="1" customHeight="1">
      <c r="L624" s="58">
        <f t="shared" si="78"/>
        <v>46856</v>
      </c>
      <c r="M624" s="59">
        <f t="shared" si="76"/>
        <v>0</v>
      </c>
      <c r="N624" s="59">
        <f t="shared" ref="N624:N687" si="79">IF(ISNUMBER(N623),N623-M624,$E$8)</f>
        <v>100000</v>
      </c>
      <c r="O624" s="59">
        <f t="shared" si="77"/>
        <v>13.66120218579235</v>
      </c>
      <c r="P624" s="59">
        <f t="shared" ref="P624:P687" si="80">IFERROR(IF(ISNUMBER(N623),N623,$E$8)*3%/IF(MOD(YEAR(L624),4),365,366)*IF(ISBLANK(L623),(L624-$F$5),L624-L623),0)</f>
        <v>8.1967213114754092</v>
      </c>
    </row>
    <row r="625" spans="12:16" ht="15" hidden="1" customHeight="1">
      <c r="L625" s="58">
        <f t="shared" si="78"/>
        <v>46857</v>
      </c>
      <c r="M625" s="59">
        <f t="shared" si="76"/>
        <v>0</v>
      </c>
      <c r="N625" s="59">
        <f t="shared" si="79"/>
        <v>100000</v>
      </c>
      <c r="O625" s="59">
        <f t="shared" si="77"/>
        <v>13.66120218579235</v>
      </c>
      <c r="P625" s="59">
        <f t="shared" si="80"/>
        <v>8.1967213114754092</v>
      </c>
    </row>
    <row r="626" spans="12:16" ht="15" hidden="1" customHeight="1">
      <c r="L626" s="58">
        <f t="shared" si="78"/>
        <v>46858</v>
      </c>
      <c r="M626" s="59">
        <f t="shared" si="76"/>
        <v>0</v>
      </c>
      <c r="N626" s="59">
        <f t="shared" si="79"/>
        <v>100000</v>
      </c>
      <c r="O626" s="59">
        <f t="shared" si="77"/>
        <v>13.66120218579235</v>
      </c>
      <c r="P626" s="59">
        <f t="shared" si="80"/>
        <v>8.1967213114754092</v>
      </c>
    </row>
    <row r="627" spans="12:16" ht="15" hidden="1" customHeight="1">
      <c r="L627" s="58">
        <f t="shared" si="78"/>
        <v>46859</v>
      </c>
      <c r="M627" s="59">
        <f t="shared" si="76"/>
        <v>0</v>
      </c>
      <c r="N627" s="59">
        <f t="shared" si="79"/>
        <v>100000</v>
      </c>
      <c r="O627" s="59">
        <f t="shared" si="77"/>
        <v>13.66120218579235</v>
      </c>
      <c r="P627" s="59">
        <f t="shared" si="80"/>
        <v>8.1967213114754092</v>
      </c>
    </row>
    <row r="628" spans="12:16" ht="15" hidden="1" customHeight="1">
      <c r="L628" s="58">
        <f t="shared" si="78"/>
        <v>46860</v>
      </c>
      <c r="M628" s="59">
        <f t="shared" si="76"/>
        <v>0</v>
      </c>
      <c r="N628" s="59">
        <f t="shared" si="79"/>
        <v>100000</v>
      </c>
      <c r="O628" s="59">
        <f t="shared" si="77"/>
        <v>13.66120218579235</v>
      </c>
      <c r="P628" s="59">
        <f t="shared" si="80"/>
        <v>8.1967213114754092</v>
      </c>
    </row>
    <row r="629" spans="12:16" ht="15" hidden="1" customHeight="1">
      <c r="L629" s="58">
        <f t="shared" si="78"/>
        <v>46861</v>
      </c>
      <c r="M629" s="59">
        <f t="shared" si="76"/>
        <v>0</v>
      </c>
      <c r="N629" s="59">
        <f t="shared" si="79"/>
        <v>100000</v>
      </c>
      <c r="O629" s="59">
        <f t="shared" si="77"/>
        <v>13.66120218579235</v>
      </c>
      <c r="P629" s="59">
        <f t="shared" si="80"/>
        <v>8.1967213114754092</v>
      </c>
    </row>
    <row r="630" spans="12:16" ht="15" hidden="1" customHeight="1">
      <c r="L630" s="58">
        <f t="shared" si="78"/>
        <v>46862</v>
      </c>
      <c r="M630" s="59">
        <f t="shared" si="76"/>
        <v>0</v>
      </c>
      <c r="N630" s="59">
        <f t="shared" si="79"/>
        <v>100000</v>
      </c>
      <c r="O630" s="59">
        <f t="shared" si="77"/>
        <v>13.66120218579235</v>
      </c>
      <c r="P630" s="59">
        <f t="shared" si="80"/>
        <v>8.1967213114754092</v>
      </c>
    </row>
    <row r="631" spans="12:16" ht="15" hidden="1" customHeight="1">
      <c r="L631" s="58">
        <f t="shared" si="78"/>
        <v>46863</v>
      </c>
      <c r="M631" s="59">
        <f t="shared" si="76"/>
        <v>0</v>
      </c>
      <c r="N631" s="59">
        <f t="shared" si="79"/>
        <v>100000</v>
      </c>
      <c r="O631" s="59">
        <f t="shared" si="77"/>
        <v>13.66120218579235</v>
      </c>
      <c r="P631" s="59">
        <f t="shared" si="80"/>
        <v>8.1967213114754092</v>
      </c>
    </row>
    <row r="632" spans="12:16" ht="15" hidden="1" customHeight="1">
      <c r="L632" s="58">
        <f t="shared" si="78"/>
        <v>46864</v>
      </c>
      <c r="M632" s="59">
        <f t="shared" si="76"/>
        <v>0</v>
      </c>
      <c r="N632" s="59">
        <f t="shared" si="79"/>
        <v>100000</v>
      </c>
      <c r="O632" s="59">
        <f t="shared" si="77"/>
        <v>13.66120218579235</v>
      </c>
      <c r="P632" s="59">
        <f t="shared" si="80"/>
        <v>8.1967213114754092</v>
      </c>
    </row>
    <row r="633" spans="12:16" ht="15" hidden="1" customHeight="1">
      <c r="L633" s="58">
        <f t="shared" si="78"/>
        <v>46865</v>
      </c>
      <c r="M633" s="59">
        <f t="shared" si="76"/>
        <v>0</v>
      </c>
      <c r="N633" s="59">
        <f t="shared" si="79"/>
        <v>100000</v>
      </c>
      <c r="O633" s="59">
        <f t="shared" si="77"/>
        <v>13.66120218579235</v>
      </c>
      <c r="P633" s="59">
        <f t="shared" si="80"/>
        <v>8.1967213114754092</v>
      </c>
    </row>
    <row r="634" spans="12:16" ht="15" hidden="1" customHeight="1">
      <c r="L634" s="58">
        <f t="shared" si="78"/>
        <v>46866</v>
      </c>
      <c r="M634" s="59">
        <f t="shared" si="76"/>
        <v>0</v>
      </c>
      <c r="N634" s="59">
        <f t="shared" si="79"/>
        <v>100000</v>
      </c>
      <c r="O634" s="59">
        <f t="shared" si="77"/>
        <v>13.66120218579235</v>
      </c>
      <c r="P634" s="59">
        <f t="shared" si="80"/>
        <v>8.1967213114754092</v>
      </c>
    </row>
    <row r="635" spans="12:16" ht="15" hidden="1" customHeight="1">
      <c r="L635" s="58">
        <f t="shared" si="78"/>
        <v>46867</v>
      </c>
      <c r="M635" s="59">
        <f t="shared" si="76"/>
        <v>0</v>
      </c>
      <c r="N635" s="59">
        <f t="shared" si="79"/>
        <v>100000</v>
      </c>
      <c r="O635" s="59">
        <f t="shared" si="77"/>
        <v>13.66120218579235</v>
      </c>
      <c r="P635" s="59">
        <f t="shared" si="80"/>
        <v>8.1967213114754092</v>
      </c>
    </row>
    <row r="636" spans="12:16" ht="15" hidden="1" customHeight="1">
      <c r="L636" s="58">
        <f t="shared" si="78"/>
        <v>46868</v>
      </c>
      <c r="M636" s="59">
        <f t="shared" si="76"/>
        <v>0</v>
      </c>
      <c r="N636" s="59">
        <f t="shared" si="79"/>
        <v>100000</v>
      </c>
      <c r="O636" s="59">
        <f t="shared" si="77"/>
        <v>13.66120218579235</v>
      </c>
      <c r="P636" s="59">
        <f t="shared" si="80"/>
        <v>8.1967213114754092</v>
      </c>
    </row>
    <row r="637" spans="12:16" ht="15" hidden="1" customHeight="1">
      <c r="L637" s="58">
        <f t="shared" si="78"/>
        <v>46869</v>
      </c>
      <c r="M637" s="59">
        <f t="shared" si="76"/>
        <v>0</v>
      </c>
      <c r="N637" s="59">
        <f t="shared" si="79"/>
        <v>100000</v>
      </c>
      <c r="O637" s="59">
        <f t="shared" si="77"/>
        <v>13.66120218579235</v>
      </c>
      <c r="P637" s="59">
        <f t="shared" si="80"/>
        <v>8.1967213114754092</v>
      </c>
    </row>
    <row r="638" spans="12:16" ht="15" hidden="1" customHeight="1">
      <c r="L638" s="58">
        <f t="shared" si="78"/>
        <v>46870</v>
      </c>
      <c r="M638" s="59">
        <f t="shared" si="76"/>
        <v>0</v>
      </c>
      <c r="N638" s="59">
        <f t="shared" si="79"/>
        <v>100000</v>
      </c>
      <c r="O638" s="59">
        <f t="shared" si="77"/>
        <v>13.66120218579235</v>
      </c>
      <c r="P638" s="59">
        <f t="shared" si="80"/>
        <v>8.1967213114754092</v>
      </c>
    </row>
    <row r="639" spans="12:16" ht="15" hidden="1" customHeight="1">
      <c r="L639" s="58">
        <f t="shared" si="78"/>
        <v>46871</v>
      </c>
      <c r="M639" s="59">
        <f t="shared" si="76"/>
        <v>0</v>
      </c>
      <c r="N639" s="59">
        <f t="shared" si="79"/>
        <v>100000</v>
      </c>
      <c r="O639" s="59">
        <f t="shared" si="77"/>
        <v>13.66120218579235</v>
      </c>
      <c r="P639" s="59">
        <f t="shared" si="80"/>
        <v>8.1967213114754092</v>
      </c>
    </row>
    <row r="640" spans="12:16" ht="15" hidden="1" customHeight="1">
      <c r="L640" s="58">
        <f t="shared" si="78"/>
        <v>46872</v>
      </c>
      <c r="M640" s="59">
        <f t="shared" si="76"/>
        <v>0</v>
      </c>
      <c r="N640" s="59">
        <f t="shared" si="79"/>
        <v>100000</v>
      </c>
      <c r="O640" s="59">
        <f t="shared" si="77"/>
        <v>13.66120218579235</v>
      </c>
      <c r="P640" s="59">
        <f t="shared" si="80"/>
        <v>8.1967213114754092</v>
      </c>
    </row>
    <row r="641" spans="12:16" ht="15" hidden="1" customHeight="1">
      <c r="L641" s="58">
        <f t="shared" si="78"/>
        <v>46873</v>
      </c>
      <c r="M641" s="59">
        <f t="shared" si="76"/>
        <v>0</v>
      </c>
      <c r="N641" s="59">
        <f t="shared" si="79"/>
        <v>100000</v>
      </c>
      <c r="O641" s="59">
        <f t="shared" si="77"/>
        <v>13.66120218579235</v>
      </c>
      <c r="P641" s="59">
        <f t="shared" si="80"/>
        <v>8.1967213114754092</v>
      </c>
    </row>
    <row r="642" spans="12:16" ht="15" hidden="1" customHeight="1">
      <c r="L642" s="58">
        <f t="shared" si="78"/>
        <v>46874</v>
      </c>
      <c r="M642" s="59">
        <f t="shared" si="76"/>
        <v>0</v>
      </c>
      <c r="N642" s="59">
        <f t="shared" si="79"/>
        <v>100000</v>
      </c>
      <c r="O642" s="59">
        <f t="shared" si="77"/>
        <v>13.66120218579235</v>
      </c>
      <c r="P642" s="59">
        <f t="shared" si="80"/>
        <v>8.1967213114754092</v>
      </c>
    </row>
    <row r="643" spans="12:16" ht="15" hidden="1" customHeight="1">
      <c r="L643" s="58">
        <f t="shared" si="78"/>
        <v>46875</v>
      </c>
      <c r="M643" s="59">
        <f t="shared" si="76"/>
        <v>0</v>
      </c>
      <c r="N643" s="59">
        <f t="shared" si="79"/>
        <v>100000</v>
      </c>
      <c r="O643" s="59">
        <f t="shared" si="77"/>
        <v>13.66120218579235</v>
      </c>
      <c r="P643" s="59">
        <f t="shared" si="80"/>
        <v>8.1967213114754092</v>
      </c>
    </row>
    <row r="644" spans="12:16" ht="15" hidden="1" customHeight="1">
      <c r="L644" s="58">
        <f t="shared" si="78"/>
        <v>46876</v>
      </c>
      <c r="M644" s="59">
        <f t="shared" si="76"/>
        <v>0</v>
      </c>
      <c r="N644" s="59">
        <f t="shared" si="79"/>
        <v>100000</v>
      </c>
      <c r="O644" s="59">
        <f t="shared" si="77"/>
        <v>13.66120218579235</v>
      </c>
      <c r="P644" s="59">
        <f t="shared" si="80"/>
        <v>8.1967213114754092</v>
      </c>
    </row>
    <row r="645" spans="12:16" ht="15" hidden="1" customHeight="1">
      <c r="L645" s="58">
        <f t="shared" si="78"/>
        <v>46877</v>
      </c>
      <c r="M645" s="59">
        <f t="shared" si="76"/>
        <v>0</v>
      </c>
      <c r="N645" s="59">
        <f t="shared" si="79"/>
        <v>100000</v>
      </c>
      <c r="O645" s="59">
        <f t="shared" si="77"/>
        <v>13.66120218579235</v>
      </c>
      <c r="P645" s="59">
        <f t="shared" si="80"/>
        <v>8.1967213114754092</v>
      </c>
    </row>
    <row r="646" spans="12:16" ht="15" hidden="1" customHeight="1">
      <c r="L646" s="58">
        <f t="shared" si="78"/>
        <v>46878</v>
      </c>
      <c r="M646" s="59">
        <f t="shared" si="76"/>
        <v>0</v>
      </c>
      <c r="N646" s="59">
        <f t="shared" si="79"/>
        <v>100000</v>
      </c>
      <c r="O646" s="59">
        <f t="shared" si="77"/>
        <v>13.66120218579235</v>
      </c>
      <c r="P646" s="59">
        <f t="shared" si="80"/>
        <v>8.1967213114754092</v>
      </c>
    </row>
    <row r="647" spans="12:16" ht="15" hidden="1" customHeight="1">
      <c r="L647" s="58">
        <f t="shared" si="78"/>
        <v>46879</v>
      </c>
      <c r="M647" s="59">
        <f t="shared" si="76"/>
        <v>0</v>
      </c>
      <c r="N647" s="59">
        <f t="shared" si="79"/>
        <v>100000</v>
      </c>
      <c r="O647" s="59">
        <f t="shared" si="77"/>
        <v>13.66120218579235</v>
      </c>
      <c r="P647" s="59">
        <f t="shared" si="80"/>
        <v>8.1967213114754092</v>
      </c>
    </row>
    <row r="648" spans="12:16" ht="15" hidden="1" customHeight="1">
      <c r="L648" s="58">
        <f t="shared" si="78"/>
        <v>46880</v>
      </c>
      <c r="M648" s="59">
        <f t="shared" si="76"/>
        <v>0</v>
      </c>
      <c r="N648" s="59">
        <f t="shared" si="79"/>
        <v>100000</v>
      </c>
      <c r="O648" s="59">
        <f t="shared" si="77"/>
        <v>13.66120218579235</v>
      </c>
      <c r="P648" s="59">
        <f t="shared" si="80"/>
        <v>8.1967213114754092</v>
      </c>
    </row>
    <row r="649" spans="12:16" ht="15" hidden="1" customHeight="1">
      <c r="L649" s="58">
        <f t="shared" si="78"/>
        <v>46881</v>
      </c>
      <c r="M649" s="59">
        <f t="shared" si="76"/>
        <v>0</v>
      </c>
      <c r="N649" s="59">
        <f t="shared" si="79"/>
        <v>100000</v>
      </c>
      <c r="O649" s="59">
        <f t="shared" si="77"/>
        <v>13.66120218579235</v>
      </c>
      <c r="P649" s="59">
        <f t="shared" si="80"/>
        <v>8.1967213114754092</v>
      </c>
    </row>
    <row r="650" spans="12:16" ht="15" hidden="1" customHeight="1">
      <c r="L650" s="58">
        <f t="shared" si="78"/>
        <v>46882</v>
      </c>
      <c r="M650" s="59">
        <f t="shared" si="76"/>
        <v>0</v>
      </c>
      <c r="N650" s="59">
        <f t="shared" si="79"/>
        <v>100000</v>
      </c>
      <c r="O650" s="59">
        <f t="shared" si="77"/>
        <v>13.66120218579235</v>
      </c>
      <c r="P650" s="59">
        <f t="shared" si="80"/>
        <v>8.1967213114754092</v>
      </c>
    </row>
    <row r="651" spans="12:16" ht="15" hidden="1" customHeight="1">
      <c r="L651" s="58">
        <f t="shared" si="78"/>
        <v>46883</v>
      </c>
      <c r="M651" s="59">
        <f t="shared" si="76"/>
        <v>0</v>
      </c>
      <c r="N651" s="59">
        <f t="shared" si="79"/>
        <v>100000</v>
      </c>
      <c r="O651" s="59">
        <f t="shared" si="77"/>
        <v>13.66120218579235</v>
      </c>
      <c r="P651" s="59">
        <f t="shared" si="80"/>
        <v>8.1967213114754092</v>
      </c>
    </row>
    <row r="652" spans="12:16" ht="15" hidden="1" customHeight="1">
      <c r="L652" s="58">
        <f t="shared" si="78"/>
        <v>46884</v>
      </c>
      <c r="M652" s="59">
        <f t="shared" si="76"/>
        <v>0</v>
      </c>
      <c r="N652" s="59">
        <f t="shared" si="79"/>
        <v>100000</v>
      </c>
      <c r="O652" s="59">
        <f t="shared" si="77"/>
        <v>13.66120218579235</v>
      </c>
      <c r="P652" s="59">
        <f t="shared" si="80"/>
        <v>8.1967213114754092</v>
      </c>
    </row>
    <row r="653" spans="12:16" ht="15" hidden="1" customHeight="1">
      <c r="L653" s="58">
        <f t="shared" si="78"/>
        <v>46885</v>
      </c>
      <c r="M653" s="59">
        <f t="shared" si="76"/>
        <v>0</v>
      </c>
      <c r="N653" s="59">
        <f t="shared" si="79"/>
        <v>100000</v>
      </c>
      <c r="O653" s="59">
        <f t="shared" si="77"/>
        <v>13.66120218579235</v>
      </c>
      <c r="P653" s="59">
        <f t="shared" si="80"/>
        <v>8.1967213114754092</v>
      </c>
    </row>
    <row r="654" spans="12:16" ht="15" hidden="1" customHeight="1">
      <c r="L654" s="58">
        <f t="shared" si="78"/>
        <v>46886</v>
      </c>
      <c r="M654" s="59">
        <f t="shared" si="76"/>
        <v>0</v>
      </c>
      <c r="N654" s="59">
        <f t="shared" si="79"/>
        <v>100000</v>
      </c>
      <c r="O654" s="59">
        <f t="shared" si="77"/>
        <v>13.66120218579235</v>
      </c>
      <c r="P654" s="59">
        <f t="shared" si="80"/>
        <v>8.1967213114754092</v>
      </c>
    </row>
    <row r="655" spans="12:16" ht="15" hidden="1" customHeight="1">
      <c r="L655" s="58">
        <f t="shared" si="78"/>
        <v>46887</v>
      </c>
      <c r="M655" s="59">
        <f t="shared" si="76"/>
        <v>0</v>
      </c>
      <c r="N655" s="59">
        <f t="shared" si="79"/>
        <v>100000</v>
      </c>
      <c r="O655" s="59">
        <f t="shared" si="77"/>
        <v>13.66120218579235</v>
      </c>
      <c r="P655" s="59">
        <f t="shared" si="80"/>
        <v>8.1967213114754092</v>
      </c>
    </row>
    <row r="656" spans="12:16" ht="15" hidden="1" customHeight="1">
      <c r="L656" s="58">
        <f t="shared" si="78"/>
        <v>46888</v>
      </c>
      <c r="M656" s="59">
        <f t="shared" si="76"/>
        <v>0</v>
      </c>
      <c r="N656" s="59">
        <f t="shared" si="79"/>
        <v>100000</v>
      </c>
      <c r="O656" s="59">
        <f t="shared" si="77"/>
        <v>13.66120218579235</v>
      </c>
      <c r="P656" s="59">
        <f t="shared" si="80"/>
        <v>8.1967213114754092</v>
      </c>
    </row>
    <row r="657" spans="12:16" ht="15" hidden="1" customHeight="1">
      <c r="L657" s="58">
        <f t="shared" si="78"/>
        <v>46889</v>
      </c>
      <c r="M657" s="59">
        <f t="shared" si="76"/>
        <v>0</v>
      </c>
      <c r="N657" s="59">
        <f t="shared" si="79"/>
        <v>100000</v>
      </c>
      <c r="O657" s="59">
        <f t="shared" si="77"/>
        <v>13.66120218579235</v>
      </c>
      <c r="P657" s="59">
        <f t="shared" si="80"/>
        <v>8.1967213114754092</v>
      </c>
    </row>
    <row r="658" spans="12:16" ht="15" hidden="1" customHeight="1">
      <c r="L658" s="58">
        <f t="shared" si="78"/>
        <v>46890</v>
      </c>
      <c r="M658" s="59">
        <f t="shared" si="76"/>
        <v>0</v>
      </c>
      <c r="N658" s="59">
        <f t="shared" si="79"/>
        <v>100000</v>
      </c>
      <c r="O658" s="59">
        <f t="shared" si="77"/>
        <v>13.66120218579235</v>
      </c>
      <c r="P658" s="59">
        <f t="shared" si="80"/>
        <v>8.1967213114754092</v>
      </c>
    </row>
    <row r="659" spans="12:16" ht="15" hidden="1" customHeight="1">
      <c r="L659" s="58">
        <f t="shared" si="78"/>
        <v>46891</v>
      </c>
      <c r="M659" s="59">
        <f t="shared" ref="M659:M722" si="81">IFERROR(VLOOKUP(L659,$B$19:$E$80,4,FALSE),0)</f>
        <v>0</v>
      </c>
      <c r="N659" s="59">
        <f t="shared" si="79"/>
        <v>100000</v>
      </c>
      <c r="O659" s="59">
        <f t="shared" ref="O659:O722" si="82">IFERROR(IF(ISNUMBER(N658),N658,$E$8)*IF(L659&gt;=$J$8,$E$12,$E$12)/IF(MOD(YEAR(L659),4),365,366)*IF(ISBLANK(L658),L659-$F$5,L659-L658),0)</f>
        <v>13.66120218579235</v>
      </c>
      <c r="P659" s="59">
        <f t="shared" si="80"/>
        <v>8.1967213114754092</v>
      </c>
    </row>
    <row r="660" spans="12:16" ht="15" hidden="1" customHeight="1">
      <c r="L660" s="58">
        <f t="shared" si="78"/>
        <v>46892</v>
      </c>
      <c r="M660" s="59">
        <f t="shared" si="81"/>
        <v>0</v>
      </c>
      <c r="N660" s="59">
        <f t="shared" si="79"/>
        <v>100000</v>
      </c>
      <c r="O660" s="59">
        <f t="shared" si="82"/>
        <v>13.66120218579235</v>
      </c>
      <c r="P660" s="59">
        <f t="shared" si="80"/>
        <v>8.1967213114754092</v>
      </c>
    </row>
    <row r="661" spans="12:16" ht="15" hidden="1" customHeight="1">
      <c r="L661" s="58">
        <f t="shared" si="78"/>
        <v>46893</v>
      </c>
      <c r="M661" s="59">
        <f t="shared" si="81"/>
        <v>0</v>
      </c>
      <c r="N661" s="59">
        <f t="shared" si="79"/>
        <v>100000</v>
      </c>
      <c r="O661" s="59">
        <f t="shared" si="82"/>
        <v>13.66120218579235</v>
      </c>
      <c r="P661" s="59">
        <f t="shared" si="80"/>
        <v>8.1967213114754092</v>
      </c>
    </row>
    <row r="662" spans="12:16" ht="15" hidden="1" customHeight="1">
      <c r="L662" s="58">
        <f t="shared" si="78"/>
        <v>46894</v>
      </c>
      <c r="M662" s="59">
        <f t="shared" si="81"/>
        <v>0</v>
      </c>
      <c r="N662" s="59">
        <f t="shared" si="79"/>
        <v>100000</v>
      </c>
      <c r="O662" s="59">
        <f t="shared" si="82"/>
        <v>13.66120218579235</v>
      </c>
      <c r="P662" s="59">
        <f t="shared" si="80"/>
        <v>8.1967213114754092</v>
      </c>
    </row>
    <row r="663" spans="12:16" ht="15" hidden="1" customHeight="1">
      <c r="L663" s="58">
        <f t="shared" si="78"/>
        <v>46895</v>
      </c>
      <c r="M663" s="59">
        <f t="shared" si="81"/>
        <v>0</v>
      </c>
      <c r="N663" s="59">
        <f t="shared" si="79"/>
        <v>100000</v>
      </c>
      <c r="O663" s="59">
        <f t="shared" si="82"/>
        <v>13.66120218579235</v>
      </c>
      <c r="P663" s="59">
        <f t="shared" si="80"/>
        <v>8.1967213114754092</v>
      </c>
    </row>
    <row r="664" spans="12:16" ht="15" hidden="1" customHeight="1">
      <c r="L664" s="58">
        <f t="shared" si="78"/>
        <v>46896</v>
      </c>
      <c r="M664" s="59">
        <f t="shared" si="81"/>
        <v>0</v>
      </c>
      <c r="N664" s="59">
        <f t="shared" si="79"/>
        <v>100000</v>
      </c>
      <c r="O664" s="59">
        <f t="shared" si="82"/>
        <v>13.66120218579235</v>
      </c>
      <c r="P664" s="59">
        <f t="shared" si="80"/>
        <v>8.1967213114754092</v>
      </c>
    </row>
    <row r="665" spans="12:16" ht="15" hidden="1" customHeight="1">
      <c r="L665" s="58">
        <f t="shared" si="78"/>
        <v>46897</v>
      </c>
      <c r="M665" s="59">
        <f t="shared" si="81"/>
        <v>0</v>
      </c>
      <c r="N665" s="59">
        <f t="shared" si="79"/>
        <v>100000</v>
      </c>
      <c r="O665" s="59">
        <f t="shared" si="82"/>
        <v>13.66120218579235</v>
      </c>
      <c r="P665" s="59">
        <f t="shared" si="80"/>
        <v>8.1967213114754092</v>
      </c>
    </row>
    <row r="666" spans="12:16" ht="15" hidden="1" customHeight="1">
      <c r="L666" s="58">
        <f t="shared" si="78"/>
        <v>46898</v>
      </c>
      <c r="M666" s="59">
        <f t="shared" si="81"/>
        <v>0</v>
      </c>
      <c r="N666" s="59">
        <f t="shared" si="79"/>
        <v>100000</v>
      </c>
      <c r="O666" s="59">
        <f t="shared" si="82"/>
        <v>13.66120218579235</v>
      </c>
      <c r="P666" s="59">
        <f t="shared" si="80"/>
        <v>8.1967213114754092</v>
      </c>
    </row>
    <row r="667" spans="12:16" ht="15" hidden="1" customHeight="1">
      <c r="L667" s="58">
        <f t="shared" si="78"/>
        <v>46899</v>
      </c>
      <c r="M667" s="59">
        <f t="shared" si="81"/>
        <v>0</v>
      </c>
      <c r="N667" s="59">
        <f t="shared" si="79"/>
        <v>100000</v>
      </c>
      <c r="O667" s="59">
        <f t="shared" si="82"/>
        <v>13.66120218579235</v>
      </c>
      <c r="P667" s="59">
        <f t="shared" si="80"/>
        <v>8.1967213114754092</v>
      </c>
    </row>
    <row r="668" spans="12:16" ht="15" hidden="1" customHeight="1">
      <c r="L668" s="58">
        <f t="shared" si="78"/>
        <v>46900</v>
      </c>
      <c r="M668" s="59">
        <f t="shared" si="81"/>
        <v>0</v>
      </c>
      <c r="N668" s="59">
        <f t="shared" si="79"/>
        <v>100000</v>
      </c>
      <c r="O668" s="59">
        <f t="shared" si="82"/>
        <v>13.66120218579235</v>
      </c>
      <c r="P668" s="59">
        <f t="shared" si="80"/>
        <v>8.1967213114754092</v>
      </c>
    </row>
    <row r="669" spans="12:16" ht="15" hidden="1" customHeight="1">
      <c r="L669" s="58">
        <f t="shared" si="78"/>
        <v>46901</v>
      </c>
      <c r="M669" s="59">
        <f t="shared" si="81"/>
        <v>0</v>
      </c>
      <c r="N669" s="59">
        <f t="shared" si="79"/>
        <v>100000</v>
      </c>
      <c r="O669" s="59">
        <f t="shared" si="82"/>
        <v>13.66120218579235</v>
      </c>
      <c r="P669" s="59">
        <f t="shared" si="80"/>
        <v>8.1967213114754092</v>
      </c>
    </row>
    <row r="670" spans="12:16" ht="15" hidden="1" customHeight="1">
      <c r="L670" s="58">
        <f t="shared" si="78"/>
        <v>46902</v>
      </c>
      <c r="M670" s="59">
        <f t="shared" si="81"/>
        <v>0</v>
      </c>
      <c r="N670" s="59">
        <f t="shared" si="79"/>
        <v>100000</v>
      </c>
      <c r="O670" s="59">
        <f t="shared" si="82"/>
        <v>13.66120218579235</v>
      </c>
      <c r="P670" s="59">
        <f t="shared" si="80"/>
        <v>8.1967213114754092</v>
      </c>
    </row>
    <row r="671" spans="12:16" ht="15" hidden="1" customHeight="1">
      <c r="L671" s="58">
        <f t="shared" si="78"/>
        <v>46903</v>
      </c>
      <c r="M671" s="59">
        <f t="shared" si="81"/>
        <v>0</v>
      </c>
      <c r="N671" s="59">
        <f t="shared" si="79"/>
        <v>100000</v>
      </c>
      <c r="O671" s="59">
        <f t="shared" si="82"/>
        <v>13.66120218579235</v>
      </c>
      <c r="P671" s="59">
        <f t="shared" si="80"/>
        <v>8.1967213114754092</v>
      </c>
    </row>
    <row r="672" spans="12:16" ht="15" hidden="1" customHeight="1">
      <c r="L672" s="58">
        <f t="shared" si="78"/>
        <v>46904</v>
      </c>
      <c r="M672" s="59">
        <f t="shared" si="81"/>
        <v>0</v>
      </c>
      <c r="N672" s="59">
        <f t="shared" si="79"/>
        <v>100000</v>
      </c>
      <c r="O672" s="59">
        <f t="shared" si="82"/>
        <v>13.66120218579235</v>
      </c>
      <c r="P672" s="59">
        <f t="shared" si="80"/>
        <v>8.1967213114754092</v>
      </c>
    </row>
    <row r="673" spans="12:16" ht="15" hidden="1" customHeight="1">
      <c r="L673" s="58">
        <f t="shared" si="78"/>
        <v>46905</v>
      </c>
      <c r="M673" s="59">
        <f t="shared" si="81"/>
        <v>0</v>
      </c>
      <c r="N673" s="59">
        <f t="shared" si="79"/>
        <v>100000</v>
      </c>
      <c r="O673" s="59">
        <f t="shared" si="82"/>
        <v>13.66120218579235</v>
      </c>
      <c r="P673" s="59">
        <f t="shared" si="80"/>
        <v>8.1967213114754092</v>
      </c>
    </row>
    <row r="674" spans="12:16" ht="15" hidden="1" customHeight="1">
      <c r="L674" s="58">
        <f t="shared" ref="L674:L737" si="83">IFERROR(IF(MAX(L673+1,$F$5+1)&gt;Дата_погашения_Займа,"-",MAX(L673+1,$F$5+1)),"-")</f>
        <v>46906</v>
      </c>
      <c r="M674" s="59">
        <f t="shared" si="81"/>
        <v>0</v>
      </c>
      <c r="N674" s="59">
        <f t="shared" si="79"/>
        <v>100000</v>
      </c>
      <c r="O674" s="59">
        <f t="shared" si="82"/>
        <v>13.66120218579235</v>
      </c>
      <c r="P674" s="59">
        <f t="shared" si="80"/>
        <v>8.1967213114754092</v>
      </c>
    </row>
    <row r="675" spans="12:16" ht="15" hidden="1" customHeight="1">
      <c r="L675" s="58">
        <f t="shared" si="83"/>
        <v>46907</v>
      </c>
      <c r="M675" s="59">
        <f t="shared" si="81"/>
        <v>0</v>
      </c>
      <c r="N675" s="59">
        <f t="shared" si="79"/>
        <v>100000</v>
      </c>
      <c r="O675" s="59">
        <f t="shared" si="82"/>
        <v>13.66120218579235</v>
      </c>
      <c r="P675" s="59">
        <f t="shared" si="80"/>
        <v>8.1967213114754092</v>
      </c>
    </row>
    <row r="676" spans="12:16" ht="15" hidden="1" customHeight="1">
      <c r="L676" s="58">
        <f t="shared" si="83"/>
        <v>46908</v>
      </c>
      <c r="M676" s="59">
        <f t="shared" si="81"/>
        <v>0</v>
      </c>
      <c r="N676" s="59">
        <f t="shared" si="79"/>
        <v>100000</v>
      </c>
      <c r="O676" s="59">
        <f t="shared" si="82"/>
        <v>13.66120218579235</v>
      </c>
      <c r="P676" s="59">
        <f t="shared" si="80"/>
        <v>8.1967213114754092</v>
      </c>
    </row>
    <row r="677" spans="12:16" ht="15" hidden="1" customHeight="1">
      <c r="L677" s="58">
        <f t="shared" si="83"/>
        <v>46909</v>
      </c>
      <c r="M677" s="59">
        <f t="shared" si="81"/>
        <v>0</v>
      </c>
      <c r="N677" s="59">
        <f t="shared" si="79"/>
        <v>100000</v>
      </c>
      <c r="O677" s="59">
        <f t="shared" si="82"/>
        <v>13.66120218579235</v>
      </c>
      <c r="P677" s="59">
        <f t="shared" si="80"/>
        <v>8.1967213114754092</v>
      </c>
    </row>
    <row r="678" spans="12:16" ht="15" hidden="1" customHeight="1">
      <c r="L678" s="58">
        <f t="shared" si="83"/>
        <v>46910</v>
      </c>
      <c r="M678" s="59">
        <f t="shared" si="81"/>
        <v>0</v>
      </c>
      <c r="N678" s="59">
        <f t="shared" si="79"/>
        <v>100000</v>
      </c>
      <c r="O678" s="59">
        <f t="shared" si="82"/>
        <v>13.66120218579235</v>
      </c>
      <c r="P678" s="59">
        <f t="shared" si="80"/>
        <v>8.1967213114754092</v>
      </c>
    </row>
    <row r="679" spans="12:16" ht="15" hidden="1" customHeight="1">
      <c r="L679" s="58">
        <f t="shared" si="83"/>
        <v>46911</v>
      </c>
      <c r="M679" s="59">
        <f t="shared" si="81"/>
        <v>0</v>
      </c>
      <c r="N679" s="59">
        <f t="shared" si="79"/>
        <v>100000</v>
      </c>
      <c r="O679" s="59">
        <f t="shared" si="82"/>
        <v>13.66120218579235</v>
      </c>
      <c r="P679" s="59">
        <f t="shared" si="80"/>
        <v>8.1967213114754092</v>
      </c>
    </row>
    <row r="680" spans="12:16" ht="15" hidden="1" customHeight="1">
      <c r="L680" s="58">
        <f t="shared" si="83"/>
        <v>46912</v>
      </c>
      <c r="M680" s="59">
        <f t="shared" si="81"/>
        <v>0</v>
      </c>
      <c r="N680" s="59">
        <f t="shared" si="79"/>
        <v>100000</v>
      </c>
      <c r="O680" s="59">
        <f t="shared" si="82"/>
        <v>13.66120218579235</v>
      </c>
      <c r="P680" s="59">
        <f t="shared" si="80"/>
        <v>8.1967213114754092</v>
      </c>
    </row>
    <row r="681" spans="12:16" ht="15" hidden="1" customHeight="1">
      <c r="L681" s="58">
        <f t="shared" si="83"/>
        <v>46913</v>
      </c>
      <c r="M681" s="59">
        <f t="shared" si="81"/>
        <v>0</v>
      </c>
      <c r="N681" s="59">
        <f t="shared" si="79"/>
        <v>100000</v>
      </c>
      <c r="O681" s="59">
        <f t="shared" si="82"/>
        <v>13.66120218579235</v>
      </c>
      <c r="P681" s="59">
        <f t="shared" si="80"/>
        <v>8.1967213114754092</v>
      </c>
    </row>
    <row r="682" spans="12:16" ht="15" hidden="1" customHeight="1">
      <c r="L682" s="58">
        <f t="shared" si="83"/>
        <v>46914</v>
      </c>
      <c r="M682" s="59">
        <f t="shared" si="81"/>
        <v>0</v>
      </c>
      <c r="N682" s="59">
        <f t="shared" si="79"/>
        <v>100000</v>
      </c>
      <c r="O682" s="59">
        <f t="shared" si="82"/>
        <v>13.66120218579235</v>
      </c>
      <c r="P682" s="59">
        <f t="shared" si="80"/>
        <v>8.1967213114754092</v>
      </c>
    </row>
    <row r="683" spans="12:16" ht="15" hidden="1" customHeight="1">
      <c r="L683" s="58">
        <f t="shared" si="83"/>
        <v>46915</v>
      </c>
      <c r="M683" s="59">
        <f t="shared" si="81"/>
        <v>0</v>
      </c>
      <c r="N683" s="59">
        <f t="shared" si="79"/>
        <v>100000</v>
      </c>
      <c r="O683" s="59">
        <f t="shared" si="82"/>
        <v>13.66120218579235</v>
      </c>
      <c r="P683" s="59">
        <f t="shared" si="80"/>
        <v>8.1967213114754092</v>
      </c>
    </row>
    <row r="684" spans="12:16" ht="15" hidden="1" customHeight="1">
      <c r="L684" s="58">
        <f t="shared" si="83"/>
        <v>46916</v>
      </c>
      <c r="M684" s="59">
        <f t="shared" si="81"/>
        <v>0</v>
      </c>
      <c r="N684" s="59">
        <f t="shared" si="79"/>
        <v>100000</v>
      </c>
      <c r="O684" s="59">
        <f t="shared" si="82"/>
        <v>13.66120218579235</v>
      </c>
      <c r="P684" s="59">
        <f t="shared" si="80"/>
        <v>8.1967213114754092</v>
      </c>
    </row>
    <row r="685" spans="12:16" ht="15" hidden="1" customHeight="1">
      <c r="L685" s="58">
        <f t="shared" si="83"/>
        <v>46917</v>
      </c>
      <c r="M685" s="59">
        <f t="shared" si="81"/>
        <v>0</v>
      </c>
      <c r="N685" s="59">
        <f t="shared" si="79"/>
        <v>100000</v>
      </c>
      <c r="O685" s="59">
        <f t="shared" si="82"/>
        <v>13.66120218579235</v>
      </c>
      <c r="P685" s="59">
        <f t="shared" si="80"/>
        <v>8.1967213114754092</v>
      </c>
    </row>
    <row r="686" spans="12:16" ht="15" hidden="1" customHeight="1">
      <c r="L686" s="58">
        <f t="shared" si="83"/>
        <v>46918</v>
      </c>
      <c r="M686" s="59">
        <f t="shared" si="81"/>
        <v>0</v>
      </c>
      <c r="N686" s="59">
        <f t="shared" si="79"/>
        <v>100000</v>
      </c>
      <c r="O686" s="59">
        <f t="shared" si="82"/>
        <v>13.66120218579235</v>
      </c>
      <c r="P686" s="59">
        <f t="shared" si="80"/>
        <v>8.1967213114754092</v>
      </c>
    </row>
    <row r="687" spans="12:16" ht="15" hidden="1" customHeight="1">
      <c r="L687" s="58">
        <f t="shared" si="83"/>
        <v>46919</v>
      </c>
      <c r="M687" s="59">
        <f t="shared" si="81"/>
        <v>0</v>
      </c>
      <c r="N687" s="59">
        <f t="shared" si="79"/>
        <v>100000</v>
      </c>
      <c r="O687" s="59">
        <f t="shared" si="82"/>
        <v>13.66120218579235</v>
      </c>
      <c r="P687" s="59">
        <f t="shared" si="80"/>
        <v>8.1967213114754092</v>
      </c>
    </row>
    <row r="688" spans="12:16" ht="15" hidden="1" customHeight="1">
      <c r="L688" s="58">
        <f t="shared" si="83"/>
        <v>46920</v>
      </c>
      <c r="M688" s="59">
        <f t="shared" si="81"/>
        <v>0</v>
      </c>
      <c r="N688" s="59">
        <f t="shared" ref="N688:N751" si="84">IF(ISNUMBER(N687),N687-M688,$E$8)</f>
        <v>100000</v>
      </c>
      <c r="O688" s="59">
        <f t="shared" si="82"/>
        <v>13.66120218579235</v>
      </c>
      <c r="P688" s="59">
        <f t="shared" ref="P688:P751" si="85">IFERROR(IF(ISNUMBER(N687),N687,$E$8)*3%/IF(MOD(YEAR(L688),4),365,366)*IF(ISBLANK(L687),(L688-$F$5),L688-L687),0)</f>
        <v>8.1967213114754092</v>
      </c>
    </row>
    <row r="689" spans="12:16" ht="15" hidden="1" customHeight="1">
      <c r="L689" s="58">
        <f t="shared" si="83"/>
        <v>46921</v>
      </c>
      <c r="M689" s="59">
        <f t="shared" si="81"/>
        <v>0</v>
      </c>
      <c r="N689" s="59">
        <f t="shared" si="84"/>
        <v>100000</v>
      </c>
      <c r="O689" s="59">
        <f t="shared" si="82"/>
        <v>13.66120218579235</v>
      </c>
      <c r="P689" s="59">
        <f t="shared" si="85"/>
        <v>8.1967213114754092</v>
      </c>
    </row>
    <row r="690" spans="12:16" ht="15" hidden="1" customHeight="1">
      <c r="L690" s="58">
        <f t="shared" si="83"/>
        <v>46922</v>
      </c>
      <c r="M690" s="59">
        <f t="shared" si="81"/>
        <v>0</v>
      </c>
      <c r="N690" s="59">
        <f t="shared" si="84"/>
        <v>100000</v>
      </c>
      <c r="O690" s="59">
        <f t="shared" si="82"/>
        <v>13.66120218579235</v>
      </c>
      <c r="P690" s="59">
        <f t="shared" si="85"/>
        <v>8.1967213114754092</v>
      </c>
    </row>
    <row r="691" spans="12:16" ht="15" hidden="1" customHeight="1">
      <c r="L691" s="58">
        <f t="shared" si="83"/>
        <v>46923</v>
      </c>
      <c r="M691" s="59">
        <f t="shared" si="81"/>
        <v>0</v>
      </c>
      <c r="N691" s="59">
        <f t="shared" si="84"/>
        <v>100000</v>
      </c>
      <c r="O691" s="59">
        <f t="shared" si="82"/>
        <v>13.66120218579235</v>
      </c>
      <c r="P691" s="59">
        <f t="shared" si="85"/>
        <v>8.1967213114754092</v>
      </c>
    </row>
    <row r="692" spans="12:16" ht="15" hidden="1" customHeight="1">
      <c r="L692" s="58">
        <f t="shared" si="83"/>
        <v>46924</v>
      </c>
      <c r="M692" s="59">
        <f t="shared" si="81"/>
        <v>0</v>
      </c>
      <c r="N692" s="59">
        <f t="shared" si="84"/>
        <v>100000</v>
      </c>
      <c r="O692" s="59">
        <f t="shared" si="82"/>
        <v>13.66120218579235</v>
      </c>
      <c r="P692" s="59">
        <f t="shared" si="85"/>
        <v>8.1967213114754092</v>
      </c>
    </row>
    <row r="693" spans="12:16" ht="15" hidden="1" customHeight="1">
      <c r="L693" s="58">
        <f t="shared" si="83"/>
        <v>46925</v>
      </c>
      <c r="M693" s="59">
        <f t="shared" si="81"/>
        <v>0</v>
      </c>
      <c r="N693" s="59">
        <f t="shared" si="84"/>
        <v>100000</v>
      </c>
      <c r="O693" s="59">
        <f t="shared" si="82"/>
        <v>13.66120218579235</v>
      </c>
      <c r="P693" s="59">
        <f t="shared" si="85"/>
        <v>8.1967213114754092</v>
      </c>
    </row>
    <row r="694" spans="12:16" ht="15" hidden="1" customHeight="1">
      <c r="L694" s="58">
        <f t="shared" si="83"/>
        <v>46926</v>
      </c>
      <c r="M694" s="59">
        <f t="shared" si="81"/>
        <v>0</v>
      </c>
      <c r="N694" s="59">
        <f t="shared" si="84"/>
        <v>100000</v>
      </c>
      <c r="O694" s="59">
        <f t="shared" si="82"/>
        <v>13.66120218579235</v>
      </c>
      <c r="P694" s="59">
        <f t="shared" si="85"/>
        <v>8.1967213114754092</v>
      </c>
    </row>
    <row r="695" spans="12:16" ht="15" hidden="1" customHeight="1">
      <c r="L695" s="58">
        <f t="shared" si="83"/>
        <v>46927</v>
      </c>
      <c r="M695" s="59">
        <f t="shared" si="81"/>
        <v>0</v>
      </c>
      <c r="N695" s="59">
        <f t="shared" si="84"/>
        <v>100000</v>
      </c>
      <c r="O695" s="59">
        <f t="shared" si="82"/>
        <v>13.66120218579235</v>
      </c>
      <c r="P695" s="59">
        <f t="shared" si="85"/>
        <v>8.1967213114754092</v>
      </c>
    </row>
    <row r="696" spans="12:16" ht="15" hidden="1" customHeight="1">
      <c r="L696" s="58">
        <f t="shared" si="83"/>
        <v>46928</v>
      </c>
      <c r="M696" s="59">
        <f t="shared" si="81"/>
        <v>0</v>
      </c>
      <c r="N696" s="59">
        <f t="shared" si="84"/>
        <v>100000</v>
      </c>
      <c r="O696" s="59">
        <f t="shared" si="82"/>
        <v>13.66120218579235</v>
      </c>
      <c r="P696" s="59">
        <f t="shared" si="85"/>
        <v>8.1967213114754092</v>
      </c>
    </row>
    <row r="697" spans="12:16" ht="15" hidden="1" customHeight="1">
      <c r="L697" s="58">
        <f t="shared" si="83"/>
        <v>46929</v>
      </c>
      <c r="M697" s="59">
        <f t="shared" si="81"/>
        <v>0</v>
      </c>
      <c r="N697" s="59">
        <f t="shared" si="84"/>
        <v>100000</v>
      </c>
      <c r="O697" s="59">
        <f t="shared" si="82"/>
        <v>13.66120218579235</v>
      </c>
      <c r="P697" s="59">
        <f t="shared" si="85"/>
        <v>8.1967213114754092</v>
      </c>
    </row>
    <row r="698" spans="12:16" ht="15" hidden="1" customHeight="1">
      <c r="L698" s="58">
        <f t="shared" si="83"/>
        <v>46930</v>
      </c>
      <c r="M698" s="59">
        <f t="shared" si="81"/>
        <v>0</v>
      </c>
      <c r="N698" s="59">
        <f t="shared" si="84"/>
        <v>100000</v>
      </c>
      <c r="O698" s="59">
        <f t="shared" si="82"/>
        <v>13.66120218579235</v>
      </c>
      <c r="P698" s="59">
        <f t="shared" si="85"/>
        <v>8.1967213114754092</v>
      </c>
    </row>
    <row r="699" spans="12:16" ht="15" hidden="1" customHeight="1">
      <c r="L699" s="58">
        <f t="shared" si="83"/>
        <v>46931</v>
      </c>
      <c r="M699" s="59">
        <f t="shared" si="81"/>
        <v>0</v>
      </c>
      <c r="N699" s="59">
        <f t="shared" si="84"/>
        <v>100000</v>
      </c>
      <c r="O699" s="59">
        <f t="shared" si="82"/>
        <v>13.66120218579235</v>
      </c>
      <c r="P699" s="59">
        <f t="shared" si="85"/>
        <v>8.1967213114754092</v>
      </c>
    </row>
    <row r="700" spans="12:16" ht="15" hidden="1" customHeight="1">
      <c r="L700" s="58">
        <f t="shared" si="83"/>
        <v>46932</v>
      </c>
      <c r="M700" s="59">
        <f t="shared" si="81"/>
        <v>0</v>
      </c>
      <c r="N700" s="59">
        <f t="shared" si="84"/>
        <v>100000</v>
      </c>
      <c r="O700" s="59">
        <f t="shared" si="82"/>
        <v>13.66120218579235</v>
      </c>
      <c r="P700" s="59">
        <f t="shared" si="85"/>
        <v>8.1967213114754092</v>
      </c>
    </row>
    <row r="701" spans="12:16" ht="15" hidden="1" customHeight="1">
      <c r="L701" s="58">
        <f t="shared" si="83"/>
        <v>46933</v>
      </c>
      <c r="M701" s="59">
        <f t="shared" si="81"/>
        <v>0</v>
      </c>
      <c r="N701" s="59">
        <f t="shared" si="84"/>
        <v>100000</v>
      </c>
      <c r="O701" s="59">
        <f t="shared" si="82"/>
        <v>13.66120218579235</v>
      </c>
      <c r="P701" s="59">
        <f t="shared" si="85"/>
        <v>8.1967213114754092</v>
      </c>
    </row>
    <row r="702" spans="12:16" ht="15" hidden="1" customHeight="1">
      <c r="L702" s="58">
        <f t="shared" si="83"/>
        <v>46934</v>
      </c>
      <c r="M702" s="59">
        <f t="shared" si="81"/>
        <v>0</v>
      </c>
      <c r="N702" s="59">
        <f t="shared" si="84"/>
        <v>100000</v>
      </c>
      <c r="O702" s="59">
        <f t="shared" si="82"/>
        <v>13.66120218579235</v>
      </c>
      <c r="P702" s="59">
        <f t="shared" si="85"/>
        <v>8.1967213114754092</v>
      </c>
    </row>
    <row r="703" spans="12:16" ht="15" hidden="1" customHeight="1">
      <c r="L703" s="58">
        <f t="shared" si="83"/>
        <v>46935</v>
      </c>
      <c r="M703" s="59">
        <f t="shared" si="81"/>
        <v>0</v>
      </c>
      <c r="N703" s="59">
        <f t="shared" si="84"/>
        <v>100000</v>
      </c>
      <c r="O703" s="59">
        <f t="shared" si="82"/>
        <v>13.66120218579235</v>
      </c>
      <c r="P703" s="59">
        <f t="shared" si="85"/>
        <v>8.1967213114754092</v>
      </c>
    </row>
    <row r="704" spans="12:16" ht="15" hidden="1" customHeight="1">
      <c r="L704" s="58">
        <f t="shared" si="83"/>
        <v>46936</v>
      </c>
      <c r="M704" s="59">
        <f t="shared" si="81"/>
        <v>0</v>
      </c>
      <c r="N704" s="59">
        <f t="shared" si="84"/>
        <v>100000</v>
      </c>
      <c r="O704" s="59">
        <f t="shared" si="82"/>
        <v>13.66120218579235</v>
      </c>
      <c r="P704" s="59">
        <f t="shared" si="85"/>
        <v>8.1967213114754092</v>
      </c>
    </row>
    <row r="705" spans="12:16" ht="15" hidden="1" customHeight="1">
      <c r="L705" s="58">
        <f t="shared" si="83"/>
        <v>46937</v>
      </c>
      <c r="M705" s="59">
        <f t="shared" si="81"/>
        <v>0</v>
      </c>
      <c r="N705" s="59">
        <f t="shared" si="84"/>
        <v>100000</v>
      </c>
      <c r="O705" s="59">
        <f t="shared" si="82"/>
        <v>13.66120218579235</v>
      </c>
      <c r="P705" s="59">
        <f t="shared" si="85"/>
        <v>8.1967213114754092</v>
      </c>
    </row>
    <row r="706" spans="12:16" ht="15" hidden="1" customHeight="1">
      <c r="L706" s="58">
        <f t="shared" si="83"/>
        <v>46938</v>
      </c>
      <c r="M706" s="59">
        <f t="shared" si="81"/>
        <v>0</v>
      </c>
      <c r="N706" s="59">
        <f t="shared" si="84"/>
        <v>100000</v>
      </c>
      <c r="O706" s="59">
        <f t="shared" si="82"/>
        <v>13.66120218579235</v>
      </c>
      <c r="P706" s="59">
        <f t="shared" si="85"/>
        <v>8.1967213114754092</v>
      </c>
    </row>
    <row r="707" spans="12:16" ht="15" hidden="1" customHeight="1">
      <c r="L707" s="58">
        <f t="shared" si="83"/>
        <v>46939</v>
      </c>
      <c r="M707" s="59">
        <f t="shared" si="81"/>
        <v>0</v>
      </c>
      <c r="N707" s="59">
        <f t="shared" si="84"/>
        <v>100000</v>
      </c>
      <c r="O707" s="59">
        <f t="shared" si="82"/>
        <v>13.66120218579235</v>
      </c>
      <c r="P707" s="59">
        <f t="shared" si="85"/>
        <v>8.1967213114754092</v>
      </c>
    </row>
    <row r="708" spans="12:16" ht="15" hidden="1" customHeight="1">
      <c r="L708" s="58">
        <f t="shared" si="83"/>
        <v>46940</v>
      </c>
      <c r="M708" s="59">
        <f t="shared" si="81"/>
        <v>0</v>
      </c>
      <c r="N708" s="59">
        <f t="shared" si="84"/>
        <v>100000</v>
      </c>
      <c r="O708" s="59">
        <f t="shared" si="82"/>
        <v>13.66120218579235</v>
      </c>
      <c r="P708" s="59">
        <f t="shared" si="85"/>
        <v>8.1967213114754092</v>
      </c>
    </row>
    <row r="709" spans="12:16" ht="15" hidden="1" customHeight="1">
      <c r="L709" s="58">
        <f t="shared" si="83"/>
        <v>46941</v>
      </c>
      <c r="M709" s="59">
        <f t="shared" si="81"/>
        <v>0</v>
      </c>
      <c r="N709" s="59">
        <f t="shared" si="84"/>
        <v>100000</v>
      </c>
      <c r="O709" s="59">
        <f t="shared" si="82"/>
        <v>13.66120218579235</v>
      </c>
      <c r="P709" s="59">
        <f t="shared" si="85"/>
        <v>8.1967213114754092</v>
      </c>
    </row>
    <row r="710" spans="12:16" ht="15" hidden="1" customHeight="1">
      <c r="L710" s="58">
        <f t="shared" si="83"/>
        <v>46942</v>
      </c>
      <c r="M710" s="59">
        <f t="shared" si="81"/>
        <v>0</v>
      </c>
      <c r="N710" s="59">
        <f t="shared" si="84"/>
        <v>100000</v>
      </c>
      <c r="O710" s="59">
        <f t="shared" si="82"/>
        <v>13.66120218579235</v>
      </c>
      <c r="P710" s="59">
        <f t="shared" si="85"/>
        <v>8.1967213114754092</v>
      </c>
    </row>
    <row r="711" spans="12:16" ht="15" hidden="1" customHeight="1">
      <c r="L711" s="58">
        <f t="shared" si="83"/>
        <v>46943</v>
      </c>
      <c r="M711" s="59">
        <f t="shared" si="81"/>
        <v>0</v>
      </c>
      <c r="N711" s="59">
        <f t="shared" si="84"/>
        <v>100000</v>
      </c>
      <c r="O711" s="59">
        <f t="shared" si="82"/>
        <v>13.66120218579235</v>
      </c>
      <c r="P711" s="59">
        <f t="shared" si="85"/>
        <v>8.1967213114754092</v>
      </c>
    </row>
    <row r="712" spans="12:16" ht="15" hidden="1" customHeight="1">
      <c r="L712" s="58">
        <f t="shared" si="83"/>
        <v>46944</v>
      </c>
      <c r="M712" s="59">
        <f t="shared" si="81"/>
        <v>0</v>
      </c>
      <c r="N712" s="59">
        <f t="shared" si="84"/>
        <v>100000</v>
      </c>
      <c r="O712" s="59">
        <f t="shared" si="82"/>
        <v>13.66120218579235</v>
      </c>
      <c r="P712" s="59">
        <f t="shared" si="85"/>
        <v>8.1967213114754092</v>
      </c>
    </row>
    <row r="713" spans="12:16" ht="15" hidden="1" customHeight="1">
      <c r="L713" s="58">
        <f t="shared" si="83"/>
        <v>46945</v>
      </c>
      <c r="M713" s="59">
        <f t="shared" si="81"/>
        <v>0</v>
      </c>
      <c r="N713" s="59">
        <f t="shared" si="84"/>
        <v>100000</v>
      </c>
      <c r="O713" s="59">
        <f t="shared" si="82"/>
        <v>13.66120218579235</v>
      </c>
      <c r="P713" s="59">
        <f t="shared" si="85"/>
        <v>8.1967213114754092</v>
      </c>
    </row>
    <row r="714" spans="12:16" ht="15" hidden="1" customHeight="1">
      <c r="L714" s="58">
        <f t="shared" si="83"/>
        <v>46946</v>
      </c>
      <c r="M714" s="59">
        <f t="shared" si="81"/>
        <v>0</v>
      </c>
      <c r="N714" s="59">
        <f t="shared" si="84"/>
        <v>100000</v>
      </c>
      <c r="O714" s="59">
        <f t="shared" si="82"/>
        <v>13.66120218579235</v>
      </c>
      <c r="P714" s="59">
        <f t="shared" si="85"/>
        <v>8.1967213114754092</v>
      </c>
    </row>
    <row r="715" spans="12:16" ht="15" hidden="1" customHeight="1">
      <c r="L715" s="58">
        <f t="shared" si="83"/>
        <v>46947</v>
      </c>
      <c r="M715" s="59">
        <f t="shared" si="81"/>
        <v>0</v>
      </c>
      <c r="N715" s="59">
        <f t="shared" si="84"/>
        <v>100000</v>
      </c>
      <c r="O715" s="59">
        <f t="shared" si="82"/>
        <v>13.66120218579235</v>
      </c>
      <c r="P715" s="59">
        <f t="shared" si="85"/>
        <v>8.1967213114754092</v>
      </c>
    </row>
    <row r="716" spans="12:16" ht="15" hidden="1" customHeight="1">
      <c r="L716" s="58">
        <f t="shared" si="83"/>
        <v>46948</v>
      </c>
      <c r="M716" s="59">
        <f t="shared" si="81"/>
        <v>0</v>
      </c>
      <c r="N716" s="59">
        <f t="shared" si="84"/>
        <v>100000</v>
      </c>
      <c r="O716" s="59">
        <f t="shared" si="82"/>
        <v>13.66120218579235</v>
      </c>
      <c r="P716" s="59">
        <f t="shared" si="85"/>
        <v>8.1967213114754092</v>
      </c>
    </row>
    <row r="717" spans="12:16" ht="15" hidden="1" customHeight="1">
      <c r="L717" s="58">
        <f t="shared" si="83"/>
        <v>46949</v>
      </c>
      <c r="M717" s="59">
        <f t="shared" si="81"/>
        <v>0</v>
      </c>
      <c r="N717" s="59">
        <f t="shared" si="84"/>
        <v>100000</v>
      </c>
      <c r="O717" s="59">
        <f t="shared" si="82"/>
        <v>13.66120218579235</v>
      </c>
      <c r="P717" s="59">
        <f t="shared" si="85"/>
        <v>8.1967213114754092</v>
      </c>
    </row>
    <row r="718" spans="12:16" ht="15" hidden="1" customHeight="1">
      <c r="L718" s="58">
        <f t="shared" si="83"/>
        <v>46950</v>
      </c>
      <c r="M718" s="59">
        <f t="shared" si="81"/>
        <v>0</v>
      </c>
      <c r="N718" s="59">
        <f t="shared" si="84"/>
        <v>100000</v>
      </c>
      <c r="O718" s="59">
        <f t="shared" si="82"/>
        <v>13.66120218579235</v>
      </c>
      <c r="P718" s="59">
        <f t="shared" si="85"/>
        <v>8.1967213114754092</v>
      </c>
    </row>
    <row r="719" spans="12:16" ht="15" hidden="1" customHeight="1">
      <c r="L719" s="58">
        <f t="shared" si="83"/>
        <v>46951</v>
      </c>
      <c r="M719" s="59">
        <f t="shared" si="81"/>
        <v>0</v>
      </c>
      <c r="N719" s="59">
        <f t="shared" si="84"/>
        <v>100000</v>
      </c>
      <c r="O719" s="59">
        <f t="shared" si="82"/>
        <v>13.66120218579235</v>
      </c>
      <c r="P719" s="59">
        <f t="shared" si="85"/>
        <v>8.1967213114754092</v>
      </c>
    </row>
    <row r="720" spans="12:16" ht="15" hidden="1" customHeight="1">
      <c r="L720" s="58">
        <f t="shared" si="83"/>
        <v>46952</v>
      </c>
      <c r="M720" s="59">
        <f t="shared" si="81"/>
        <v>0</v>
      </c>
      <c r="N720" s="59">
        <f t="shared" si="84"/>
        <v>100000</v>
      </c>
      <c r="O720" s="59">
        <f t="shared" si="82"/>
        <v>13.66120218579235</v>
      </c>
      <c r="P720" s="59">
        <f t="shared" si="85"/>
        <v>8.1967213114754092</v>
      </c>
    </row>
    <row r="721" spans="12:16" ht="15" hidden="1" customHeight="1">
      <c r="L721" s="58">
        <f t="shared" si="83"/>
        <v>46953</v>
      </c>
      <c r="M721" s="59">
        <f t="shared" si="81"/>
        <v>0</v>
      </c>
      <c r="N721" s="59">
        <f t="shared" si="84"/>
        <v>100000</v>
      </c>
      <c r="O721" s="59">
        <f t="shared" si="82"/>
        <v>13.66120218579235</v>
      </c>
      <c r="P721" s="59">
        <f t="shared" si="85"/>
        <v>8.1967213114754092</v>
      </c>
    </row>
    <row r="722" spans="12:16" ht="15" hidden="1" customHeight="1">
      <c r="L722" s="58">
        <f t="shared" si="83"/>
        <v>46954</v>
      </c>
      <c r="M722" s="59">
        <f t="shared" si="81"/>
        <v>0</v>
      </c>
      <c r="N722" s="59">
        <f t="shared" si="84"/>
        <v>100000</v>
      </c>
      <c r="O722" s="59">
        <f t="shared" si="82"/>
        <v>13.66120218579235</v>
      </c>
      <c r="P722" s="59">
        <f t="shared" si="85"/>
        <v>8.1967213114754092</v>
      </c>
    </row>
    <row r="723" spans="12:16" ht="15" hidden="1" customHeight="1">
      <c r="L723" s="58">
        <f t="shared" si="83"/>
        <v>46955</v>
      </c>
      <c r="M723" s="59">
        <f t="shared" ref="M723:M786" si="86">IFERROR(VLOOKUP(L723,$B$19:$E$80,4,FALSE),0)</f>
        <v>0</v>
      </c>
      <c r="N723" s="59">
        <f t="shared" si="84"/>
        <v>100000</v>
      </c>
      <c r="O723" s="59">
        <f t="shared" ref="O723:O786" si="87">IFERROR(IF(ISNUMBER(N722),N722,$E$8)*IF(L723&gt;=$J$8,$E$12,$E$12)/IF(MOD(YEAR(L723),4),365,366)*IF(ISBLANK(L722),L723-$F$5,L723-L722),0)</f>
        <v>13.66120218579235</v>
      </c>
      <c r="P723" s="59">
        <f t="shared" si="85"/>
        <v>8.1967213114754092</v>
      </c>
    </row>
    <row r="724" spans="12:16" ht="15" hidden="1" customHeight="1">
      <c r="L724" s="58">
        <f t="shared" si="83"/>
        <v>46956</v>
      </c>
      <c r="M724" s="59">
        <f t="shared" si="86"/>
        <v>0</v>
      </c>
      <c r="N724" s="59">
        <f t="shared" si="84"/>
        <v>100000</v>
      </c>
      <c r="O724" s="59">
        <f t="shared" si="87"/>
        <v>13.66120218579235</v>
      </c>
      <c r="P724" s="59">
        <f t="shared" si="85"/>
        <v>8.1967213114754092</v>
      </c>
    </row>
    <row r="725" spans="12:16" ht="15" hidden="1" customHeight="1">
      <c r="L725" s="58">
        <f t="shared" si="83"/>
        <v>46957</v>
      </c>
      <c r="M725" s="59">
        <f t="shared" si="86"/>
        <v>0</v>
      </c>
      <c r="N725" s="59">
        <f t="shared" si="84"/>
        <v>100000</v>
      </c>
      <c r="O725" s="59">
        <f t="shared" si="87"/>
        <v>13.66120218579235</v>
      </c>
      <c r="P725" s="59">
        <f t="shared" si="85"/>
        <v>8.1967213114754092</v>
      </c>
    </row>
    <row r="726" spans="12:16" ht="15" hidden="1" customHeight="1">
      <c r="L726" s="58">
        <f t="shared" si="83"/>
        <v>46958</v>
      </c>
      <c r="M726" s="59">
        <f t="shared" si="86"/>
        <v>0</v>
      </c>
      <c r="N726" s="59">
        <f t="shared" si="84"/>
        <v>100000</v>
      </c>
      <c r="O726" s="59">
        <f t="shared" si="87"/>
        <v>13.66120218579235</v>
      </c>
      <c r="P726" s="59">
        <f t="shared" si="85"/>
        <v>8.1967213114754092</v>
      </c>
    </row>
    <row r="727" spans="12:16" ht="15" hidden="1" customHeight="1">
      <c r="L727" s="58">
        <f t="shared" si="83"/>
        <v>46959</v>
      </c>
      <c r="M727" s="59">
        <f t="shared" si="86"/>
        <v>0</v>
      </c>
      <c r="N727" s="59">
        <f t="shared" si="84"/>
        <v>100000</v>
      </c>
      <c r="O727" s="59">
        <f t="shared" si="87"/>
        <v>13.66120218579235</v>
      </c>
      <c r="P727" s="59">
        <f t="shared" si="85"/>
        <v>8.1967213114754092</v>
      </c>
    </row>
    <row r="728" spans="12:16" ht="15" hidden="1" customHeight="1">
      <c r="L728" s="58">
        <f t="shared" si="83"/>
        <v>46960</v>
      </c>
      <c r="M728" s="59">
        <f t="shared" si="86"/>
        <v>0</v>
      </c>
      <c r="N728" s="59">
        <f t="shared" si="84"/>
        <v>100000</v>
      </c>
      <c r="O728" s="59">
        <f t="shared" si="87"/>
        <v>13.66120218579235</v>
      </c>
      <c r="P728" s="59">
        <f t="shared" si="85"/>
        <v>8.1967213114754092</v>
      </c>
    </row>
    <row r="729" spans="12:16" ht="15" hidden="1" customHeight="1">
      <c r="L729" s="58">
        <f t="shared" si="83"/>
        <v>46961</v>
      </c>
      <c r="M729" s="59">
        <f t="shared" si="86"/>
        <v>0</v>
      </c>
      <c r="N729" s="59">
        <f t="shared" si="84"/>
        <v>100000</v>
      </c>
      <c r="O729" s="59">
        <f t="shared" si="87"/>
        <v>13.66120218579235</v>
      </c>
      <c r="P729" s="59">
        <f t="shared" si="85"/>
        <v>8.1967213114754092</v>
      </c>
    </row>
    <row r="730" spans="12:16" ht="15" hidden="1" customHeight="1">
      <c r="L730" s="58">
        <f t="shared" si="83"/>
        <v>46962</v>
      </c>
      <c r="M730" s="59">
        <f t="shared" si="86"/>
        <v>0</v>
      </c>
      <c r="N730" s="59">
        <f t="shared" si="84"/>
        <v>100000</v>
      </c>
      <c r="O730" s="59">
        <f t="shared" si="87"/>
        <v>13.66120218579235</v>
      </c>
      <c r="P730" s="59">
        <f t="shared" si="85"/>
        <v>8.1967213114754092</v>
      </c>
    </row>
    <row r="731" spans="12:16" ht="15" hidden="1" customHeight="1">
      <c r="L731" s="58">
        <f t="shared" si="83"/>
        <v>46963</v>
      </c>
      <c r="M731" s="59">
        <f t="shared" si="86"/>
        <v>0</v>
      </c>
      <c r="N731" s="59">
        <f t="shared" si="84"/>
        <v>100000</v>
      </c>
      <c r="O731" s="59">
        <f t="shared" si="87"/>
        <v>13.66120218579235</v>
      </c>
      <c r="P731" s="59">
        <f t="shared" si="85"/>
        <v>8.1967213114754092</v>
      </c>
    </row>
    <row r="732" spans="12:16" ht="15" hidden="1" customHeight="1">
      <c r="L732" s="58">
        <f t="shared" si="83"/>
        <v>46964</v>
      </c>
      <c r="M732" s="59">
        <f t="shared" si="86"/>
        <v>0</v>
      </c>
      <c r="N732" s="59">
        <f t="shared" si="84"/>
        <v>100000</v>
      </c>
      <c r="O732" s="59">
        <f t="shared" si="87"/>
        <v>13.66120218579235</v>
      </c>
      <c r="P732" s="59">
        <f t="shared" si="85"/>
        <v>8.1967213114754092</v>
      </c>
    </row>
    <row r="733" spans="12:16" ht="15" hidden="1" customHeight="1">
      <c r="L733" s="58">
        <f t="shared" si="83"/>
        <v>46965</v>
      </c>
      <c r="M733" s="59">
        <f t="shared" si="86"/>
        <v>0</v>
      </c>
      <c r="N733" s="59">
        <f t="shared" si="84"/>
        <v>100000</v>
      </c>
      <c r="O733" s="59">
        <f t="shared" si="87"/>
        <v>13.66120218579235</v>
      </c>
      <c r="P733" s="59">
        <f t="shared" si="85"/>
        <v>8.1967213114754092</v>
      </c>
    </row>
    <row r="734" spans="12:16" ht="15" hidden="1" customHeight="1">
      <c r="L734" s="58">
        <f t="shared" si="83"/>
        <v>46966</v>
      </c>
      <c r="M734" s="59">
        <f t="shared" si="86"/>
        <v>0</v>
      </c>
      <c r="N734" s="59">
        <f t="shared" si="84"/>
        <v>100000</v>
      </c>
      <c r="O734" s="59">
        <f t="shared" si="87"/>
        <v>13.66120218579235</v>
      </c>
      <c r="P734" s="59">
        <f t="shared" si="85"/>
        <v>8.1967213114754092</v>
      </c>
    </row>
    <row r="735" spans="12:16" ht="15" hidden="1" customHeight="1">
      <c r="L735" s="58">
        <f t="shared" si="83"/>
        <v>46967</v>
      </c>
      <c r="M735" s="59">
        <f t="shared" si="86"/>
        <v>0</v>
      </c>
      <c r="N735" s="59">
        <f t="shared" si="84"/>
        <v>100000</v>
      </c>
      <c r="O735" s="59">
        <f t="shared" si="87"/>
        <v>13.66120218579235</v>
      </c>
      <c r="P735" s="59">
        <f t="shared" si="85"/>
        <v>8.1967213114754092</v>
      </c>
    </row>
    <row r="736" spans="12:16" ht="15" hidden="1" customHeight="1">
      <c r="L736" s="58">
        <f t="shared" si="83"/>
        <v>46968</v>
      </c>
      <c r="M736" s="59">
        <f t="shared" si="86"/>
        <v>0</v>
      </c>
      <c r="N736" s="59">
        <f t="shared" si="84"/>
        <v>100000</v>
      </c>
      <c r="O736" s="59">
        <f t="shared" si="87"/>
        <v>13.66120218579235</v>
      </c>
      <c r="P736" s="59">
        <f t="shared" si="85"/>
        <v>8.1967213114754092</v>
      </c>
    </row>
    <row r="737" spans="12:16" ht="15" hidden="1" customHeight="1">
      <c r="L737" s="58">
        <f t="shared" si="83"/>
        <v>46969</v>
      </c>
      <c r="M737" s="59">
        <f t="shared" si="86"/>
        <v>0</v>
      </c>
      <c r="N737" s="59">
        <f t="shared" si="84"/>
        <v>100000</v>
      </c>
      <c r="O737" s="59">
        <f t="shared" si="87"/>
        <v>13.66120218579235</v>
      </c>
      <c r="P737" s="59">
        <f t="shared" si="85"/>
        <v>8.1967213114754092</v>
      </c>
    </row>
    <row r="738" spans="12:16" ht="15" hidden="1" customHeight="1">
      <c r="L738" s="58">
        <f t="shared" ref="L738:L801" si="88">IFERROR(IF(MAX(L737+1,$F$5+1)&gt;Дата_погашения_Займа,"-",MAX(L737+1,$F$5+1)),"-")</f>
        <v>46970</v>
      </c>
      <c r="M738" s="59">
        <f t="shared" si="86"/>
        <v>0</v>
      </c>
      <c r="N738" s="59">
        <f t="shared" si="84"/>
        <v>100000</v>
      </c>
      <c r="O738" s="59">
        <f t="shared" si="87"/>
        <v>13.66120218579235</v>
      </c>
      <c r="P738" s="59">
        <f t="shared" si="85"/>
        <v>8.1967213114754092</v>
      </c>
    </row>
    <row r="739" spans="12:16" ht="15" hidden="1" customHeight="1">
      <c r="L739" s="58">
        <f t="shared" si="88"/>
        <v>46971</v>
      </c>
      <c r="M739" s="59">
        <f t="shared" si="86"/>
        <v>0</v>
      </c>
      <c r="N739" s="59">
        <f t="shared" si="84"/>
        <v>100000</v>
      </c>
      <c r="O739" s="59">
        <f t="shared" si="87"/>
        <v>13.66120218579235</v>
      </c>
      <c r="P739" s="59">
        <f t="shared" si="85"/>
        <v>8.1967213114754092</v>
      </c>
    </row>
    <row r="740" spans="12:16" ht="15" hidden="1" customHeight="1">
      <c r="L740" s="58">
        <f t="shared" si="88"/>
        <v>46972</v>
      </c>
      <c r="M740" s="59">
        <f t="shared" si="86"/>
        <v>0</v>
      </c>
      <c r="N740" s="59">
        <f t="shared" si="84"/>
        <v>100000</v>
      </c>
      <c r="O740" s="59">
        <f t="shared" si="87"/>
        <v>13.66120218579235</v>
      </c>
      <c r="P740" s="59">
        <f t="shared" si="85"/>
        <v>8.1967213114754092</v>
      </c>
    </row>
    <row r="741" spans="12:16" ht="15" hidden="1" customHeight="1">
      <c r="L741" s="58">
        <f t="shared" si="88"/>
        <v>46973</v>
      </c>
      <c r="M741" s="59">
        <f t="shared" si="86"/>
        <v>0</v>
      </c>
      <c r="N741" s="59">
        <f t="shared" si="84"/>
        <v>100000</v>
      </c>
      <c r="O741" s="59">
        <f t="shared" si="87"/>
        <v>13.66120218579235</v>
      </c>
      <c r="P741" s="59">
        <f t="shared" si="85"/>
        <v>8.1967213114754092</v>
      </c>
    </row>
    <row r="742" spans="12:16" ht="15" hidden="1" customHeight="1">
      <c r="L742" s="58">
        <f t="shared" si="88"/>
        <v>46974</v>
      </c>
      <c r="M742" s="59">
        <f t="shared" si="86"/>
        <v>0</v>
      </c>
      <c r="N742" s="59">
        <f t="shared" si="84"/>
        <v>100000</v>
      </c>
      <c r="O742" s="59">
        <f t="shared" si="87"/>
        <v>13.66120218579235</v>
      </c>
      <c r="P742" s="59">
        <f t="shared" si="85"/>
        <v>8.1967213114754092</v>
      </c>
    </row>
    <row r="743" spans="12:16" ht="15" hidden="1" customHeight="1">
      <c r="L743" s="58">
        <f t="shared" si="88"/>
        <v>46975</v>
      </c>
      <c r="M743" s="59">
        <f t="shared" si="86"/>
        <v>0</v>
      </c>
      <c r="N743" s="59">
        <f t="shared" si="84"/>
        <v>100000</v>
      </c>
      <c r="O743" s="59">
        <f t="shared" si="87"/>
        <v>13.66120218579235</v>
      </c>
      <c r="P743" s="59">
        <f t="shared" si="85"/>
        <v>8.1967213114754092</v>
      </c>
    </row>
    <row r="744" spans="12:16" ht="15" hidden="1" customHeight="1">
      <c r="L744" s="58">
        <f t="shared" si="88"/>
        <v>46976</v>
      </c>
      <c r="M744" s="59">
        <f t="shared" si="86"/>
        <v>0</v>
      </c>
      <c r="N744" s="59">
        <f t="shared" si="84"/>
        <v>100000</v>
      </c>
      <c r="O744" s="59">
        <f t="shared" si="87"/>
        <v>13.66120218579235</v>
      </c>
      <c r="P744" s="59">
        <f t="shared" si="85"/>
        <v>8.1967213114754092</v>
      </c>
    </row>
    <row r="745" spans="12:16" ht="15" hidden="1" customHeight="1">
      <c r="L745" s="58">
        <f t="shared" si="88"/>
        <v>46977</v>
      </c>
      <c r="M745" s="59">
        <f t="shared" si="86"/>
        <v>0</v>
      </c>
      <c r="N745" s="59">
        <f t="shared" si="84"/>
        <v>100000</v>
      </c>
      <c r="O745" s="59">
        <f t="shared" si="87"/>
        <v>13.66120218579235</v>
      </c>
      <c r="P745" s="59">
        <f t="shared" si="85"/>
        <v>8.1967213114754092</v>
      </c>
    </row>
    <row r="746" spans="12:16" ht="15" hidden="1" customHeight="1">
      <c r="L746" s="58">
        <f t="shared" si="88"/>
        <v>46978</v>
      </c>
      <c r="M746" s="59">
        <f t="shared" si="86"/>
        <v>0</v>
      </c>
      <c r="N746" s="59">
        <f t="shared" si="84"/>
        <v>100000</v>
      </c>
      <c r="O746" s="59">
        <f t="shared" si="87"/>
        <v>13.66120218579235</v>
      </c>
      <c r="P746" s="59">
        <f t="shared" si="85"/>
        <v>8.1967213114754092</v>
      </c>
    </row>
    <row r="747" spans="12:16" ht="15" hidden="1" customHeight="1">
      <c r="L747" s="58">
        <f t="shared" si="88"/>
        <v>46979</v>
      </c>
      <c r="M747" s="59">
        <f t="shared" si="86"/>
        <v>0</v>
      </c>
      <c r="N747" s="59">
        <f t="shared" si="84"/>
        <v>100000</v>
      </c>
      <c r="O747" s="59">
        <f t="shared" si="87"/>
        <v>13.66120218579235</v>
      </c>
      <c r="P747" s="59">
        <f t="shared" si="85"/>
        <v>8.1967213114754092</v>
      </c>
    </row>
    <row r="748" spans="12:16" ht="15" hidden="1" customHeight="1">
      <c r="L748" s="58">
        <f t="shared" si="88"/>
        <v>46980</v>
      </c>
      <c r="M748" s="59">
        <f t="shared" si="86"/>
        <v>0</v>
      </c>
      <c r="N748" s="59">
        <f t="shared" si="84"/>
        <v>100000</v>
      </c>
      <c r="O748" s="59">
        <f t="shared" si="87"/>
        <v>13.66120218579235</v>
      </c>
      <c r="P748" s="59">
        <f t="shared" si="85"/>
        <v>8.1967213114754092</v>
      </c>
    </row>
    <row r="749" spans="12:16" ht="15" hidden="1" customHeight="1">
      <c r="L749" s="58">
        <f t="shared" si="88"/>
        <v>46981</v>
      </c>
      <c r="M749" s="59">
        <f t="shared" si="86"/>
        <v>0</v>
      </c>
      <c r="N749" s="59">
        <f t="shared" si="84"/>
        <v>100000</v>
      </c>
      <c r="O749" s="59">
        <f t="shared" si="87"/>
        <v>13.66120218579235</v>
      </c>
      <c r="P749" s="59">
        <f t="shared" si="85"/>
        <v>8.1967213114754092</v>
      </c>
    </row>
    <row r="750" spans="12:16" ht="15" hidden="1" customHeight="1">
      <c r="L750" s="58">
        <f t="shared" si="88"/>
        <v>46982</v>
      </c>
      <c r="M750" s="59">
        <f t="shared" si="86"/>
        <v>0</v>
      </c>
      <c r="N750" s="59">
        <f t="shared" si="84"/>
        <v>100000</v>
      </c>
      <c r="O750" s="59">
        <f t="shared" si="87"/>
        <v>13.66120218579235</v>
      </c>
      <c r="P750" s="59">
        <f t="shared" si="85"/>
        <v>8.1967213114754092</v>
      </c>
    </row>
    <row r="751" spans="12:16" ht="15" hidden="1" customHeight="1">
      <c r="L751" s="58">
        <f t="shared" si="88"/>
        <v>46983</v>
      </c>
      <c r="M751" s="59">
        <f t="shared" si="86"/>
        <v>0</v>
      </c>
      <c r="N751" s="59">
        <f t="shared" si="84"/>
        <v>100000</v>
      </c>
      <c r="O751" s="59">
        <f t="shared" si="87"/>
        <v>13.66120218579235</v>
      </c>
      <c r="P751" s="59">
        <f t="shared" si="85"/>
        <v>8.1967213114754092</v>
      </c>
    </row>
    <row r="752" spans="12:16" ht="15" hidden="1" customHeight="1">
      <c r="L752" s="58">
        <f t="shared" si="88"/>
        <v>46984</v>
      </c>
      <c r="M752" s="59">
        <f t="shared" si="86"/>
        <v>0</v>
      </c>
      <c r="N752" s="59">
        <f t="shared" ref="N752:N815" si="89">IF(ISNUMBER(N751),N751-M752,$E$8)</f>
        <v>100000</v>
      </c>
      <c r="O752" s="59">
        <f t="shared" si="87"/>
        <v>13.66120218579235</v>
      </c>
      <c r="P752" s="59">
        <f t="shared" ref="P752:P815" si="90">IFERROR(IF(ISNUMBER(N751),N751,$E$8)*3%/IF(MOD(YEAR(L752),4),365,366)*IF(ISBLANK(L751),(L752-$F$5),L752-L751),0)</f>
        <v>8.1967213114754092</v>
      </c>
    </row>
    <row r="753" spans="12:16" ht="15" hidden="1" customHeight="1">
      <c r="L753" s="58">
        <f t="shared" si="88"/>
        <v>46985</v>
      </c>
      <c r="M753" s="59">
        <f t="shared" si="86"/>
        <v>0</v>
      </c>
      <c r="N753" s="59">
        <f t="shared" si="89"/>
        <v>100000</v>
      </c>
      <c r="O753" s="59">
        <f t="shared" si="87"/>
        <v>13.66120218579235</v>
      </c>
      <c r="P753" s="59">
        <f t="shared" si="90"/>
        <v>8.1967213114754092</v>
      </c>
    </row>
    <row r="754" spans="12:16" ht="15" hidden="1" customHeight="1">
      <c r="L754" s="58">
        <f t="shared" si="88"/>
        <v>46986</v>
      </c>
      <c r="M754" s="59">
        <f t="shared" si="86"/>
        <v>0</v>
      </c>
      <c r="N754" s="59">
        <f t="shared" si="89"/>
        <v>100000</v>
      </c>
      <c r="O754" s="59">
        <f t="shared" si="87"/>
        <v>13.66120218579235</v>
      </c>
      <c r="P754" s="59">
        <f t="shared" si="90"/>
        <v>8.1967213114754092</v>
      </c>
    </row>
    <row r="755" spans="12:16" ht="15" hidden="1" customHeight="1">
      <c r="L755" s="58">
        <f t="shared" si="88"/>
        <v>46987</v>
      </c>
      <c r="M755" s="59">
        <f t="shared" si="86"/>
        <v>0</v>
      </c>
      <c r="N755" s="59">
        <f t="shared" si="89"/>
        <v>100000</v>
      </c>
      <c r="O755" s="59">
        <f t="shared" si="87"/>
        <v>13.66120218579235</v>
      </c>
      <c r="P755" s="59">
        <f t="shared" si="90"/>
        <v>8.1967213114754092</v>
      </c>
    </row>
    <row r="756" spans="12:16" ht="15" hidden="1" customHeight="1">
      <c r="L756" s="58">
        <f t="shared" si="88"/>
        <v>46988</v>
      </c>
      <c r="M756" s="59">
        <f t="shared" si="86"/>
        <v>0</v>
      </c>
      <c r="N756" s="59">
        <f t="shared" si="89"/>
        <v>100000</v>
      </c>
      <c r="O756" s="59">
        <f t="shared" si="87"/>
        <v>13.66120218579235</v>
      </c>
      <c r="P756" s="59">
        <f t="shared" si="90"/>
        <v>8.1967213114754092</v>
      </c>
    </row>
    <row r="757" spans="12:16" ht="15" hidden="1" customHeight="1">
      <c r="L757" s="58">
        <f t="shared" si="88"/>
        <v>46989</v>
      </c>
      <c r="M757" s="59">
        <f t="shared" si="86"/>
        <v>0</v>
      </c>
      <c r="N757" s="59">
        <f t="shared" si="89"/>
        <v>100000</v>
      </c>
      <c r="O757" s="59">
        <f t="shared" si="87"/>
        <v>13.66120218579235</v>
      </c>
      <c r="P757" s="59">
        <f t="shared" si="90"/>
        <v>8.1967213114754092</v>
      </c>
    </row>
    <row r="758" spans="12:16" ht="15" hidden="1" customHeight="1">
      <c r="L758" s="58">
        <f t="shared" si="88"/>
        <v>46990</v>
      </c>
      <c r="M758" s="59">
        <f t="shared" si="86"/>
        <v>0</v>
      </c>
      <c r="N758" s="59">
        <f t="shared" si="89"/>
        <v>100000</v>
      </c>
      <c r="O758" s="59">
        <f t="shared" si="87"/>
        <v>13.66120218579235</v>
      </c>
      <c r="P758" s="59">
        <f t="shared" si="90"/>
        <v>8.1967213114754092</v>
      </c>
    </row>
    <row r="759" spans="12:16" ht="15" hidden="1" customHeight="1">
      <c r="L759" s="58">
        <f t="shared" si="88"/>
        <v>46991</v>
      </c>
      <c r="M759" s="59">
        <f t="shared" si="86"/>
        <v>0</v>
      </c>
      <c r="N759" s="59">
        <f t="shared" si="89"/>
        <v>100000</v>
      </c>
      <c r="O759" s="59">
        <f t="shared" si="87"/>
        <v>13.66120218579235</v>
      </c>
      <c r="P759" s="59">
        <f t="shared" si="90"/>
        <v>8.1967213114754092</v>
      </c>
    </row>
    <row r="760" spans="12:16" ht="15" hidden="1" customHeight="1">
      <c r="L760" s="58">
        <f t="shared" si="88"/>
        <v>46992</v>
      </c>
      <c r="M760" s="59">
        <f t="shared" si="86"/>
        <v>0</v>
      </c>
      <c r="N760" s="59">
        <f t="shared" si="89"/>
        <v>100000</v>
      </c>
      <c r="O760" s="59">
        <f t="shared" si="87"/>
        <v>13.66120218579235</v>
      </c>
      <c r="P760" s="59">
        <f t="shared" si="90"/>
        <v>8.1967213114754092</v>
      </c>
    </row>
    <row r="761" spans="12:16" ht="15" hidden="1" customHeight="1">
      <c r="L761" s="58">
        <f t="shared" si="88"/>
        <v>46993</v>
      </c>
      <c r="M761" s="59">
        <f t="shared" si="86"/>
        <v>0</v>
      </c>
      <c r="N761" s="59">
        <f t="shared" si="89"/>
        <v>100000</v>
      </c>
      <c r="O761" s="59">
        <f t="shared" si="87"/>
        <v>13.66120218579235</v>
      </c>
      <c r="P761" s="59">
        <f t="shared" si="90"/>
        <v>8.1967213114754092</v>
      </c>
    </row>
    <row r="762" spans="12:16" ht="15" hidden="1" customHeight="1">
      <c r="L762" s="58">
        <f t="shared" si="88"/>
        <v>46994</v>
      </c>
      <c r="M762" s="59">
        <f t="shared" si="86"/>
        <v>0</v>
      </c>
      <c r="N762" s="59">
        <f t="shared" si="89"/>
        <v>100000</v>
      </c>
      <c r="O762" s="59">
        <f t="shared" si="87"/>
        <v>13.66120218579235</v>
      </c>
      <c r="P762" s="59">
        <f t="shared" si="90"/>
        <v>8.1967213114754092</v>
      </c>
    </row>
    <row r="763" spans="12:16" ht="15" hidden="1" customHeight="1">
      <c r="L763" s="58">
        <f t="shared" si="88"/>
        <v>46995</v>
      </c>
      <c r="M763" s="59">
        <f t="shared" si="86"/>
        <v>0</v>
      </c>
      <c r="N763" s="59">
        <f t="shared" si="89"/>
        <v>100000</v>
      </c>
      <c r="O763" s="59">
        <f t="shared" si="87"/>
        <v>13.66120218579235</v>
      </c>
      <c r="P763" s="59">
        <f t="shared" si="90"/>
        <v>8.1967213114754092</v>
      </c>
    </row>
    <row r="764" spans="12:16" ht="15" hidden="1" customHeight="1">
      <c r="L764" s="58">
        <f t="shared" si="88"/>
        <v>46996</v>
      </c>
      <c r="M764" s="59">
        <f t="shared" si="86"/>
        <v>0</v>
      </c>
      <c r="N764" s="59">
        <f t="shared" si="89"/>
        <v>100000</v>
      </c>
      <c r="O764" s="59">
        <f t="shared" si="87"/>
        <v>13.66120218579235</v>
      </c>
      <c r="P764" s="59">
        <f t="shared" si="90"/>
        <v>8.1967213114754092</v>
      </c>
    </row>
    <row r="765" spans="12:16" ht="15" hidden="1" customHeight="1">
      <c r="L765" s="58">
        <f t="shared" si="88"/>
        <v>46997</v>
      </c>
      <c r="M765" s="59">
        <f t="shared" si="86"/>
        <v>0</v>
      </c>
      <c r="N765" s="59">
        <f t="shared" si="89"/>
        <v>100000</v>
      </c>
      <c r="O765" s="59">
        <f t="shared" si="87"/>
        <v>13.66120218579235</v>
      </c>
      <c r="P765" s="59">
        <f t="shared" si="90"/>
        <v>8.1967213114754092</v>
      </c>
    </row>
    <row r="766" spans="12:16" ht="15" hidden="1" customHeight="1">
      <c r="L766" s="58">
        <f t="shared" si="88"/>
        <v>46998</v>
      </c>
      <c r="M766" s="59">
        <f t="shared" si="86"/>
        <v>0</v>
      </c>
      <c r="N766" s="59">
        <f t="shared" si="89"/>
        <v>100000</v>
      </c>
      <c r="O766" s="59">
        <f t="shared" si="87"/>
        <v>13.66120218579235</v>
      </c>
      <c r="P766" s="59">
        <f t="shared" si="90"/>
        <v>8.1967213114754092</v>
      </c>
    </row>
    <row r="767" spans="12:16" ht="15" hidden="1" customHeight="1">
      <c r="L767" s="58">
        <f t="shared" si="88"/>
        <v>46999</v>
      </c>
      <c r="M767" s="59">
        <f t="shared" si="86"/>
        <v>0</v>
      </c>
      <c r="N767" s="59">
        <f t="shared" si="89"/>
        <v>100000</v>
      </c>
      <c r="O767" s="59">
        <f t="shared" si="87"/>
        <v>13.66120218579235</v>
      </c>
      <c r="P767" s="59">
        <f t="shared" si="90"/>
        <v>8.1967213114754092</v>
      </c>
    </row>
    <row r="768" spans="12:16" ht="15" hidden="1" customHeight="1">
      <c r="L768" s="58">
        <f t="shared" si="88"/>
        <v>47000</v>
      </c>
      <c r="M768" s="59">
        <f t="shared" si="86"/>
        <v>0</v>
      </c>
      <c r="N768" s="59">
        <f t="shared" si="89"/>
        <v>100000</v>
      </c>
      <c r="O768" s="59">
        <f t="shared" si="87"/>
        <v>13.66120218579235</v>
      </c>
      <c r="P768" s="59">
        <f t="shared" si="90"/>
        <v>8.1967213114754092</v>
      </c>
    </row>
    <row r="769" spans="12:16" ht="15" hidden="1" customHeight="1">
      <c r="L769" s="58">
        <f t="shared" si="88"/>
        <v>47001</v>
      </c>
      <c r="M769" s="59">
        <f t="shared" si="86"/>
        <v>0</v>
      </c>
      <c r="N769" s="59">
        <f t="shared" si="89"/>
        <v>100000</v>
      </c>
      <c r="O769" s="59">
        <f t="shared" si="87"/>
        <v>13.66120218579235</v>
      </c>
      <c r="P769" s="59">
        <f t="shared" si="90"/>
        <v>8.1967213114754092</v>
      </c>
    </row>
    <row r="770" spans="12:16" ht="15" hidden="1" customHeight="1">
      <c r="L770" s="58">
        <f t="shared" si="88"/>
        <v>47002</v>
      </c>
      <c r="M770" s="59">
        <f t="shared" si="86"/>
        <v>0</v>
      </c>
      <c r="N770" s="59">
        <f t="shared" si="89"/>
        <v>100000</v>
      </c>
      <c r="O770" s="59">
        <f t="shared" si="87"/>
        <v>13.66120218579235</v>
      </c>
      <c r="P770" s="59">
        <f t="shared" si="90"/>
        <v>8.1967213114754092</v>
      </c>
    </row>
    <row r="771" spans="12:16" ht="15" hidden="1" customHeight="1">
      <c r="L771" s="58">
        <f t="shared" si="88"/>
        <v>47003</v>
      </c>
      <c r="M771" s="59">
        <f t="shared" si="86"/>
        <v>0</v>
      </c>
      <c r="N771" s="59">
        <f t="shared" si="89"/>
        <v>100000</v>
      </c>
      <c r="O771" s="59">
        <f t="shared" si="87"/>
        <v>13.66120218579235</v>
      </c>
      <c r="P771" s="59">
        <f t="shared" si="90"/>
        <v>8.1967213114754092</v>
      </c>
    </row>
    <row r="772" spans="12:16" ht="15" hidden="1" customHeight="1">
      <c r="L772" s="58">
        <f t="shared" si="88"/>
        <v>47004</v>
      </c>
      <c r="M772" s="59">
        <f t="shared" si="86"/>
        <v>0</v>
      </c>
      <c r="N772" s="59">
        <f t="shared" si="89"/>
        <v>100000</v>
      </c>
      <c r="O772" s="59">
        <f t="shared" si="87"/>
        <v>13.66120218579235</v>
      </c>
      <c r="P772" s="59">
        <f t="shared" si="90"/>
        <v>8.1967213114754092</v>
      </c>
    </row>
    <row r="773" spans="12:16" ht="15" hidden="1" customHeight="1">
      <c r="L773" s="58">
        <f t="shared" si="88"/>
        <v>47005</v>
      </c>
      <c r="M773" s="59">
        <f t="shared" si="86"/>
        <v>0</v>
      </c>
      <c r="N773" s="59">
        <f t="shared" si="89"/>
        <v>100000</v>
      </c>
      <c r="O773" s="59">
        <f t="shared" si="87"/>
        <v>13.66120218579235</v>
      </c>
      <c r="P773" s="59">
        <f t="shared" si="90"/>
        <v>8.1967213114754092</v>
      </c>
    </row>
    <row r="774" spans="12:16" ht="15" hidden="1" customHeight="1">
      <c r="L774" s="58">
        <f t="shared" si="88"/>
        <v>47006</v>
      </c>
      <c r="M774" s="59">
        <f t="shared" si="86"/>
        <v>0</v>
      </c>
      <c r="N774" s="59">
        <f t="shared" si="89"/>
        <v>100000</v>
      </c>
      <c r="O774" s="59">
        <f t="shared" si="87"/>
        <v>13.66120218579235</v>
      </c>
      <c r="P774" s="59">
        <f t="shared" si="90"/>
        <v>8.1967213114754092</v>
      </c>
    </row>
    <row r="775" spans="12:16" ht="15" hidden="1" customHeight="1">
      <c r="L775" s="58">
        <f t="shared" si="88"/>
        <v>47007</v>
      </c>
      <c r="M775" s="59">
        <f t="shared" si="86"/>
        <v>0</v>
      </c>
      <c r="N775" s="59">
        <f t="shared" si="89"/>
        <v>100000</v>
      </c>
      <c r="O775" s="59">
        <f t="shared" si="87"/>
        <v>13.66120218579235</v>
      </c>
      <c r="P775" s="59">
        <f t="shared" si="90"/>
        <v>8.1967213114754092</v>
      </c>
    </row>
    <row r="776" spans="12:16" ht="15" hidden="1" customHeight="1">
      <c r="L776" s="58">
        <f t="shared" si="88"/>
        <v>47008</v>
      </c>
      <c r="M776" s="59">
        <f t="shared" si="86"/>
        <v>0</v>
      </c>
      <c r="N776" s="59">
        <f t="shared" si="89"/>
        <v>100000</v>
      </c>
      <c r="O776" s="59">
        <f t="shared" si="87"/>
        <v>13.66120218579235</v>
      </c>
      <c r="P776" s="59">
        <f t="shared" si="90"/>
        <v>8.1967213114754092</v>
      </c>
    </row>
    <row r="777" spans="12:16" ht="15" hidden="1" customHeight="1">
      <c r="L777" s="58">
        <f t="shared" si="88"/>
        <v>47009</v>
      </c>
      <c r="M777" s="59">
        <f t="shared" si="86"/>
        <v>0</v>
      </c>
      <c r="N777" s="59">
        <f t="shared" si="89"/>
        <v>100000</v>
      </c>
      <c r="O777" s="59">
        <f t="shared" si="87"/>
        <v>13.66120218579235</v>
      </c>
      <c r="P777" s="59">
        <f t="shared" si="90"/>
        <v>8.1967213114754092</v>
      </c>
    </row>
    <row r="778" spans="12:16" ht="15" hidden="1" customHeight="1">
      <c r="L778" s="58">
        <f t="shared" si="88"/>
        <v>47010</v>
      </c>
      <c r="M778" s="59">
        <f t="shared" si="86"/>
        <v>0</v>
      </c>
      <c r="N778" s="59">
        <f t="shared" si="89"/>
        <v>100000</v>
      </c>
      <c r="O778" s="59">
        <f t="shared" si="87"/>
        <v>13.66120218579235</v>
      </c>
      <c r="P778" s="59">
        <f t="shared" si="90"/>
        <v>8.1967213114754092</v>
      </c>
    </row>
    <row r="779" spans="12:16" ht="15" hidden="1" customHeight="1">
      <c r="L779" s="58">
        <f t="shared" si="88"/>
        <v>47011</v>
      </c>
      <c r="M779" s="59">
        <f t="shared" si="86"/>
        <v>0</v>
      </c>
      <c r="N779" s="59">
        <f t="shared" si="89"/>
        <v>100000</v>
      </c>
      <c r="O779" s="59">
        <f t="shared" si="87"/>
        <v>13.66120218579235</v>
      </c>
      <c r="P779" s="59">
        <f t="shared" si="90"/>
        <v>8.1967213114754092</v>
      </c>
    </row>
    <row r="780" spans="12:16" ht="15" hidden="1" customHeight="1">
      <c r="L780" s="58">
        <f t="shared" si="88"/>
        <v>47012</v>
      </c>
      <c r="M780" s="59">
        <f t="shared" si="86"/>
        <v>0</v>
      </c>
      <c r="N780" s="59">
        <f t="shared" si="89"/>
        <v>100000</v>
      </c>
      <c r="O780" s="59">
        <f t="shared" si="87"/>
        <v>13.66120218579235</v>
      </c>
      <c r="P780" s="59">
        <f t="shared" si="90"/>
        <v>8.1967213114754092</v>
      </c>
    </row>
    <row r="781" spans="12:16" ht="15" hidden="1" customHeight="1">
      <c r="L781" s="58">
        <f t="shared" si="88"/>
        <v>47013</v>
      </c>
      <c r="M781" s="59">
        <f t="shared" si="86"/>
        <v>0</v>
      </c>
      <c r="N781" s="59">
        <f t="shared" si="89"/>
        <v>100000</v>
      </c>
      <c r="O781" s="59">
        <f t="shared" si="87"/>
        <v>13.66120218579235</v>
      </c>
      <c r="P781" s="59">
        <f t="shared" si="90"/>
        <v>8.1967213114754092</v>
      </c>
    </row>
    <row r="782" spans="12:16" ht="15" hidden="1" customHeight="1">
      <c r="L782" s="58">
        <f t="shared" si="88"/>
        <v>47014</v>
      </c>
      <c r="M782" s="59">
        <f t="shared" si="86"/>
        <v>0</v>
      </c>
      <c r="N782" s="59">
        <f t="shared" si="89"/>
        <v>100000</v>
      </c>
      <c r="O782" s="59">
        <f t="shared" si="87"/>
        <v>13.66120218579235</v>
      </c>
      <c r="P782" s="59">
        <f t="shared" si="90"/>
        <v>8.1967213114754092</v>
      </c>
    </row>
    <row r="783" spans="12:16" ht="15" hidden="1" customHeight="1">
      <c r="L783" s="58">
        <f t="shared" si="88"/>
        <v>47015</v>
      </c>
      <c r="M783" s="59">
        <f t="shared" si="86"/>
        <v>0</v>
      </c>
      <c r="N783" s="59">
        <f t="shared" si="89"/>
        <v>100000</v>
      </c>
      <c r="O783" s="59">
        <f t="shared" si="87"/>
        <v>13.66120218579235</v>
      </c>
      <c r="P783" s="59">
        <f t="shared" si="90"/>
        <v>8.1967213114754092</v>
      </c>
    </row>
    <row r="784" spans="12:16" ht="15" hidden="1" customHeight="1">
      <c r="L784" s="58">
        <f t="shared" si="88"/>
        <v>47016</v>
      </c>
      <c r="M784" s="59">
        <f t="shared" si="86"/>
        <v>0</v>
      </c>
      <c r="N784" s="59">
        <f t="shared" si="89"/>
        <v>100000</v>
      </c>
      <c r="O784" s="59">
        <f t="shared" si="87"/>
        <v>13.66120218579235</v>
      </c>
      <c r="P784" s="59">
        <f t="shared" si="90"/>
        <v>8.1967213114754092</v>
      </c>
    </row>
    <row r="785" spans="12:16" ht="15" hidden="1" customHeight="1">
      <c r="L785" s="58">
        <f t="shared" si="88"/>
        <v>47017</v>
      </c>
      <c r="M785" s="59">
        <f t="shared" si="86"/>
        <v>0</v>
      </c>
      <c r="N785" s="59">
        <f t="shared" si="89"/>
        <v>100000</v>
      </c>
      <c r="O785" s="59">
        <f t="shared" si="87"/>
        <v>13.66120218579235</v>
      </c>
      <c r="P785" s="59">
        <f t="shared" si="90"/>
        <v>8.1967213114754092</v>
      </c>
    </row>
    <row r="786" spans="12:16" ht="15" hidden="1" customHeight="1">
      <c r="L786" s="58">
        <f t="shared" si="88"/>
        <v>47018</v>
      </c>
      <c r="M786" s="59">
        <f t="shared" si="86"/>
        <v>0</v>
      </c>
      <c r="N786" s="59">
        <f t="shared" si="89"/>
        <v>100000</v>
      </c>
      <c r="O786" s="59">
        <f t="shared" si="87"/>
        <v>13.66120218579235</v>
      </c>
      <c r="P786" s="59">
        <f t="shared" si="90"/>
        <v>8.1967213114754092</v>
      </c>
    </row>
    <row r="787" spans="12:16" ht="15" hidden="1" customHeight="1">
      <c r="L787" s="58">
        <f t="shared" si="88"/>
        <v>47019</v>
      </c>
      <c r="M787" s="59">
        <f t="shared" ref="M787:M850" si="91">IFERROR(VLOOKUP(L787,$B$19:$E$80,4,FALSE),0)</f>
        <v>0</v>
      </c>
      <c r="N787" s="59">
        <f t="shared" si="89"/>
        <v>100000</v>
      </c>
      <c r="O787" s="59">
        <f t="shared" ref="O787:O850" si="92">IFERROR(IF(ISNUMBER(N786),N786,$E$8)*IF(L787&gt;=$J$8,$E$12,$E$12)/IF(MOD(YEAR(L787),4),365,366)*IF(ISBLANK(L786),L787-$F$5,L787-L786),0)</f>
        <v>13.66120218579235</v>
      </c>
      <c r="P787" s="59">
        <f t="shared" si="90"/>
        <v>8.1967213114754092</v>
      </c>
    </row>
    <row r="788" spans="12:16" ht="15" hidden="1" customHeight="1">
      <c r="L788" s="58">
        <f t="shared" si="88"/>
        <v>47020</v>
      </c>
      <c r="M788" s="59">
        <f t="shared" si="91"/>
        <v>0</v>
      </c>
      <c r="N788" s="59">
        <f t="shared" si="89"/>
        <v>100000</v>
      </c>
      <c r="O788" s="59">
        <f t="shared" si="92"/>
        <v>13.66120218579235</v>
      </c>
      <c r="P788" s="59">
        <f t="shared" si="90"/>
        <v>8.1967213114754092</v>
      </c>
    </row>
    <row r="789" spans="12:16" ht="15" hidden="1" customHeight="1">
      <c r="L789" s="58">
        <f t="shared" si="88"/>
        <v>47021</v>
      </c>
      <c r="M789" s="59">
        <f t="shared" si="91"/>
        <v>0</v>
      </c>
      <c r="N789" s="59">
        <f t="shared" si="89"/>
        <v>100000</v>
      </c>
      <c r="O789" s="59">
        <f t="shared" si="92"/>
        <v>13.66120218579235</v>
      </c>
      <c r="P789" s="59">
        <f t="shared" si="90"/>
        <v>8.1967213114754092</v>
      </c>
    </row>
    <row r="790" spans="12:16" ht="15" hidden="1" customHeight="1">
      <c r="L790" s="58">
        <f t="shared" si="88"/>
        <v>47022</v>
      </c>
      <c r="M790" s="59">
        <f t="shared" si="91"/>
        <v>0</v>
      </c>
      <c r="N790" s="59">
        <f t="shared" si="89"/>
        <v>100000</v>
      </c>
      <c r="O790" s="59">
        <f t="shared" si="92"/>
        <v>13.66120218579235</v>
      </c>
      <c r="P790" s="59">
        <f t="shared" si="90"/>
        <v>8.1967213114754092</v>
      </c>
    </row>
    <row r="791" spans="12:16" ht="15" hidden="1" customHeight="1">
      <c r="L791" s="58">
        <f t="shared" si="88"/>
        <v>47023</v>
      </c>
      <c r="M791" s="59">
        <f t="shared" si="91"/>
        <v>0</v>
      </c>
      <c r="N791" s="59">
        <f t="shared" si="89"/>
        <v>100000</v>
      </c>
      <c r="O791" s="59">
        <f t="shared" si="92"/>
        <v>13.66120218579235</v>
      </c>
      <c r="P791" s="59">
        <f t="shared" si="90"/>
        <v>8.1967213114754092</v>
      </c>
    </row>
    <row r="792" spans="12:16" ht="15" hidden="1" customHeight="1">
      <c r="L792" s="58">
        <f t="shared" si="88"/>
        <v>47024</v>
      </c>
      <c r="M792" s="59">
        <f t="shared" si="91"/>
        <v>0</v>
      </c>
      <c r="N792" s="59">
        <f t="shared" si="89"/>
        <v>100000</v>
      </c>
      <c r="O792" s="59">
        <f t="shared" si="92"/>
        <v>13.66120218579235</v>
      </c>
      <c r="P792" s="59">
        <f t="shared" si="90"/>
        <v>8.1967213114754092</v>
      </c>
    </row>
    <row r="793" spans="12:16" ht="15" hidden="1" customHeight="1">
      <c r="L793" s="58">
        <f t="shared" si="88"/>
        <v>47025</v>
      </c>
      <c r="M793" s="59">
        <f t="shared" si="91"/>
        <v>0</v>
      </c>
      <c r="N793" s="59">
        <f t="shared" si="89"/>
        <v>100000</v>
      </c>
      <c r="O793" s="59">
        <f t="shared" si="92"/>
        <v>13.66120218579235</v>
      </c>
      <c r="P793" s="59">
        <f t="shared" si="90"/>
        <v>8.1967213114754092</v>
      </c>
    </row>
    <row r="794" spans="12:16" ht="15" hidden="1" customHeight="1">
      <c r="L794" s="58">
        <f t="shared" si="88"/>
        <v>47026</v>
      </c>
      <c r="M794" s="59">
        <f t="shared" si="91"/>
        <v>0</v>
      </c>
      <c r="N794" s="59">
        <f t="shared" si="89"/>
        <v>100000</v>
      </c>
      <c r="O794" s="59">
        <f t="shared" si="92"/>
        <v>13.66120218579235</v>
      </c>
      <c r="P794" s="59">
        <f t="shared" si="90"/>
        <v>8.1967213114754092</v>
      </c>
    </row>
    <row r="795" spans="12:16" ht="15" hidden="1" customHeight="1">
      <c r="L795" s="58">
        <f t="shared" si="88"/>
        <v>47027</v>
      </c>
      <c r="M795" s="59">
        <f t="shared" si="91"/>
        <v>0</v>
      </c>
      <c r="N795" s="59">
        <f t="shared" si="89"/>
        <v>100000</v>
      </c>
      <c r="O795" s="59">
        <f t="shared" si="92"/>
        <v>13.66120218579235</v>
      </c>
      <c r="P795" s="59">
        <f t="shared" si="90"/>
        <v>8.1967213114754092</v>
      </c>
    </row>
    <row r="796" spans="12:16" ht="15" hidden="1" customHeight="1">
      <c r="L796" s="58">
        <f t="shared" si="88"/>
        <v>47028</v>
      </c>
      <c r="M796" s="59">
        <f t="shared" si="91"/>
        <v>0</v>
      </c>
      <c r="N796" s="59">
        <f t="shared" si="89"/>
        <v>100000</v>
      </c>
      <c r="O796" s="59">
        <f t="shared" si="92"/>
        <v>13.66120218579235</v>
      </c>
      <c r="P796" s="59">
        <f t="shared" si="90"/>
        <v>8.1967213114754092</v>
      </c>
    </row>
    <row r="797" spans="12:16" ht="15" hidden="1" customHeight="1">
      <c r="L797" s="58">
        <f t="shared" si="88"/>
        <v>47029</v>
      </c>
      <c r="M797" s="59">
        <f t="shared" si="91"/>
        <v>0</v>
      </c>
      <c r="N797" s="59">
        <f t="shared" si="89"/>
        <v>100000</v>
      </c>
      <c r="O797" s="59">
        <f t="shared" si="92"/>
        <v>13.66120218579235</v>
      </c>
      <c r="P797" s="59">
        <f t="shared" si="90"/>
        <v>8.1967213114754092</v>
      </c>
    </row>
    <row r="798" spans="12:16" ht="15" hidden="1" customHeight="1">
      <c r="L798" s="58">
        <f t="shared" si="88"/>
        <v>47030</v>
      </c>
      <c r="M798" s="59">
        <f t="shared" si="91"/>
        <v>0</v>
      </c>
      <c r="N798" s="59">
        <f t="shared" si="89"/>
        <v>100000</v>
      </c>
      <c r="O798" s="59">
        <f t="shared" si="92"/>
        <v>13.66120218579235</v>
      </c>
      <c r="P798" s="59">
        <f t="shared" si="90"/>
        <v>8.1967213114754092</v>
      </c>
    </row>
    <row r="799" spans="12:16" ht="15" hidden="1" customHeight="1">
      <c r="L799" s="58">
        <f t="shared" si="88"/>
        <v>47031</v>
      </c>
      <c r="M799" s="59">
        <f t="shared" si="91"/>
        <v>0</v>
      </c>
      <c r="N799" s="59">
        <f t="shared" si="89"/>
        <v>100000</v>
      </c>
      <c r="O799" s="59">
        <f t="shared" si="92"/>
        <v>13.66120218579235</v>
      </c>
      <c r="P799" s="59">
        <f t="shared" si="90"/>
        <v>8.1967213114754092</v>
      </c>
    </row>
    <row r="800" spans="12:16" ht="15" hidden="1" customHeight="1">
      <c r="L800" s="58">
        <f t="shared" si="88"/>
        <v>47032</v>
      </c>
      <c r="M800" s="59">
        <f t="shared" si="91"/>
        <v>0</v>
      </c>
      <c r="N800" s="59">
        <f t="shared" si="89"/>
        <v>100000</v>
      </c>
      <c r="O800" s="59">
        <f t="shared" si="92"/>
        <v>13.66120218579235</v>
      </c>
      <c r="P800" s="59">
        <f t="shared" si="90"/>
        <v>8.1967213114754092</v>
      </c>
    </row>
    <row r="801" spans="12:16" ht="15" hidden="1" customHeight="1">
      <c r="L801" s="58">
        <f t="shared" si="88"/>
        <v>47033</v>
      </c>
      <c r="M801" s="59">
        <f t="shared" si="91"/>
        <v>0</v>
      </c>
      <c r="N801" s="59">
        <f t="shared" si="89"/>
        <v>100000</v>
      </c>
      <c r="O801" s="59">
        <f t="shared" si="92"/>
        <v>13.66120218579235</v>
      </c>
      <c r="P801" s="59">
        <f t="shared" si="90"/>
        <v>8.1967213114754092</v>
      </c>
    </row>
    <row r="802" spans="12:16" ht="15" hidden="1" customHeight="1">
      <c r="L802" s="58">
        <f t="shared" ref="L802:L865" si="93">IFERROR(IF(MAX(L801+1,$F$5+1)&gt;Дата_погашения_Займа,"-",MAX(L801+1,$F$5+1)),"-")</f>
        <v>47034</v>
      </c>
      <c r="M802" s="59">
        <f t="shared" si="91"/>
        <v>0</v>
      </c>
      <c r="N802" s="59">
        <f t="shared" si="89"/>
        <v>100000</v>
      </c>
      <c r="O802" s="59">
        <f t="shared" si="92"/>
        <v>13.66120218579235</v>
      </c>
      <c r="P802" s="59">
        <f t="shared" si="90"/>
        <v>8.1967213114754092</v>
      </c>
    </row>
    <row r="803" spans="12:16" ht="15" hidden="1" customHeight="1">
      <c r="L803" s="58">
        <f t="shared" si="93"/>
        <v>47035</v>
      </c>
      <c r="M803" s="59">
        <f t="shared" si="91"/>
        <v>0</v>
      </c>
      <c r="N803" s="59">
        <f t="shared" si="89"/>
        <v>100000</v>
      </c>
      <c r="O803" s="59">
        <f t="shared" si="92"/>
        <v>13.66120218579235</v>
      </c>
      <c r="P803" s="59">
        <f t="shared" si="90"/>
        <v>8.1967213114754092</v>
      </c>
    </row>
    <row r="804" spans="12:16" ht="15" hidden="1" customHeight="1">
      <c r="L804" s="58">
        <f t="shared" si="93"/>
        <v>47036</v>
      </c>
      <c r="M804" s="59">
        <f t="shared" si="91"/>
        <v>0</v>
      </c>
      <c r="N804" s="59">
        <f t="shared" si="89"/>
        <v>100000</v>
      </c>
      <c r="O804" s="59">
        <f t="shared" si="92"/>
        <v>13.66120218579235</v>
      </c>
      <c r="P804" s="59">
        <f t="shared" si="90"/>
        <v>8.1967213114754092</v>
      </c>
    </row>
    <row r="805" spans="12:16" ht="15" hidden="1" customHeight="1">
      <c r="L805" s="58">
        <f t="shared" si="93"/>
        <v>47037</v>
      </c>
      <c r="M805" s="59">
        <f t="shared" si="91"/>
        <v>0</v>
      </c>
      <c r="N805" s="59">
        <f t="shared" si="89"/>
        <v>100000</v>
      </c>
      <c r="O805" s="59">
        <f t="shared" si="92"/>
        <v>13.66120218579235</v>
      </c>
      <c r="P805" s="59">
        <f t="shared" si="90"/>
        <v>8.1967213114754092</v>
      </c>
    </row>
    <row r="806" spans="12:16" ht="15" hidden="1" customHeight="1">
      <c r="L806" s="58">
        <f t="shared" si="93"/>
        <v>47038</v>
      </c>
      <c r="M806" s="59">
        <f t="shared" si="91"/>
        <v>0</v>
      </c>
      <c r="N806" s="59">
        <f t="shared" si="89"/>
        <v>100000</v>
      </c>
      <c r="O806" s="59">
        <f t="shared" si="92"/>
        <v>13.66120218579235</v>
      </c>
      <c r="P806" s="59">
        <f t="shared" si="90"/>
        <v>8.1967213114754092</v>
      </c>
    </row>
    <row r="807" spans="12:16" ht="15" hidden="1" customHeight="1">
      <c r="L807" s="58">
        <f t="shared" si="93"/>
        <v>47039</v>
      </c>
      <c r="M807" s="59">
        <f t="shared" si="91"/>
        <v>0</v>
      </c>
      <c r="N807" s="59">
        <f t="shared" si="89"/>
        <v>100000</v>
      </c>
      <c r="O807" s="59">
        <f t="shared" si="92"/>
        <v>13.66120218579235</v>
      </c>
      <c r="P807" s="59">
        <f t="shared" si="90"/>
        <v>8.1967213114754092</v>
      </c>
    </row>
    <row r="808" spans="12:16" ht="15" hidden="1" customHeight="1">
      <c r="L808" s="58">
        <f t="shared" si="93"/>
        <v>47040</v>
      </c>
      <c r="M808" s="59">
        <f t="shared" si="91"/>
        <v>0</v>
      </c>
      <c r="N808" s="59">
        <f t="shared" si="89"/>
        <v>100000</v>
      </c>
      <c r="O808" s="59">
        <f t="shared" si="92"/>
        <v>13.66120218579235</v>
      </c>
      <c r="P808" s="59">
        <f t="shared" si="90"/>
        <v>8.1967213114754092</v>
      </c>
    </row>
    <row r="809" spans="12:16" ht="15" hidden="1" customHeight="1">
      <c r="L809" s="58">
        <f t="shared" si="93"/>
        <v>47041</v>
      </c>
      <c r="M809" s="59">
        <f t="shared" si="91"/>
        <v>0</v>
      </c>
      <c r="N809" s="59">
        <f t="shared" si="89"/>
        <v>100000</v>
      </c>
      <c r="O809" s="59">
        <f t="shared" si="92"/>
        <v>13.66120218579235</v>
      </c>
      <c r="P809" s="59">
        <f t="shared" si="90"/>
        <v>8.1967213114754092</v>
      </c>
    </row>
    <row r="810" spans="12:16" ht="15" hidden="1" customHeight="1">
      <c r="L810" s="58">
        <f t="shared" si="93"/>
        <v>47042</v>
      </c>
      <c r="M810" s="59">
        <f t="shared" si="91"/>
        <v>0</v>
      </c>
      <c r="N810" s="59">
        <f t="shared" si="89"/>
        <v>100000</v>
      </c>
      <c r="O810" s="59">
        <f t="shared" si="92"/>
        <v>13.66120218579235</v>
      </c>
      <c r="P810" s="59">
        <f t="shared" si="90"/>
        <v>8.1967213114754092</v>
      </c>
    </row>
    <row r="811" spans="12:16" ht="15" hidden="1" customHeight="1">
      <c r="L811" s="58">
        <f t="shared" si="93"/>
        <v>47043</v>
      </c>
      <c r="M811" s="59">
        <f t="shared" si="91"/>
        <v>0</v>
      </c>
      <c r="N811" s="59">
        <f t="shared" si="89"/>
        <v>100000</v>
      </c>
      <c r="O811" s="59">
        <f t="shared" si="92"/>
        <v>13.66120218579235</v>
      </c>
      <c r="P811" s="59">
        <f t="shared" si="90"/>
        <v>8.1967213114754092</v>
      </c>
    </row>
    <row r="812" spans="12:16" ht="15" hidden="1" customHeight="1">
      <c r="L812" s="58">
        <f t="shared" si="93"/>
        <v>47044</v>
      </c>
      <c r="M812" s="59">
        <f t="shared" si="91"/>
        <v>0</v>
      </c>
      <c r="N812" s="59">
        <f t="shared" si="89"/>
        <v>100000</v>
      </c>
      <c r="O812" s="59">
        <f t="shared" si="92"/>
        <v>13.66120218579235</v>
      </c>
      <c r="P812" s="59">
        <f t="shared" si="90"/>
        <v>8.1967213114754092</v>
      </c>
    </row>
    <row r="813" spans="12:16" ht="15" hidden="1" customHeight="1">
      <c r="L813" s="58">
        <f t="shared" si="93"/>
        <v>47045</v>
      </c>
      <c r="M813" s="59">
        <f t="shared" si="91"/>
        <v>0</v>
      </c>
      <c r="N813" s="59">
        <f t="shared" si="89"/>
        <v>100000</v>
      </c>
      <c r="O813" s="59">
        <f t="shared" si="92"/>
        <v>13.66120218579235</v>
      </c>
      <c r="P813" s="59">
        <f t="shared" si="90"/>
        <v>8.1967213114754092</v>
      </c>
    </row>
    <row r="814" spans="12:16" ht="15" hidden="1" customHeight="1">
      <c r="L814" s="58">
        <f t="shared" si="93"/>
        <v>47046</v>
      </c>
      <c r="M814" s="59">
        <f t="shared" si="91"/>
        <v>0</v>
      </c>
      <c r="N814" s="59">
        <f t="shared" si="89"/>
        <v>100000</v>
      </c>
      <c r="O814" s="59">
        <f t="shared" si="92"/>
        <v>13.66120218579235</v>
      </c>
      <c r="P814" s="59">
        <f t="shared" si="90"/>
        <v>8.1967213114754092</v>
      </c>
    </row>
    <row r="815" spans="12:16" ht="15" hidden="1" customHeight="1">
      <c r="L815" s="58">
        <f t="shared" si="93"/>
        <v>47047</v>
      </c>
      <c r="M815" s="59">
        <f t="shared" si="91"/>
        <v>0</v>
      </c>
      <c r="N815" s="59">
        <f t="shared" si="89"/>
        <v>100000</v>
      </c>
      <c r="O815" s="59">
        <f t="shared" si="92"/>
        <v>13.66120218579235</v>
      </c>
      <c r="P815" s="59">
        <f t="shared" si="90"/>
        <v>8.1967213114754092</v>
      </c>
    </row>
    <row r="816" spans="12:16" ht="15" hidden="1" customHeight="1">
      <c r="L816" s="58">
        <f t="shared" si="93"/>
        <v>47048</v>
      </c>
      <c r="M816" s="59">
        <f t="shared" si="91"/>
        <v>0</v>
      </c>
      <c r="N816" s="59">
        <f t="shared" ref="N816:N879" si="94">IF(ISNUMBER(N815),N815-M816,$E$8)</f>
        <v>100000</v>
      </c>
      <c r="O816" s="59">
        <f t="shared" si="92"/>
        <v>13.66120218579235</v>
      </c>
      <c r="P816" s="59">
        <f t="shared" ref="P816:P879" si="95">IFERROR(IF(ISNUMBER(N815),N815,$E$8)*3%/IF(MOD(YEAR(L816),4),365,366)*IF(ISBLANK(L815),(L816-$F$5),L816-L815),0)</f>
        <v>8.1967213114754092</v>
      </c>
    </row>
    <row r="817" spans="12:16" ht="15" hidden="1" customHeight="1">
      <c r="L817" s="58">
        <f t="shared" si="93"/>
        <v>47049</v>
      </c>
      <c r="M817" s="59">
        <f t="shared" si="91"/>
        <v>0</v>
      </c>
      <c r="N817" s="59">
        <f t="shared" si="94"/>
        <v>100000</v>
      </c>
      <c r="O817" s="59">
        <f t="shared" si="92"/>
        <v>13.66120218579235</v>
      </c>
      <c r="P817" s="59">
        <f t="shared" si="95"/>
        <v>8.1967213114754092</v>
      </c>
    </row>
    <row r="818" spans="12:16" ht="15" hidden="1" customHeight="1">
      <c r="L818" s="58">
        <f t="shared" si="93"/>
        <v>47050</v>
      </c>
      <c r="M818" s="59">
        <f t="shared" si="91"/>
        <v>0</v>
      </c>
      <c r="N818" s="59">
        <f t="shared" si="94"/>
        <v>100000</v>
      </c>
      <c r="O818" s="59">
        <f t="shared" si="92"/>
        <v>13.66120218579235</v>
      </c>
      <c r="P818" s="59">
        <f t="shared" si="95"/>
        <v>8.1967213114754092</v>
      </c>
    </row>
    <row r="819" spans="12:16" ht="15" hidden="1" customHeight="1">
      <c r="L819" s="58">
        <f t="shared" si="93"/>
        <v>47051</v>
      </c>
      <c r="M819" s="59">
        <f t="shared" si="91"/>
        <v>0</v>
      </c>
      <c r="N819" s="59">
        <f t="shared" si="94"/>
        <v>100000</v>
      </c>
      <c r="O819" s="59">
        <f t="shared" si="92"/>
        <v>13.66120218579235</v>
      </c>
      <c r="P819" s="59">
        <f t="shared" si="95"/>
        <v>8.1967213114754092</v>
      </c>
    </row>
    <row r="820" spans="12:16" ht="15" hidden="1" customHeight="1">
      <c r="L820" s="58">
        <f t="shared" si="93"/>
        <v>47052</v>
      </c>
      <c r="M820" s="59">
        <f t="shared" si="91"/>
        <v>0</v>
      </c>
      <c r="N820" s="59">
        <f t="shared" si="94"/>
        <v>100000</v>
      </c>
      <c r="O820" s="59">
        <f t="shared" si="92"/>
        <v>13.66120218579235</v>
      </c>
      <c r="P820" s="59">
        <f t="shared" si="95"/>
        <v>8.1967213114754092</v>
      </c>
    </row>
    <row r="821" spans="12:16" ht="15" hidden="1" customHeight="1">
      <c r="L821" s="58">
        <f t="shared" si="93"/>
        <v>47053</v>
      </c>
      <c r="M821" s="59">
        <f t="shared" si="91"/>
        <v>0</v>
      </c>
      <c r="N821" s="59">
        <f t="shared" si="94"/>
        <v>100000</v>
      </c>
      <c r="O821" s="59">
        <f t="shared" si="92"/>
        <v>13.66120218579235</v>
      </c>
      <c r="P821" s="59">
        <f t="shared" si="95"/>
        <v>8.1967213114754092</v>
      </c>
    </row>
    <row r="822" spans="12:16" ht="15" hidden="1" customHeight="1">
      <c r="L822" s="58">
        <f t="shared" si="93"/>
        <v>47054</v>
      </c>
      <c r="M822" s="59">
        <f t="shared" si="91"/>
        <v>0</v>
      </c>
      <c r="N822" s="59">
        <f t="shared" si="94"/>
        <v>100000</v>
      </c>
      <c r="O822" s="59">
        <f t="shared" si="92"/>
        <v>13.66120218579235</v>
      </c>
      <c r="P822" s="59">
        <f t="shared" si="95"/>
        <v>8.1967213114754092</v>
      </c>
    </row>
    <row r="823" spans="12:16" ht="15" hidden="1" customHeight="1">
      <c r="L823" s="58">
        <f t="shared" si="93"/>
        <v>47055</v>
      </c>
      <c r="M823" s="59">
        <f t="shared" si="91"/>
        <v>0</v>
      </c>
      <c r="N823" s="59">
        <f t="shared" si="94"/>
        <v>100000</v>
      </c>
      <c r="O823" s="59">
        <f t="shared" si="92"/>
        <v>13.66120218579235</v>
      </c>
      <c r="P823" s="59">
        <f t="shared" si="95"/>
        <v>8.1967213114754092</v>
      </c>
    </row>
    <row r="824" spans="12:16" ht="15" hidden="1" customHeight="1">
      <c r="L824" s="58">
        <f t="shared" si="93"/>
        <v>47056</v>
      </c>
      <c r="M824" s="59">
        <f t="shared" si="91"/>
        <v>0</v>
      </c>
      <c r="N824" s="59">
        <f t="shared" si="94"/>
        <v>100000</v>
      </c>
      <c r="O824" s="59">
        <f t="shared" si="92"/>
        <v>13.66120218579235</v>
      </c>
      <c r="P824" s="59">
        <f t="shared" si="95"/>
        <v>8.1967213114754092</v>
      </c>
    </row>
    <row r="825" spans="12:16" ht="15" hidden="1" customHeight="1">
      <c r="L825" s="58">
        <f t="shared" si="93"/>
        <v>47057</v>
      </c>
      <c r="M825" s="59">
        <f t="shared" si="91"/>
        <v>0</v>
      </c>
      <c r="N825" s="59">
        <f t="shared" si="94"/>
        <v>100000</v>
      </c>
      <c r="O825" s="59">
        <f t="shared" si="92"/>
        <v>13.66120218579235</v>
      </c>
      <c r="P825" s="59">
        <f t="shared" si="95"/>
        <v>8.1967213114754092</v>
      </c>
    </row>
    <row r="826" spans="12:16" ht="15" hidden="1" customHeight="1">
      <c r="L826" s="58">
        <f t="shared" si="93"/>
        <v>47058</v>
      </c>
      <c r="M826" s="59">
        <f t="shared" si="91"/>
        <v>0</v>
      </c>
      <c r="N826" s="59">
        <f t="shared" si="94"/>
        <v>100000</v>
      </c>
      <c r="O826" s="59">
        <f t="shared" si="92"/>
        <v>13.66120218579235</v>
      </c>
      <c r="P826" s="59">
        <f t="shared" si="95"/>
        <v>8.1967213114754092</v>
      </c>
    </row>
    <row r="827" spans="12:16" ht="15" hidden="1" customHeight="1">
      <c r="L827" s="58">
        <f t="shared" si="93"/>
        <v>47059</v>
      </c>
      <c r="M827" s="59">
        <f t="shared" si="91"/>
        <v>0</v>
      </c>
      <c r="N827" s="59">
        <f t="shared" si="94"/>
        <v>100000</v>
      </c>
      <c r="O827" s="59">
        <f t="shared" si="92"/>
        <v>13.66120218579235</v>
      </c>
      <c r="P827" s="59">
        <f t="shared" si="95"/>
        <v>8.1967213114754092</v>
      </c>
    </row>
    <row r="828" spans="12:16" ht="15" hidden="1" customHeight="1">
      <c r="L828" s="58">
        <f t="shared" si="93"/>
        <v>47060</v>
      </c>
      <c r="M828" s="59">
        <f t="shared" si="91"/>
        <v>0</v>
      </c>
      <c r="N828" s="59">
        <f t="shared" si="94"/>
        <v>100000</v>
      </c>
      <c r="O828" s="59">
        <f t="shared" si="92"/>
        <v>13.66120218579235</v>
      </c>
      <c r="P828" s="59">
        <f t="shared" si="95"/>
        <v>8.1967213114754092</v>
      </c>
    </row>
    <row r="829" spans="12:16" ht="15" hidden="1" customHeight="1">
      <c r="L829" s="58">
        <f t="shared" si="93"/>
        <v>47061</v>
      </c>
      <c r="M829" s="59">
        <f t="shared" si="91"/>
        <v>0</v>
      </c>
      <c r="N829" s="59">
        <f t="shared" si="94"/>
        <v>100000</v>
      </c>
      <c r="O829" s="59">
        <f t="shared" si="92"/>
        <v>13.66120218579235</v>
      </c>
      <c r="P829" s="59">
        <f t="shared" si="95"/>
        <v>8.1967213114754092</v>
      </c>
    </row>
    <row r="830" spans="12:16" ht="15" hidden="1" customHeight="1">
      <c r="L830" s="58">
        <f t="shared" si="93"/>
        <v>47062</v>
      </c>
      <c r="M830" s="59">
        <f t="shared" si="91"/>
        <v>0</v>
      </c>
      <c r="N830" s="59">
        <f t="shared" si="94"/>
        <v>100000</v>
      </c>
      <c r="O830" s="59">
        <f t="shared" si="92"/>
        <v>13.66120218579235</v>
      </c>
      <c r="P830" s="59">
        <f t="shared" si="95"/>
        <v>8.1967213114754092</v>
      </c>
    </row>
    <row r="831" spans="12:16" ht="15" hidden="1" customHeight="1">
      <c r="L831" s="58">
        <f t="shared" si="93"/>
        <v>47063</v>
      </c>
      <c r="M831" s="59">
        <f t="shared" si="91"/>
        <v>0</v>
      </c>
      <c r="N831" s="59">
        <f t="shared" si="94"/>
        <v>100000</v>
      </c>
      <c r="O831" s="59">
        <f t="shared" si="92"/>
        <v>13.66120218579235</v>
      </c>
      <c r="P831" s="59">
        <f t="shared" si="95"/>
        <v>8.1967213114754092</v>
      </c>
    </row>
    <row r="832" spans="12:16" ht="15" hidden="1" customHeight="1">
      <c r="L832" s="58">
        <f t="shared" si="93"/>
        <v>47064</v>
      </c>
      <c r="M832" s="59">
        <f t="shared" si="91"/>
        <v>0</v>
      </c>
      <c r="N832" s="59">
        <f t="shared" si="94"/>
        <v>100000</v>
      </c>
      <c r="O832" s="59">
        <f t="shared" si="92"/>
        <v>13.66120218579235</v>
      </c>
      <c r="P832" s="59">
        <f t="shared" si="95"/>
        <v>8.1967213114754092</v>
      </c>
    </row>
    <row r="833" spans="12:16" ht="15" hidden="1" customHeight="1">
      <c r="L833" s="58">
        <f t="shared" si="93"/>
        <v>47065</v>
      </c>
      <c r="M833" s="59">
        <f t="shared" si="91"/>
        <v>0</v>
      </c>
      <c r="N833" s="59">
        <f t="shared" si="94"/>
        <v>100000</v>
      </c>
      <c r="O833" s="59">
        <f t="shared" si="92"/>
        <v>13.66120218579235</v>
      </c>
      <c r="P833" s="59">
        <f t="shared" si="95"/>
        <v>8.1967213114754092</v>
      </c>
    </row>
    <row r="834" spans="12:16" ht="15" hidden="1" customHeight="1">
      <c r="L834" s="58">
        <f t="shared" si="93"/>
        <v>47066</v>
      </c>
      <c r="M834" s="59">
        <f t="shared" si="91"/>
        <v>0</v>
      </c>
      <c r="N834" s="59">
        <f t="shared" si="94"/>
        <v>100000</v>
      </c>
      <c r="O834" s="59">
        <f t="shared" si="92"/>
        <v>13.66120218579235</v>
      </c>
      <c r="P834" s="59">
        <f t="shared" si="95"/>
        <v>8.1967213114754092</v>
      </c>
    </row>
    <row r="835" spans="12:16" ht="15" hidden="1" customHeight="1">
      <c r="L835" s="58">
        <f t="shared" si="93"/>
        <v>47067</v>
      </c>
      <c r="M835" s="59">
        <f t="shared" si="91"/>
        <v>0</v>
      </c>
      <c r="N835" s="59">
        <f t="shared" si="94"/>
        <v>100000</v>
      </c>
      <c r="O835" s="59">
        <f t="shared" si="92"/>
        <v>13.66120218579235</v>
      </c>
      <c r="P835" s="59">
        <f t="shared" si="95"/>
        <v>8.1967213114754092</v>
      </c>
    </row>
    <row r="836" spans="12:16" ht="15" hidden="1" customHeight="1">
      <c r="L836" s="58">
        <f t="shared" si="93"/>
        <v>47068</v>
      </c>
      <c r="M836" s="59">
        <f t="shared" si="91"/>
        <v>0</v>
      </c>
      <c r="N836" s="59">
        <f t="shared" si="94"/>
        <v>100000</v>
      </c>
      <c r="O836" s="59">
        <f t="shared" si="92"/>
        <v>13.66120218579235</v>
      </c>
      <c r="P836" s="59">
        <f t="shared" si="95"/>
        <v>8.1967213114754092</v>
      </c>
    </row>
    <row r="837" spans="12:16" ht="15" hidden="1" customHeight="1">
      <c r="L837" s="58">
        <f t="shared" si="93"/>
        <v>47069</v>
      </c>
      <c r="M837" s="59">
        <f t="shared" si="91"/>
        <v>0</v>
      </c>
      <c r="N837" s="59">
        <f t="shared" si="94"/>
        <v>100000</v>
      </c>
      <c r="O837" s="59">
        <f t="shared" si="92"/>
        <v>13.66120218579235</v>
      </c>
      <c r="P837" s="59">
        <f t="shared" si="95"/>
        <v>8.1967213114754092</v>
      </c>
    </row>
    <row r="838" spans="12:16" ht="15" hidden="1" customHeight="1">
      <c r="L838" s="58">
        <f t="shared" si="93"/>
        <v>47070</v>
      </c>
      <c r="M838" s="59">
        <f t="shared" si="91"/>
        <v>0</v>
      </c>
      <c r="N838" s="59">
        <f t="shared" si="94"/>
        <v>100000</v>
      </c>
      <c r="O838" s="59">
        <f t="shared" si="92"/>
        <v>13.66120218579235</v>
      </c>
      <c r="P838" s="59">
        <f t="shared" si="95"/>
        <v>8.1967213114754092</v>
      </c>
    </row>
    <row r="839" spans="12:16" ht="15" hidden="1" customHeight="1">
      <c r="L839" s="58">
        <f t="shared" si="93"/>
        <v>47071</v>
      </c>
      <c r="M839" s="59">
        <f t="shared" si="91"/>
        <v>0</v>
      </c>
      <c r="N839" s="59">
        <f t="shared" si="94"/>
        <v>100000</v>
      </c>
      <c r="O839" s="59">
        <f t="shared" si="92"/>
        <v>13.66120218579235</v>
      </c>
      <c r="P839" s="59">
        <f t="shared" si="95"/>
        <v>8.1967213114754092</v>
      </c>
    </row>
    <row r="840" spans="12:16" ht="15" hidden="1" customHeight="1">
      <c r="L840" s="58">
        <f t="shared" si="93"/>
        <v>47072</v>
      </c>
      <c r="M840" s="59">
        <f t="shared" si="91"/>
        <v>0</v>
      </c>
      <c r="N840" s="59">
        <f t="shared" si="94"/>
        <v>100000</v>
      </c>
      <c r="O840" s="59">
        <f t="shared" si="92"/>
        <v>13.66120218579235</v>
      </c>
      <c r="P840" s="59">
        <f t="shared" si="95"/>
        <v>8.1967213114754092</v>
      </c>
    </row>
    <row r="841" spans="12:16" ht="15" hidden="1" customHeight="1">
      <c r="L841" s="58">
        <f t="shared" si="93"/>
        <v>47073</v>
      </c>
      <c r="M841" s="59">
        <f t="shared" si="91"/>
        <v>0</v>
      </c>
      <c r="N841" s="59">
        <f t="shared" si="94"/>
        <v>100000</v>
      </c>
      <c r="O841" s="59">
        <f t="shared" si="92"/>
        <v>13.66120218579235</v>
      </c>
      <c r="P841" s="59">
        <f t="shared" si="95"/>
        <v>8.1967213114754092</v>
      </c>
    </row>
    <row r="842" spans="12:16" ht="15" hidden="1" customHeight="1">
      <c r="L842" s="58">
        <f t="shared" si="93"/>
        <v>47074</v>
      </c>
      <c r="M842" s="59">
        <f t="shared" si="91"/>
        <v>0</v>
      </c>
      <c r="N842" s="59">
        <f t="shared" si="94"/>
        <v>100000</v>
      </c>
      <c r="O842" s="59">
        <f t="shared" si="92"/>
        <v>13.66120218579235</v>
      </c>
      <c r="P842" s="59">
        <f t="shared" si="95"/>
        <v>8.1967213114754092</v>
      </c>
    </row>
    <row r="843" spans="12:16" ht="15" hidden="1" customHeight="1">
      <c r="L843" s="58">
        <f t="shared" si="93"/>
        <v>47075</v>
      </c>
      <c r="M843" s="59">
        <f t="shared" si="91"/>
        <v>0</v>
      </c>
      <c r="N843" s="59">
        <f t="shared" si="94"/>
        <v>100000</v>
      </c>
      <c r="O843" s="59">
        <f t="shared" si="92"/>
        <v>13.66120218579235</v>
      </c>
      <c r="P843" s="59">
        <f t="shared" si="95"/>
        <v>8.1967213114754092</v>
      </c>
    </row>
    <row r="844" spans="12:16" ht="15" hidden="1" customHeight="1">
      <c r="L844" s="58">
        <f t="shared" si="93"/>
        <v>47076</v>
      </c>
      <c r="M844" s="59">
        <f t="shared" si="91"/>
        <v>0</v>
      </c>
      <c r="N844" s="59">
        <f t="shared" si="94"/>
        <v>100000</v>
      </c>
      <c r="O844" s="59">
        <f t="shared" si="92"/>
        <v>13.66120218579235</v>
      </c>
      <c r="P844" s="59">
        <f t="shared" si="95"/>
        <v>8.1967213114754092</v>
      </c>
    </row>
    <row r="845" spans="12:16" ht="15" hidden="1" customHeight="1">
      <c r="L845" s="58">
        <f t="shared" si="93"/>
        <v>47077</v>
      </c>
      <c r="M845" s="59">
        <f t="shared" si="91"/>
        <v>0</v>
      </c>
      <c r="N845" s="59">
        <f t="shared" si="94"/>
        <v>100000</v>
      </c>
      <c r="O845" s="59">
        <f t="shared" si="92"/>
        <v>13.66120218579235</v>
      </c>
      <c r="P845" s="59">
        <f t="shared" si="95"/>
        <v>8.1967213114754092</v>
      </c>
    </row>
    <row r="846" spans="12:16" ht="15" hidden="1" customHeight="1">
      <c r="L846" s="58">
        <f t="shared" si="93"/>
        <v>47078</v>
      </c>
      <c r="M846" s="59">
        <f t="shared" si="91"/>
        <v>0</v>
      </c>
      <c r="N846" s="59">
        <f t="shared" si="94"/>
        <v>100000</v>
      </c>
      <c r="O846" s="59">
        <f t="shared" si="92"/>
        <v>13.66120218579235</v>
      </c>
      <c r="P846" s="59">
        <f t="shared" si="95"/>
        <v>8.1967213114754092</v>
      </c>
    </row>
    <row r="847" spans="12:16" ht="15" hidden="1" customHeight="1">
      <c r="L847" s="58">
        <f t="shared" si="93"/>
        <v>47079</v>
      </c>
      <c r="M847" s="59">
        <f t="shared" si="91"/>
        <v>0</v>
      </c>
      <c r="N847" s="59">
        <f t="shared" si="94"/>
        <v>100000</v>
      </c>
      <c r="O847" s="59">
        <f t="shared" si="92"/>
        <v>13.66120218579235</v>
      </c>
      <c r="P847" s="59">
        <f t="shared" si="95"/>
        <v>8.1967213114754092</v>
      </c>
    </row>
    <row r="848" spans="12:16" ht="15" hidden="1" customHeight="1">
      <c r="L848" s="58">
        <f t="shared" si="93"/>
        <v>47080</v>
      </c>
      <c r="M848" s="59">
        <f t="shared" si="91"/>
        <v>0</v>
      </c>
      <c r="N848" s="59">
        <f t="shared" si="94"/>
        <v>100000</v>
      </c>
      <c r="O848" s="59">
        <f t="shared" si="92"/>
        <v>13.66120218579235</v>
      </c>
      <c r="P848" s="59">
        <f t="shared" si="95"/>
        <v>8.1967213114754092</v>
      </c>
    </row>
    <row r="849" spans="12:16" ht="15" hidden="1" customHeight="1">
      <c r="L849" s="58">
        <f t="shared" si="93"/>
        <v>47081</v>
      </c>
      <c r="M849" s="59">
        <f t="shared" si="91"/>
        <v>0</v>
      </c>
      <c r="N849" s="59">
        <f t="shared" si="94"/>
        <v>100000</v>
      </c>
      <c r="O849" s="59">
        <f t="shared" si="92"/>
        <v>13.66120218579235</v>
      </c>
      <c r="P849" s="59">
        <f t="shared" si="95"/>
        <v>8.1967213114754092</v>
      </c>
    </row>
    <row r="850" spans="12:16" ht="15" hidden="1" customHeight="1">
      <c r="L850" s="58">
        <f t="shared" si="93"/>
        <v>47082</v>
      </c>
      <c r="M850" s="59">
        <f t="shared" si="91"/>
        <v>0</v>
      </c>
      <c r="N850" s="59">
        <f t="shared" si="94"/>
        <v>100000</v>
      </c>
      <c r="O850" s="59">
        <f t="shared" si="92"/>
        <v>13.66120218579235</v>
      </c>
      <c r="P850" s="59">
        <f t="shared" si="95"/>
        <v>8.1967213114754092</v>
      </c>
    </row>
    <row r="851" spans="12:16" ht="15" hidden="1" customHeight="1">
      <c r="L851" s="58">
        <f t="shared" si="93"/>
        <v>47083</v>
      </c>
      <c r="M851" s="59">
        <f t="shared" ref="M851:M914" si="96">IFERROR(VLOOKUP(L851,$B$19:$E$80,4,FALSE),0)</f>
        <v>0</v>
      </c>
      <c r="N851" s="59">
        <f t="shared" si="94"/>
        <v>100000</v>
      </c>
      <c r="O851" s="59">
        <f t="shared" ref="O851:O914" si="97">IFERROR(IF(ISNUMBER(N850),N850,$E$8)*IF(L851&gt;=$J$8,$E$12,$E$12)/IF(MOD(YEAR(L851),4),365,366)*IF(ISBLANK(L850),L851-$F$5,L851-L850),0)</f>
        <v>13.66120218579235</v>
      </c>
      <c r="P851" s="59">
        <f t="shared" si="95"/>
        <v>8.1967213114754092</v>
      </c>
    </row>
    <row r="852" spans="12:16" ht="15" hidden="1" customHeight="1">
      <c r="L852" s="58">
        <f t="shared" si="93"/>
        <v>47084</v>
      </c>
      <c r="M852" s="59">
        <f t="shared" si="96"/>
        <v>0</v>
      </c>
      <c r="N852" s="59">
        <f t="shared" si="94"/>
        <v>100000</v>
      </c>
      <c r="O852" s="59">
        <f t="shared" si="97"/>
        <v>13.66120218579235</v>
      </c>
      <c r="P852" s="59">
        <f t="shared" si="95"/>
        <v>8.1967213114754092</v>
      </c>
    </row>
    <row r="853" spans="12:16" ht="15" hidden="1" customHeight="1">
      <c r="L853" s="58">
        <f t="shared" si="93"/>
        <v>47085</v>
      </c>
      <c r="M853" s="59">
        <f t="shared" si="96"/>
        <v>0</v>
      </c>
      <c r="N853" s="59">
        <f t="shared" si="94"/>
        <v>100000</v>
      </c>
      <c r="O853" s="59">
        <f t="shared" si="97"/>
        <v>13.66120218579235</v>
      </c>
      <c r="P853" s="59">
        <f t="shared" si="95"/>
        <v>8.1967213114754092</v>
      </c>
    </row>
    <row r="854" spans="12:16" ht="15" hidden="1" customHeight="1">
      <c r="L854" s="58">
        <f t="shared" si="93"/>
        <v>47086</v>
      </c>
      <c r="M854" s="59">
        <f t="shared" si="96"/>
        <v>0</v>
      </c>
      <c r="N854" s="59">
        <f t="shared" si="94"/>
        <v>100000</v>
      </c>
      <c r="O854" s="59">
        <f t="shared" si="97"/>
        <v>13.66120218579235</v>
      </c>
      <c r="P854" s="59">
        <f t="shared" si="95"/>
        <v>8.1967213114754092</v>
      </c>
    </row>
    <row r="855" spans="12:16" ht="15" hidden="1" customHeight="1">
      <c r="L855" s="58">
        <f t="shared" si="93"/>
        <v>47087</v>
      </c>
      <c r="M855" s="59">
        <f t="shared" si="96"/>
        <v>0</v>
      </c>
      <c r="N855" s="59">
        <f t="shared" si="94"/>
        <v>100000</v>
      </c>
      <c r="O855" s="59">
        <f t="shared" si="97"/>
        <v>13.66120218579235</v>
      </c>
      <c r="P855" s="59">
        <f t="shared" si="95"/>
        <v>8.1967213114754092</v>
      </c>
    </row>
    <row r="856" spans="12:16" ht="15" hidden="1" customHeight="1">
      <c r="L856" s="58">
        <f t="shared" si="93"/>
        <v>47088</v>
      </c>
      <c r="M856" s="59">
        <f t="shared" si="96"/>
        <v>0</v>
      </c>
      <c r="N856" s="59">
        <f t="shared" si="94"/>
        <v>100000</v>
      </c>
      <c r="O856" s="59">
        <f t="shared" si="97"/>
        <v>13.66120218579235</v>
      </c>
      <c r="P856" s="59">
        <f t="shared" si="95"/>
        <v>8.1967213114754092</v>
      </c>
    </row>
    <row r="857" spans="12:16" ht="15" hidden="1" customHeight="1">
      <c r="L857" s="58">
        <f t="shared" si="93"/>
        <v>47089</v>
      </c>
      <c r="M857" s="59">
        <f t="shared" si="96"/>
        <v>0</v>
      </c>
      <c r="N857" s="59">
        <f t="shared" si="94"/>
        <v>100000</v>
      </c>
      <c r="O857" s="59">
        <f t="shared" si="97"/>
        <v>13.66120218579235</v>
      </c>
      <c r="P857" s="59">
        <f t="shared" si="95"/>
        <v>8.1967213114754092</v>
      </c>
    </row>
    <row r="858" spans="12:16" ht="15" hidden="1" customHeight="1">
      <c r="L858" s="58">
        <f t="shared" si="93"/>
        <v>47090</v>
      </c>
      <c r="M858" s="59">
        <f t="shared" si="96"/>
        <v>0</v>
      </c>
      <c r="N858" s="59">
        <f t="shared" si="94"/>
        <v>100000</v>
      </c>
      <c r="O858" s="59">
        <f t="shared" si="97"/>
        <v>13.66120218579235</v>
      </c>
      <c r="P858" s="59">
        <f t="shared" si="95"/>
        <v>8.1967213114754092</v>
      </c>
    </row>
    <row r="859" spans="12:16" ht="15" hidden="1" customHeight="1">
      <c r="L859" s="58">
        <f t="shared" si="93"/>
        <v>47091</v>
      </c>
      <c r="M859" s="59">
        <f t="shared" si="96"/>
        <v>0</v>
      </c>
      <c r="N859" s="59">
        <f t="shared" si="94"/>
        <v>100000</v>
      </c>
      <c r="O859" s="59">
        <f t="shared" si="97"/>
        <v>13.66120218579235</v>
      </c>
      <c r="P859" s="59">
        <f t="shared" si="95"/>
        <v>8.1967213114754092</v>
      </c>
    </row>
    <row r="860" spans="12:16" ht="15" hidden="1" customHeight="1">
      <c r="L860" s="58">
        <f t="shared" si="93"/>
        <v>47092</v>
      </c>
      <c r="M860" s="59">
        <f t="shared" si="96"/>
        <v>0</v>
      </c>
      <c r="N860" s="59">
        <f t="shared" si="94"/>
        <v>100000</v>
      </c>
      <c r="O860" s="59">
        <f t="shared" si="97"/>
        <v>13.66120218579235</v>
      </c>
      <c r="P860" s="59">
        <f t="shared" si="95"/>
        <v>8.1967213114754092</v>
      </c>
    </row>
    <row r="861" spans="12:16" ht="15" hidden="1" customHeight="1">
      <c r="L861" s="58">
        <f t="shared" si="93"/>
        <v>47093</v>
      </c>
      <c r="M861" s="59">
        <f t="shared" si="96"/>
        <v>0</v>
      </c>
      <c r="N861" s="59">
        <f t="shared" si="94"/>
        <v>100000</v>
      </c>
      <c r="O861" s="59">
        <f t="shared" si="97"/>
        <v>13.66120218579235</v>
      </c>
      <c r="P861" s="59">
        <f t="shared" si="95"/>
        <v>8.1967213114754092</v>
      </c>
    </row>
    <row r="862" spans="12:16" ht="15" hidden="1" customHeight="1">
      <c r="L862" s="58">
        <f t="shared" si="93"/>
        <v>47094</v>
      </c>
      <c r="M862" s="59">
        <f t="shared" si="96"/>
        <v>0</v>
      </c>
      <c r="N862" s="59">
        <f t="shared" si="94"/>
        <v>100000</v>
      </c>
      <c r="O862" s="59">
        <f t="shared" si="97"/>
        <v>13.66120218579235</v>
      </c>
      <c r="P862" s="59">
        <f t="shared" si="95"/>
        <v>8.1967213114754092</v>
      </c>
    </row>
    <row r="863" spans="12:16" ht="15" hidden="1" customHeight="1">
      <c r="L863" s="58">
        <f t="shared" si="93"/>
        <v>47095</v>
      </c>
      <c r="M863" s="59">
        <f t="shared" si="96"/>
        <v>0</v>
      </c>
      <c r="N863" s="59">
        <f t="shared" si="94"/>
        <v>100000</v>
      </c>
      <c r="O863" s="59">
        <f t="shared" si="97"/>
        <v>13.66120218579235</v>
      </c>
      <c r="P863" s="59">
        <f t="shared" si="95"/>
        <v>8.1967213114754092</v>
      </c>
    </row>
    <row r="864" spans="12:16" ht="15" hidden="1" customHeight="1">
      <c r="L864" s="58">
        <f t="shared" si="93"/>
        <v>47096</v>
      </c>
      <c r="M864" s="59">
        <f t="shared" si="96"/>
        <v>0</v>
      </c>
      <c r="N864" s="59">
        <f t="shared" si="94"/>
        <v>100000</v>
      </c>
      <c r="O864" s="59">
        <f t="shared" si="97"/>
        <v>13.66120218579235</v>
      </c>
      <c r="P864" s="59">
        <f t="shared" si="95"/>
        <v>8.1967213114754092</v>
      </c>
    </row>
    <row r="865" spans="12:16" ht="15" hidden="1" customHeight="1">
      <c r="L865" s="58">
        <f t="shared" si="93"/>
        <v>47097</v>
      </c>
      <c r="M865" s="59">
        <f t="shared" si="96"/>
        <v>0</v>
      </c>
      <c r="N865" s="59">
        <f t="shared" si="94"/>
        <v>100000</v>
      </c>
      <c r="O865" s="59">
        <f t="shared" si="97"/>
        <v>13.66120218579235</v>
      </c>
      <c r="P865" s="59">
        <f t="shared" si="95"/>
        <v>8.1967213114754092</v>
      </c>
    </row>
    <row r="866" spans="12:16" ht="15" hidden="1" customHeight="1">
      <c r="L866" s="58">
        <f t="shared" ref="L866:L929" si="98">IFERROR(IF(MAX(L865+1,$F$5+1)&gt;Дата_погашения_Займа,"-",MAX(L865+1,$F$5+1)),"-")</f>
        <v>47098</v>
      </c>
      <c r="M866" s="59">
        <f t="shared" si="96"/>
        <v>0</v>
      </c>
      <c r="N866" s="59">
        <f t="shared" si="94"/>
        <v>100000</v>
      </c>
      <c r="O866" s="59">
        <f t="shared" si="97"/>
        <v>13.66120218579235</v>
      </c>
      <c r="P866" s="59">
        <f t="shared" si="95"/>
        <v>8.1967213114754092</v>
      </c>
    </row>
    <row r="867" spans="12:16" ht="15" hidden="1" customHeight="1">
      <c r="L867" s="58">
        <f t="shared" si="98"/>
        <v>47099</v>
      </c>
      <c r="M867" s="59">
        <f t="shared" si="96"/>
        <v>0</v>
      </c>
      <c r="N867" s="59">
        <f t="shared" si="94"/>
        <v>100000</v>
      </c>
      <c r="O867" s="59">
        <f t="shared" si="97"/>
        <v>13.66120218579235</v>
      </c>
      <c r="P867" s="59">
        <f t="shared" si="95"/>
        <v>8.1967213114754092</v>
      </c>
    </row>
    <row r="868" spans="12:16" ht="15" hidden="1" customHeight="1">
      <c r="L868" s="58">
        <f t="shared" si="98"/>
        <v>47100</v>
      </c>
      <c r="M868" s="59">
        <f t="shared" si="96"/>
        <v>0</v>
      </c>
      <c r="N868" s="59">
        <f t="shared" si="94"/>
        <v>100000</v>
      </c>
      <c r="O868" s="59">
        <f t="shared" si="97"/>
        <v>13.66120218579235</v>
      </c>
      <c r="P868" s="59">
        <f t="shared" si="95"/>
        <v>8.1967213114754092</v>
      </c>
    </row>
    <row r="869" spans="12:16" ht="15" hidden="1" customHeight="1">
      <c r="L869" s="58">
        <f t="shared" si="98"/>
        <v>47101</v>
      </c>
      <c r="M869" s="59">
        <f t="shared" si="96"/>
        <v>0</v>
      </c>
      <c r="N869" s="59">
        <f t="shared" si="94"/>
        <v>100000</v>
      </c>
      <c r="O869" s="59">
        <f t="shared" si="97"/>
        <v>13.66120218579235</v>
      </c>
      <c r="P869" s="59">
        <f t="shared" si="95"/>
        <v>8.1967213114754092</v>
      </c>
    </row>
    <row r="870" spans="12:16" ht="15" hidden="1" customHeight="1">
      <c r="L870" s="58">
        <f t="shared" si="98"/>
        <v>47102</v>
      </c>
      <c r="M870" s="59">
        <f t="shared" si="96"/>
        <v>0</v>
      </c>
      <c r="N870" s="59">
        <f t="shared" si="94"/>
        <v>100000</v>
      </c>
      <c r="O870" s="59">
        <f t="shared" si="97"/>
        <v>13.66120218579235</v>
      </c>
      <c r="P870" s="59">
        <f t="shared" si="95"/>
        <v>8.1967213114754092</v>
      </c>
    </row>
    <row r="871" spans="12:16" ht="15" hidden="1" customHeight="1">
      <c r="L871" s="58">
        <f t="shared" si="98"/>
        <v>47103</v>
      </c>
      <c r="M871" s="59">
        <f t="shared" si="96"/>
        <v>0</v>
      </c>
      <c r="N871" s="59">
        <f t="shared" si="94"/>
        <v>100000</v>
      </c>
      <c r="O871" s="59">
        <f t="shared" si="97"/>
        <v>13.66120218579235</v>
      </c>
      <c r="P871" s="59">
        <f t="shared" si="95"/>
        <v>8.1967213114754092</v>
      </c>
    </row>
    <row r="872" spans="12:16" ht="15" hidden="1" customHeight="1">
      <c r="L872" s="58">
        <f t="shared" si="98"/>
        <v>47104</v>
      </c>
      <c r="M872" s="59">
        <f t="shared" si="96"/>
        <v>0</v>
      </c>
      <c r="N872" s="59">
        <f t="shared" si="94"/>
        <v>100000</v>
      </c>
      <c r="O872" s="59">
        <f t="shared" si="97"/>
        <v>13.66120218579235</v>
      </c>
      <c r="P872" s="59">
        <f t="shared" si="95"/>
        <v>8.1967213114754092</v>
      </c>
    </row>
    <row r="873" spans="12:16" ht="15" hidden="1" customHeight="1">
      <c r="L873" s="58">
        <f t="shared" si="98"/>
        <v>47105</v>
      </c>
      <c r="M873" s="59">
        <f t="shared" si="96"/>
        <v>0</v>
      </c>
      <c r="N873" s="59">
        <f t="shared" si="94"/>
        <v>100000</v>
      </c>
      <c r="O873" s="59">
        <f t="shared" si="97"/>
        <v>13.66120218579235</v>
      </c>
      <c r="P873" s="59">
        <f t="shared" si="95"/>
        <v>8.1967213114754092</v>
      </c>
    </row>
    <row r="874" spans="12:16" ht="15" hidden="1" customHeight="1">
      <c r="L874" s="58">
        <f t="shared" si="98"/>
        <v>47106</v>
      </c>
      <c r="M874" s="59">
        <f t="shared" si="96"/>
        <v>0</v>
      </c>
      <c r="N874" s="59">
        <f t="shared" si="94"/>
        <v>100000</v>
      </c>
      <c r="O874" s="59">
        <f t="shared" si="97"/>
        <v>13.66120218579235</v>
      </c>
      <c r="P874" s="59">
        <f t="shared" si="95"/>
        <v>8.1967213114754092</v>
      </c>
    </row>
    <row r="875" spans="12:16" ht="15" hidden="1" customHeight="1">
      <c r="L875" s="58">
        <f t="shared" si="98"/>
        <v>47107</v>
      </c>
      <c r="M875" s="59">
        <f t="shared" si="96"/>
        <v>0</v>
      </c>
      <c r="N875" s="59">
        <f t="shared" si="94"/>
        <v>100000</v>
      </c>
      <c r="O875" s="59">
        <f t="shared" si="97"/>
        <v>13.66120218579235</v>
      </c>
      <c r="P875" s="59">
        <f t="shared" si="95"/>
        <v>8.1967213114754092</v>
      </c>
    </row>
    <row r="876" spans="12:16" ht="15" hidden="1" customHeight="1">
      <c r="L876" s="58">
        <f t="shared" si="98"/>
        <v>47108</v>
      </c>
      <c r="M876" s="59">
        <f t="shared" si="96"/>
        <v>0</v>
      </c>
      <c r="N876" s="59">
        <f t="shared" si="94"/>
        <v>100000</v>
      </c>
      <c r="O876" s="59">
        <f t="shared" si="97"/>
        <v>13.66120218579235</v>
      </c>
      <c r="P876" s="59">
        <f t="shared" si="95"/>
        <v>8.1967213114754092</v>
      </c>
    </row>
    <row r="877" spans="12:16" ht="15" hidden="1" customHeight="1">
      <c r="L877" s="58">
        <f t="shared" si="98"/>
        <v>47109</v>
      </c>
      <c r="M877" s="59">
        <f t="shared" si="96"/>
        <v>0</v>
      </c>
      <c r="N877" s="59">
        <f t="shared" si="94"/>
        <v>100000</v>
      </c>
      <c r="O877" s="59">
        <f t="shared" si="97"/>
        <v>13.66120218579235</v>
      </c>
      <c r="P877" s="59">
        <f t="shared" si="95"/>
        <v>8.1967213114754092</v>
      </c>
    </row>
    <row r="878" spans="12:16" ht="15" hidden="1" customHeight="1">
      <c r="L878" s="58">
        <f t="shared" si="98"/>
        <v>47110</v>
      </c>
      <c r="M878" s="59">
        <f t="shared" si="96"/>
        <v>0</v>
      </c>
      <c r="N878" s="59">
        <f t="shared" si="94"/>
        <v>100000</v>
      </c>
      <c r="O878" s="59">
        <f t="shared" si="97"/>
        <v>13.66120218579235</v>
      </c>
      <c r="P878" s="59">
        <f t="shared" si="95"/>
        <v>8.1967213114754092</v>
      </c>
    </row>
    <row r="879" spans="12:16" ht="15" hidden="1" customHeight="1">
      <c r="L879" s="58">
        <f t="shared" si="98"/>
        <v>47111</v>
      </c>
      <c r="M879" s="59">
        <f t="shared" si="96"/>
        <v>0</v>
      </c>
      <c r="N879" s="59">
        <f t="shared" si="94"/>
        <v>100000</v>
      </c>
      <c r="O879" s="59">
        <f t="shared" si="97"/>
        <v>13.66120218579235</v>
      </c>
      <c r="P879" s="59">
        <f t="shared" si="95"/>
        <v>8.1967213114754092</v>
      </c>
    </row>
    <row r="880" spans="12:16" ht="15" hidden="1" customHeight="1">
      <c r="L880" s="58">
        <f t="shared" si="98"/>
        <v>47112</v>
      </c>
      <c r="M880" s="59">
        <f t="shared" si="96"/>
        <v>0</v>
      </c>
      <c r="N880" s="59">
        <f t="shared" ref="N880:N943" si="99">IF(ISNUMBER(N879),N879-M880,$E$8)</f>
        <v>100000</v>
      </c>
      <c r="O880" s="59">
        <f t="shared" si="97"/>
        <v>13.66120218579235</v>
      </c>
      <c r="P880" s="59">
        <f t="shared" ref="P880:P943" si="100">IFERROR(IF(ISNUMBER(N879),N879,$E$8)*3%/IF(MOD(YEAR(L880),4),365,366)*IF(ISBLANK(L879),(L880-$F$5),L880-L879),0)</f>
        <v>8.1967213114754092</v>
      </c>
    </row>
    <row r="881" spans="12:16" ht="15" hidden="1" customHeight="1">
      <c r="L881" s="58">
        <f t="shared" si="98"/>
        <v>47113</v>
      </c>
      <c r="M881" s="59">
        <f t="shared" si="96"/>
        <v>0</v>
      </c>
      <c r="N881" s="59">
        <f t="shared" si="99"/>
        <v>100000</v>
      </c>
      <c r="O881" s="59">
        <f t="shared" si="97"/>
        <v>13.66120218579235</v>
      </c>
      <c r="P881" s="59">
        <f t="shared" si="100"/>
        <v>8.1967213114754092</v>
      </c>
    </row>
    <row r="882" spans="12:16" ht="15" hidden="1" customHeight="1">
      <c r="L882" s="58">
        <f t="shared" si="98"/>
        <v>47114</v>
      </c>
      <c r="M882" s="59">
        <f t="shared" si="96"/>
        <v>0</v>
      </c>
      <c r="N882" s="59">
        <f t="shared" si="99"/>
        <v>100000</v>
      </c>
      <c r="O882" s="59">
        <f t="shared" si="97"/>
        <v>13.66120218579235</v>
      </c>
      <c r="P882" s="59">
        <f t="shared" si="100"/>
        <v>8.1967213114754092</v>
      </c>
    </row>
    <row r="883" spans="12:16" ht="15" hidden="1" customHeight="1">
      <c r="L883" s="58">
        <f t="shared" si="98"/>
        <v>47115</v>
      </c>
      <c r="M883" s="59">
        <f t="shared" si="96"/>
        <v>0</v>
      </c>
      <c r="N883" s="59">
        <f t="shared" si="99"/>
        <v>100000</v>
      </c>
      <c r="O883" s="59">
        <f t="shared" si="97"/>
        <v>13.66120218579235</v>
      </c>
      <c r="P883" s="59">
        <f t="shared" si="100"/>
        <v>8.1967213114754092</v>
      </c>
    </row>
    <row r="884" spans="12:16" ht="15" hidden="1" customHeight="1">
      <c r="L884" s="58">
        <f t="shared" si="98"/>
        <v>47116</v>
      </c>
      <c r="M884" s="59">
        <f t="shared" si="96"/>
        <v>0</v>
      </c>
      <c r="N884" s="59">
        <f t="shared" si="99"/>
        <v>100000</v>
      </c>
      <c r="O884" s="59">
        <f t="shared" si="97"/>
        <v>13.66120218579235</v>
      </c>
      <c r="P884" s="59">
        <f t="shared" si="100"/>
        <v>8.1967213114754092</v>
      </c>
    </row>
    <row r="885" spans="12:16" ht="15" hidden="1" customHeight="1">
      <c r="L885" s="58">
        <f t="shared" si="98"/>
        <v>47117</v>
      </c>
      <c r="M885" s="59">
        <f t="shared" si="96"/>
        <v>0</v>
      </c>
      <c r="N885" s="59">
        <f t="shared" si="99"/>
        <v>100000</v>
      </c>
      <c r="O885" s="59">
        <f t="shared" si="97"/>
        <v>13.66120218579235</v>
      </c>
      <c r="P885" s="59">
        <f t="shared" si="100"/>
        <v>8.1967213114754092</v>
      </c>
    </row>
    <row r="886" spans="12:16" ht="15" hidden="1" customHeight="1">
      <c r="L886" s="58">
        <f t="shared" si="98"/>
        <v>47118</v>
      </c>
      <c r="M886" s="59">
        <f t="shared" si="96"/>
        <v>0</v>
      </c>
      <c r="N886" s="59">
        <f t="shared" si="99"/>
        <v>100000</v>
      </c>
      <c r="O886" s="59">
        <f t="shared" si="97"/>
        <v>13.66120218579235</v>
      </c>
      <c r="P886" s="59">
        <f t="shared" si="100"/>
        <v>8.1967213114754092</v>
      </c>
    </row>
    <row r="887" spans="12:16" ht="15" hidden="1" customHeight="1">
      <c r="L887" s="58">
        <f t="shared" si="98"/>
        <v>47119</v>
      </c>
      <c r="M887" s="59">
        <f t="shared" si="96"/>
        <v>0</v>
      </c>
      <c r="N887" s="59">
        <f t="shared" si="99"/>
        <v>100000</v>
      </c>
      <c r="O887" s="59">
        <f t="shared" si="97"/>
        <v>13.698630136986301</v>
      </c>
      <c r="P887" s="59">
        <f t="shared" si="100"/>
        <v>8.2191780821917817</v>
      </c>
    </row>
    <row r="888" spans="12:16" ht="15" hidden="1" customHeight="1">
      <c r="L888" s="58">
        <f t="shared" si="98"/>
        <v>47120</v>
      </c>
      <c r="M888" s="59">
        <f t="shared" si="96"/>
        <v>0</v>
      </c>
      <c r="N888" s="59">
        <f t="shared" si="99"/>
        <v>100000</v>
      </c>
      <c r="O888" s="59">
        <f t="shared" si="97"/>
        <v>13.698630136986301</v>
      </c>
      <c r="P888" s="59">
        <f t="shared" si="100"/>
        <v>8.2191780821917817</v>
      </c>
    </row>
    <row r="889" spans="12:16" ht="15" hidden="1" customHeight="1">
      <c r="L889" s="58">
        <f t="shared" si="98"/>
        <v>47121</v>
      </c>
      <c r="M889" s="59">
        <f t="shared" si="96"/>
        <v>0</v>
      </c>
      <c r="N889" s="59">
        <f t="shared" si="99"/>
        <v>100000</v>
      </c>
      <c r="O889" s="59">
        <f t="shared" si="97"/>
        <v>13.698630136986301</v>
      </c>
      <c r="P889" s="59">
        <f t="shared" si="100"/>
        <v>8.2191780821917817</v>
      </c>
    </row>
    <row r="890" spans="12:16" ht="15" hidden="1" customHeight="1">
      <c r="L890" s="58">
        <f t="shared" si="98"/>
        <v>47122</v>
      </c>
      <c r="M890" s="59">
        <f t="shared" si="96"/>
        <v>0</v>
      </c>
      <c r="N890" s="59">
        <f t="shared" si="99"/>
        <v>100000</v>
      </c>
      <c r="O890" s="59">
        <f t="shared" si="97"/>
        <v>13.698630136986301</v>
      </c>
      <c r="P890" s="59">
        <f t="shared" si="100"/>
        <v>8.2191780821917817</v>
      </c>
    </row>
    <row r="891" spans="12:16" ht="15" hidden="1" customHeight="1">
      <c r="L891" s="58">
        <f t="shared" si="98"/>
        <v>47123</v>
      </c>
      <c r="M891" s="59">
        <f t="shared" si="96"/>
        <v>0</v>
      </c>
      <c r="N891" s="59">
        <f t="shared" si="99"/>
        <v>100000</v>
      </c>
      <c r="O891" s="59">
        <f t="shared" si="97"/>
        <v>13.698630136986301</v>
      </c>
      <c r="P891" s="59">
        <f t="shared" si="100"/>
        <v>8.2191780821917817</v>
      </c>
    </row>
    <row r="892" spans="12:16" ht="15" hidden="1" customHeight="1">
      <c r="L892" s="58">
        <f t="shared" si="98"/>
        <v>47124</v>
      </c>
      <c r="M892" s="59">
        <f t="shared" si="96"/>
        <v>0</v>
      </c>
      <c r="N892" s="59">
        <f t="shared" si="99"/>
        <v>100000</v>
      </c>
      <c r="O892" s="59">
        <f t="shared" si="97"/>
        <v>13.698630136986301</v>
      </c>
      <c r="P892" s="59">
        <f t="shared" si="100"/>
        <v>8.2191780821917817</v>
      </c>
    </row>
    <row r="893" spans="12:16" ht="15" hidden="1" customHeight="1">
      <c r="L893" s="58">
        <f t="shared" si="98"/>
        <v>47125</v>
      </c>
      <c r="M893" s="59">
        <f t="shared" si="96"/>
        <v>0</v>
      </c>
      <c r="N893" s="59">
        <f t="shared" si="99"/>
        <v>100000</v>
      </c>
      <c r="O893" s="59">
        <f t="shared" si="97"/>
        <v>13.698630136986301</v>
      </c>
      <c r="P893" s="59">
        <f t="shared" si="100"/>
        <v>8.2191780821917817</v>
      </c>
    </row>
    <row r="894" spans="12:16" ht="15" hidden="1" customHeight="1">
      <c r="L894" s="58">
        <f t="shared" si="98"/>
        <v>47126</v>
      </c>
      <c r="M894" s="59">
        <f t="shared" si="96"/>
        <v>0</v>
      </c>
      <c r="N894" s="59">
        <f t="shared" si="99"/>
        <v>100000</v>
      </c>
      <c r="O894" s="59">
        <f t="shared" si="97"/>
        <v>13.698630136986301</v>
      </c>
      <c r="P894" s="59">
        <f t="shared" si="100"/>
        <v>8.2191780821917817</v>
      </c>
    </row>
    <row r="895" spans="12:16" ht="15" hidden="1" customHeight="1">
      <c r="L895" s="58">
        <f t="shared" si="98"/>
        <v>47127</v>
      </c>
      <c r="M895" s="59">
        <f t="shared" si="96"/>
        <v>0</v>
      </c>
      <c r="N895" s="59">
        <f t="shared" si="99"/>
        <v>100000</v>
      </c>
      <c r="O895" s="59">
        <f t="shared" si="97"/>
        <v>13.698630136986301</v>
      </c>
      <c r="P895" s="59">
        <f t="shared" si="100"/>
        <v>8.2191780821917817</v>
      </c>
    </row>
    <row r="896" spans="12:16" ht="15" hidden="1" customHeight="1">
      <c r="L896" s="58">
        <f t="shared" si="98"/>
        <v>47128</v>
      </c>
      <c r="M896" s="59">
        <f t="shared" si="96"/>
        <v>0</v>
      </c>
      <c r="N896" s="59">
        <f t="shared" si="99"/>
        <v>100000</v>
      </c>
      <c r="O896" s="59">
        <f t="shared" si="97"/>
        <v>13.698630136986301</v>
      </c>
      <c r="P896" s="59">
        <f t="shared" si="100"/>
        <v>8.2191780821917817</v>
      </c>
    </row>
    <row r="897" spans="12:16" ht="15" hidden="1" customHeight="1">
      <c r="L897" s="58">
        <f t="shared" si="98"/>
        <v>47129</v>
      </c>
      <c r="M897" s="59">
        <f t="shared" si="96"/>
        <v>0</v>
      </c>
      <c r="N897" s="59">
        <f t="shared" si="99"/>
        <v>100000</v>
      </c>
      <c r="O897" s="59">
        <f t="shared" si="97"/>
        <v>13.698630136986301</v>
      </c>
      <c r="P897" s="59">
        <f t="shared" si="100"/>
        <v>8.2191780821917817</v>
      </c>
    </row>
    <row r="898" spans="12:16" ht="15" hidden="1" customHeight="1">
      <c r="L898" s="58">
        <f t="shared" si="98"/>
        <v>47130</v>
      </c>
      <c r="M898" s="59">
        <f t="shared" si="96"/>
        <v>0</v>
      </c>
      <c r="N898" s="59">
        <f t="shared" si="99"/>
        <v>100000</v>
      </c>
      <c r="O898" s="59">
        <f t="shared" si="97"/>
        <v>13.698630136986301</v>
      </c>
      <c r="P898" s="59">
        <f t="shared" si="100"/>
        <v>8.2191780821917817</v>
      </c>
    </row>
    <row r="899" spans="12:16" ht="15" hidden="1" customHeight="1">
      <c r="L899" s="58">
        <f t="shared" si="98"/>
        <v>47131</v>
      </c>
      <c r="M899" s="59">
        <f t="shared" si="96"/>
        <v>0</v>
      </c>
      <c r="N899" s="59">
        <f t="shared" si="99"/>
        <v>100000</v>
      </c>
      <c r="O899" s="59">
        <f t="shared" si="97"/>
        <v>13.698630136986301</v>
      </c>
      <c r="P899" s="59">
        <f t="shared" si="100"/>
        <v>8.2191780821917817</v>
      </c>
    </row>
    <row r="900" spans="12:16" ht="15" hidden="1" customHeight="1">
      <c r="L900" s="58">
        <f t="shared" si="98"/>
        <v>47132</v>
      </c>
      <c r="M900" s="59">
        <f t="shared" si="96"/>
        <v>0</v>
      </c>
      <c r="N900" s="59">
        <f t="shared" si="99"/>
        <v>100000</v>
      </c>
      <c r="O900" s="59">
        <f t="shared" si="97"/>
        <v>13.698630136986301</v>
      </c>
      <c r="P900" s="59">
        <f t="shared" si="100"/>
        <v>8.2191780821917817</v>
      </c>
    </row>
    <row r="901" spans="12:16" ht="15" hidden="1" customHeight="1">
      <c r="L901" s="58">
        <f t="shared" si="98"/>
        <v>47133</v>
      </c>
      <c r="M901" s="59">
        <f t="shared" si="96"/>
        <v>0</v>
      </c>
      <c r="N901" s="59">
        <f t="shared" si="99"/>
        <v>100000</v>
      </c>
      <c r="O901" s="59">
        <f t="shared" si="97"/>
        <v>13.698630136986301</v>
      </c>
      <c r="P901" s="59">
        <f t="shared" si="100"/>
        <v>8.2191780821917817</v>
      </c>
    </row>
    <row r="902" spans="12:16" ht="15" hidden="1" customHeight="1">
      <c r="L902" s="58">
        <f t="shared" si="98"/>
        <v>47134</v>
      </c>
      <c r="M902" s="59">
        <f t="shared" si="96"/>
        <v>0</v>
      </c>
      <c r="N902" s="59">
        <f t="shared" si="99"/>
        <v>100000</v>
      </c>
      <c r="O902" s="59">
        <f t="shared" si="97"/>
        <v>13.698630136986301</v>
      </c>
      <c r="P902" s="59">
        <f t="shared" si="100"/>
        <v>8.2191780821917817</v>
      </c>
    </row>
    <row r="903" spans="12:16" ht="15" hidden="1" customHeight="1">
      <c r="L903" s="58">
        <f t="shared" si="98"/>
        <v>47135</v>
      </c>
      <c r="M903" s="59">
        <f t="shared" si="96"/>
        <v>0</v>
      </c>
      <c r="N903" s="59">
        <f t="shared" si="99"/>
        <v>100000</v>
      </c>
      <c r="O903" s="59">
        <f t="shared" si="97"/>
        <v>13.698630136986301</v>
      </c>
      <c r="P903" s="59">
        <f t="shared" si="100"/>
        <v>8.2191780821917817</v>
      </c>
    </row>
    <row r="904" spans="12:16" ht="15" hidden="1" customHeight="1">
      <c r="L904" s="58">
        <f t="shared" si="98"/>
        <v>47136</v>
      </c>
      <c r="M904" s="59">
        <f t="shared" si="96"/>
        <v>0</v>
      </c>
      <c r="N904" s="59">
        <f t="shared" si="99"/>
        <v>100000</v>
      </c>
      <c r="O904" s="59">
        <f t="shared" si="97"/>
        <v>13.698630136986301</v>
      </c>
      <c r="P904" s="59">
        <f t="shared" si="100"/>
        <v>8.2191780821917817</v>
      </c>
    </row>
    <row r="905" spans="12:16" ht="15" hidden="1" customHeight="1">
      <c r="L905" s="58">
        <f t="shared" si="98"/>
        <v>47137</v>
      </c>
      <c r="M905" s="59">
        <f t="shared" si="96"/>
        <v>0</v>
      </c>
      <c r="N905" s="59">
        <f t="shared" si="99"/>
        <v>100000</v>
      </c>
      <c r="O905" s="59">
        <f t="shared" si="97"/>
        <v>13.698630136986301</v>
      </c>
      <c r="P905" s="59">
        <f t="shared" si="100"/>
        <v>8.2191780821917817</v>
      </c>
    </row>
    <row r="906" spans="12:16" ht="15" hidden="1" customHeight="1">
      <c r="L906" s="58">
        <f t="shared" si="98"/>
        <v>47138</v>
      </c>
      <c r="M906" s="59">
        <f t="shared" si="96"/>
        <v>0</v>
      </c>
      <c r="N906" s="59">
        <f t="shared" si="99"/>
        <v>100000</v>
      </c>
      <c r="O906" s="59">
        <f t="shared" si="97"/>
        <v>13.698630136986301</v>
      </c>
      <c r="P906" s="59">
        <f t="shared" si="100"/>
        <v>8.2191780821917817</v>
      </c>
    </row>
    <row r="907" spans="12:16" ht="15" hidden="1" customHeight="1">
      <c r="L907" s="58">
        <f t="shared" si="98"/>
        <v>47139</v>
      </c>
      <c r="M907" s="59">
        <f t="shared" si="96"/>
        <v>0</v>
      </c>
      <c r="N907" s="59">
        <f t="shared" si="99"/>
        <v>100000</v>
      </c>
      <c r="O907" s="59">
        <f t="shared" si="97"/>
        <v>13.698630136986301</v>
      </c>
      <c r="P907" s="59">
        <f t="shared" si="100"/>
        <v>8.2191780821917817</v>
      </c>
    </row>
    <row r="908" spans="12:16" ht="15" hidden="1" customHeight="1">
      <c r="L908" s="58">
        <f t="shared" si="98"/>
        <v>47140</v>
      </c>
      <c r="M908" s="59">
        <f t="shared" si="96"/>
        <v>0</v>
      </c>
      <c r="N908" s="59">
        <f t="shared" si="99"/>
        <v>100000</v>
      </c>
      <c r="O908" s="59">
        <f t="shared" si="97"/>
        <v>13.698630136986301</v>
      </c>
      <c r="P908" s="59">
        <f t="shared" si="100"/>
        <v>8.2191780821917817</v>
      </c>
    </row>
    <row r="909" spans="12:16" ht="15" hidden="1" customHeight="1">
      <c r="L909" s="58">
        <f t="shared" si="98"/>
        <v>47141</v>
      </c>
      <c r="M909" s="59">
        <f t="shared" si="96"/>
        <v>0</v>
      </c>
      <c r="N909" s="59">
        <f t="shared" si="99"/>
        <v>100000</v>
      </c>
      <c r="O909" s="59">
        <f t="shared" si="97"/>
        <v>13.698630136986301</v>
      </c>
      <c r="P909" s="59">
        <f t="shared" si="100"/>
        <v>8.2191780821917817</v>
      </c>
    </row>
    <row r="910" spans="12:16" ht="15" hidden="1" customHeight="1">
      <c r="L910" s="58">
        <f t="shared" si="98"/>
        <v>47142</v>
      </c>
      <c r="M910" s="59">
        <f t="shared" si="96"/>
        <v>0</v>
      </c>
      <c r="N910" s="59">
        <f t="shared" si="99"/>
        <v>100000</v>
      </c>
      <c r="O910" s="59">
        <f t="shared" si="97"/>
        <v>13.698630136986301</v>
      </c>
      <c r="P910" s="59">
        <f t="shared" si="100"/>
        <v>8.2191780821917817</v>
      </c>
    </row>
    <row r="911" spans="12:16" ht="15" hidden="1" customHeight="1">
      <c r="L911" s="58">
        <f t="shared" si="98"/>
        <v>47143</v>
      </c>
      <c r="M911" s="59">
        <f t="shared" si="96"/>
        <v>0</v>
      </c>
      <c r="N911" s="59">
        <f t="shared" si="99"/>
        <v>100000</v>
      </c>
      <c r="O911" s="59">
        <f t="shared" si="97"/>
        <v>13.698630136986301</v>
      </c>
      <c r="P911" s="59">
        <f t="shared" si="100"/>
        <v>8.2191780821917817</v>
      </c>
    </row>
    <row r="912" spans="12:16" ht="15" hidden="1" customHeight="1">
      <c r="L912" s="58">
        <f t="shared" si="98"/>
        <v>47144</v>
      </c>
      <c r="M912" s="59">
        <f t="shared" si="96"/>
        <v>0</v>
      </c>
      <c r="N912" s="59">
        <f t="shared" si="99"/>
        <v>100000</v>
      </c>
      <c r="O912" s="59">
        <f t="shared" si="97"/>
        <v>13.698630136986301</v>
      </c>
      <c r="P912" s="59">
        <f t="shared" si="100"/>
        <v>8.2191780821917817</v>
      </c>
    </row>
    <row r="913" spans="12:16" ht="15" hidden="1" customHeight="1">
      <c r="L913" s="58">
        <f t="shared" si="98"/>
        <v>47145</v>
      </c>
      <c r="M913" s="59">
        <f t="shared" si="96"/>
        <v>0</v>
      </c>
      <c r="N913" s="59">
        <f t="shared" si="99"/>
        <v>100000</v>
      </c>
      <c r="O913" s="59">
        <f t="shared" si="97"/>
        <v>13.698630136986301</v>
      </c>
      <c r="P913" s="59">
        <f t="shared" si="100"/>
        <v>8.2191780821917817</v>
      </c>
    </row>
    <row r="914" spans="12:16" ht="15" hidden="1" customHeight="1">
      <c r="L914" s="58">
        <f t="shared" si="98"/>
        <v>47146</v>
      </c>
      <c r="M914" s="59">
        <f t="shared" si="96"/>
        <v>0</v>
      </c>
      <c r="N914" s="59">
        <f t="shared" si="99"/>
        <v>100000</v>
      </c>
      <c r="O914" s="59">
        <f t="shared" si="97"/>
        <v>13.698630136986301</v>
      </c>
      <c r="P914" s="59">
        <f t="shared" si="100"/>
        <v>8.2191780821917817</v>
      </c>
    </row>
    <row r="915" spans="12:16" ht="15" hidden="1" customHeight="1">
      <c r="L915" s="58">
        <f t="shared" si="98"/>
        <v>47147</v>
      </c>
      <c r="M915" s="59">
        <f t="shared" ref="M915:M978" si="101">IFERROR(VLOOKUP(L915,$B$19:$E$80,4,FALSE),0)</f>
        <v>0</v>
      </c>
      <c r="N915" s="59">
        <f t="shared" si="99"/>
        <v>100000</v>
      </c>
      <c r="O915" s="59">
        <f t="shared" ref="O915:O978" si="102">IFERROR(IF(ISNUMBER(N914),N914,$E$8)*IF(L915&gt;=$J$8,$E$12,$E$12)/IF(MOD(YEAR(L915),4),365,366)*IF(ISBLANK(L914),L915-$F$5,L915-L914),0)</f>
        <v>13.698630136986301</v>
      </c>
      <c r="P915" s="59">
        <f t="shared" si="100"/>
        <v>8.2191780821917817</v>
      </c>
    </row>
    <row r="916" spans="12:16" ht="15" hidden="1" customHeight="1">
      <c r="L916" s="58">
        <f t="shared" si="98"/>
        <v>47148</v>
      </c>
      <c r="M916" s="59">
        <f t="shared" si="101"/>
        <v>0</v>
      </c>
      <c r="N916" s="59">
        <f t="shared" si="99"/>
        <v>100000</v>
      </c>
      <c r="O916" s="59">
        <f t="shared" si="102"/>
        <v>13.698630136986301</v>
      </c>
      <c r="P916" s="59">
        <f t="shared" si="100"/>
        <v>8.2191780821917817</v>
      </c>
    </row>
    <row r="917" spans="12:16" ht="15" hidden="1" customHeight="1">
      <c r="L917" s="58">
        <f t="shared" si="98"/>
        <v>47149</v>
      </c>
      <c r="M917" s="59">
        <f t="shared" si="101"/>
        <v>0</v>
      </c>
      <c r="N917" s="59">
        <f t="shared" si="99"/>
        <v>100000</v>
      </c>
      <c r="O917" s="59">
        <f t="shared" si="102"/>
        <v>13.698630136986301</v>
      </c>
      <c r="P917" s="59">
        <f t="shared" si="100"/>
        <v>8.2191780821917817</v>
      </c>
    </row>
    <row r="918" spans="12:16" ht="15" hidden="1" customHeight="1">
      <c r="L918" s="58">
        <f t="shared" si="98"/>
        <v>47150</v>
      </c>
      <c r="M918" s="59">
        <f t="shared" si="101"/>
        <v>0</v>
      </c>
      <c r="N918" s="59">
        <f t="shared" si="99"/>
        <v>100000</v>
      </c>
      <c r="O918" s="59">
        <f t="shared" si="102"/>
        <v>13.698630136986301</v>
      </c>
      <c r="P918" s="59">
        <f t="shared" si="100"/>
        <v>8.2191780821917817</v>
      </c>
    </row>
    <row r="919" spans="12:16" ht="15" hidden="1" customHeight="1">
      <c r="L919" s="58">
        <f t="shared" si="98"/>
        <v>47151</v>
      </c>
      <c r="M919" s="59">
        <f t="shared" si="101"/>
        <v>0</v>
      </c>
      <c r="N919" s="59">
        <f t="shared" si="99"/>
        <v>100000</v>
      </c>
      <c r="O919" s="59">
        <f t="shared" si="102"/>
        <v>13.698630136986301</v>
      </c>
      <c r="P919" s="59">
        <f t="shared" si="100"/>
        <v>8.2191780821917817</v>
      </c>
    </row>
    <row r="920" spans="12:16" ht="15" hidden="1" customHeight="1">
      <c r="L920" s="58">
        <f t="shared" si="98"/>
        <v>47152</v>
      </c>
      <c r="M920" s="59">
        <f t="shared" si="101"/>
        <v>0</v>
      </c>
      <c r="N920" s="59">
        <f t="shared" si="99"/>
        <v>100000</v>
      </c>
      <c r="O920" s="59">
        <f t="shared" si="102"/>
        <v>13.698630136986301</v>
      </c>
      <c r="P920" s="59">
        <f t="shared" si="100"/>
        <v>8.2191780821917817</v>
      </c>
    </row>
    <row r="921" spans="12:16" ht="15" hidden="1" customHeight="1">
      <c r="L921" s="58">
        <f t="shared" si="98"/>
        <v>47153</v>
      </c>
      <c r="M921" s="59">
        <f t="shared" si="101"/>
        <v>0</v>
      </c>
      <c r="N921" s="59">
        <f t="shared" si="99"/>
        <v>100000</v>
      </c>
      <c r="O921" s="59">
        <f t="shared" si="102"/>
        <v>13.698630136986301</v>
      </c>
      <c r="P921" s="59">
        <f t="shared" si="100"/>
        <v>8.2191780821917817</v>
      </c>
    </row>
    <row r="922" spans="12:16" ht="15" hidden="1" customHeight="1">
      <c r="L922" s="58">
        <f t="shared" si="98"/>
        <v>47154</v>
      </c>
      <c r="M922" s="59">
        <f t="shared" si="101"/>
        <v>0</v>
      </c>
      <c r="N922" s="59">
        <f t="shared" si="99"/>
        <v>100000</v>
      </c>
      <c r="O922" s="59">
        <f t="shared" si="102"/>
        <v>13.698630136986301</v>
      </c>
      <c r="P922" s="59">
        <f t="shared" si="100"/>
        <v>8.2191780821917817</v>
      </c>
    </row>
    <row r="923" spans="12:16" ht="15" hidden="1" customHeight="1">
      <c r="L923" s="58">
        <f t="shared" si="98"/>
        <v>47155</v>
      </c>
      <c r="M923" s="59">
        <f t="shared" si="101"/>
        <v>0</v>
      </c>
      <c r="N923" s="59">
        <f t="shared" si="99"/>
        <v>100000</v>
      </c>
      <c r="O923" s="59">
        <f t="shared" si="102"/>
        <v>13.698630136986301</v>
      </c>
      <c r="P923" s="59">
        <f t="shared" si="100"/>
        <v>8.2191780821917817</v>
      </c>
    </row>
    <row r="924" spans="12:16" ht="15" hidden="1" customHeight="1">
      <c r="L924" s="58">
        <f t="shared" si="98"/>
        <v>47156</v>
      </c>
      <c r="M924" s="59">
        <f t="shared" si="101"/>
        <v>0</v>
      </c>
      <c r="N924" s="59">
        <f t="shared" si="99"/>
        <v>100000</v>
      </c>
      <c r="O924" s="59">
        <f t="shared" si="102"/>
        <v>13.698630136986301</v>
      </c>
      <c r="P924" s="59">
        <f t="shared" si="100"/>
        <v>8.2191780821917817</v>
      </c>
    </row>
    <row r="925" spans="12:16" ht="15" hidden="1" customHeight="1">
      <c r="L925" s="58">
        <f t="shared" si="98"/>
        <v>47157</v>
      </c>
      <c r="M925" s="59">
        <f t="shared" si="101"/>
        <v>0</v>
      </c>
      <c r="N925" s="59">
        <f t="shared" si="99"/>
        <v>100000</v>
      </c>
      <c r="O925" s="59">
        <f t="shared" si="102"/>
        <v>13.698630136986301</v>
      </c>
      <c r="P925" s="59">
        <f t="shared" si="100"/>
        <v>8.2191780821917817</v>
      </c>
    </row>
    <row r="926" spans="12:16" ht="15" hidden="1" customHeight="1">
      <c r="L926" s="58">
        <f t="shared" si="98"/>
        <v>47158</v>
      </c>
      <c r="M926" s="59">
        <f t="shared" si="101"/>
        <v>0</v>
      </c>
      <c r="N926" s="59">
        <f t="shared" si="99"/>
        <v>100000</v>
      </c>
      <c r="O926" s="59">
        <f t="shared" si="102"/>
        <v>13.698630136986301</v>
      </c>
      <c r="P926" s="59">
        <f t="shared" si="100"/>
        <v>8.2191780821917817</v>
      </c>
    </row>
    <row r="927" spans="12:16" ht="15" hidden="1" customHeight="1">
      <c r="L927" s="58">
        <f t="shared" si="98"/>
        <v>47159</v>
      </c>
      <c r="M927" s="59">
        <f t="shared" si="101"/>
        <v>0</v>
      </c>
      <c r="N927" s="59">
        <f t="shared" si="99"/>
        <v>100000</v>
      </c>
      <c r="O927" s="59">
        <f t="shared" si="102"/>
        <v>13.698630136986301</v>
      </c>
      <c r="P927" s="59">
        <f t="shared" si="100"/>
        <v>8.2191780821917817</v>
      </c>
    </row>
    <row r="928" spans="12:16" ht="15" hidden="1" customHeight="1">
      <c r="L928" s="58">
        <f t="shared" si="98"/>
        <v>47160</v>
      </c>
      <c r="M928" s="59">
        <f t="shared" si="101"/>
        <v>0</v>
      </c>
      <c r="N928" s="59">
        <f t="shared" si="99"/>
        <v>100000</v>
      </c>
      <c r="O928" s="59">
        <f t="shared" si="102"/>
        <v>13.698630136986301</v>
      </c>
      <c r="P928" s="59">
        <f t="shared" si="100"/>
        <v>8.2191780821917817</v>
      </c>
    </row>
    <row r="929" spans="12:16" ht="15" hidden="1" customHeight="1">
      <c r="L929" s="58">
        <f t="shared" si="98"/>
        <v>47161</v>
      </c>
      <c r="M929" s="59">
        <f t="shared" si="101"/>
        <v>0</v>
      </c>
      <c r="N929" s="59">
        <f t="shared" si="99"/>
        <v>100000</v>
      </c>
      <c r="O929" s="59">
        <f t="shared" si="102"/>
        <v>13.698630136986301</v>
      </c>
      <c r="P929" s="59">
        <f t="shared" si="100"/>
        <v>8.2191780821917817</v>
      </c>
    </row>
    <row r="930" spans="12:16" ht="15" hidden="1" customHeight="1">
      <c r="L930" s="58">
        <f t="shared" ref="L930:L993" si="103">IFERROR(IF(MAX(L929+1,$F$5+1)&gt;Дата_погашения_Займа,"-",MAX(L929+1,$F$5+1)),"-")</f>
        <v>47162</v>
      </c>
      <c r="M930" s="59">
        <f t="shared" si="101"/>
        <v>0</v>
      </c>
      <c r="N930" s="59">
        <f t="shared" si="99"/>
        <v>100000</v>
      </c>
      <c r="O930" s="59">
        <f t="shared" si="102"/>
        <v>13.698630136986301</v>
      </c>
      <c r="P930" s="59">
        <f t="shared" si="100"/>
        <v>8.2191780821917817</v>
      </c>
    </row>
    <row r="931" spans="12:16" ht="15" hidden="1" customHeight="1">
      <c r="L931" s="58">
        <f t="shared" si="103"/>
        <v>47163</v>
      </c>
      <c r="M931" s="59">
        <f t="shared" si="101"/>
        <v>0</v>
      </c>
      <c r="N931" s="59">
        <f t="shared" si="99"/>
        <v>100000</v>
      </c>
      <c r="O931" s="59">
        <f t="shared" si="102"/>
        <v>13.698630136986301</v>
      </c>
      <c r="P931" s="59">
        <f t="shared" si="100"/>
        <v>8.2191780821917817</v>
      </c>
    </row>
    <row r="932" spans="12:16" ht="15" hidden="1" customHeight="1">
      <c r="L932" s="58">
        <f t="shared" si="103"/>
        <v>47164</v>
      </c>
      <c r="M932" s="59">
        <f t="shared" si="101"/>
        <v>0</v>
      </c>
      <c r="N932" s="59">
        <f t="shared" si="99"/>
        <v>100000</v>
      </c>
      <c r="O932" s="59">
        <f t="shared" si="102"/>
        <v>13.698630136986301</v>
      </c>
      <c r="P932" s="59">
        <f t="shared" si="100"/>
        <v>8.2191780821917817</v>
      </c>
    </row>
    <row r="933" spans="12:16" ht="15" hidden="1" customHeight="1">
      <c r="L933" s="58">
        <f t="shared" si="103"/>
        <v>47165</v>
      </c>
      <c r="M933" s="59">
        <f t="shared" si="101"/>
        <v>0</v>
      </c>
      <c r="N933" s="59">
        <f t="shared" si="99"/>
        <v>100000</v>
      </c>
      <c r="O933" s="59">
        <f t="shared" si="102"/>
        <v>13.698630136986301</v>
      </c>
      <c r="P933" s="59">
        <f t="shared" si="100"/>
        <v>8.2191780821917817</v>
      </c>
    </row>
    <row r="934" spans="12:16" ht="15" hidden="1" customHeight="1">
      <c r="L934" s="58">
        <f t="shared" si="103"/>
        <v>47166</v>
      </c>
      <c r="M934" s="59">
        <f t="shared" si="101"/>
        <v>0</v>
      </c>
      <c r="N934" s="59">
        <f t="shared" si="99"/>
        <v>100000</v>
      </c>
      <c r="O934" s="59">
        <f t="shared" si="102"/>
        <v>13.698630136986301</v>
      </c>
      <c r="P934" s="59">
        <f t="shared" si="100"/>
        <v>8.2191780821917817</v>
      </c>
    </row>
    <row r="935" spans="12:16" ht="15" hidden="1" customHeight="1">
      <c r="L935" s="58">
        <f t="shared" si="103"/>
        <v>47167</v>
      </c>
      <c r="M935" s="59">
        <f t="shared" si="101"/>
        <v>0</v>
      </c>
      <c r="N935" s="59">
        <f t="shared" si="99"/>
        <v>100000</v>
      </c>
      <c r="O935" s="59">
        <f t="shared" si="102"/>
        <v>13.698630136986301</v>
      </c>
      <c r="P935" s="59">
        <f t="shared" si="100"/>
        <v>8.2191780821917817</v>
      </c>
    </row>
    <row r="936" spans="12:16" ht="15" hidden="1" customHeight="1">
      <c r="L936" s="58">
        <f t="shared" si="103"/>
        <v>47168</v>
      </c>
      <c r="M936" s="59">
        <f t="shared" si="101"/>
        <v>0</v>
      </c>
      <c r="N936" s="59">
        <f t="shared" si="99"/>
        <v>100000</v>
      </c>
      <c r="O936" s="59">
        <f t="shared" si="102"/>
        <v>13.698630136986301</v>
      </c>
      <c r="P936" s="59">
        <f t="shared" si="100"/>
        <v>8.2191780821917817</v>
      </c>
    </row>
    <row r="937" spans="12:16" ht="15" hidden="1" customHeight="1">
      <c r="L937" s="58">
        <f t="shared" si="103"/>
        <v>47169</v>
      </c>
      <c r="M937" s="59">
        <f t="shared" si="101"/>
        <v>0</v>
      </c>
      <c r="N937" s="59">
        <f t="shared" si="99"/>
        <v>100000</v>
      </c>
      <c r="O937" s="59">
        <f t="shared" si="102"/>
        <v>13.698630136986301</v>
      </c>
      <c r="P937" s="59">
        <f t="shared" si="100"/>
        <v>8.2191780821917817</v>
      </c>
    </row>
    <row r="938" spans="12:16" ht="15" hidden="1" customHeight="1">
      <c r="L938" s="58">
        <f t="shared" si="103"/>
        <v>47170</v>
      </c>
      <c r="M938" s="59">
        <f t="shared" si="101"/>
        <v>0</v>
      </c>
      <c r="N938" s="59">
        <f t="shared" si="99"/>
        <v>100000</v>
      </c>
      <c r="O938" s="59">
        <f t="shared" si="102"/>
        <v>13.698630136986301</v>
      </c>
      <c r="P938" s="59">
        <f t="shared" si="100"/>
        <v>8.2191780821917817</v>
      </c>
    </row>
    <row r="939" spans="12:16" ht="15" hidden="1" customHeight="1">
      <c r="L939" s="58">
        <f t="shared" si="103"/>
        <v>47171</v>
      </c>
      <c r="M939" s="59">
        <f t="shared" si="101"/>
        <v>0</v>
      </c>
      <c r="N939" s="59">
        <f t="shared" si="99"/>
        <v>100000</v>
      </c>
      <c r="O939" s="59">
        <f t="shared" si="102"/>
        <v>13.698630136986301</v>
      </c>
      <c r="P939" s="59">
        <f t="shared" si="100"/>
        <v>8.2191780821917817</v>
      </c>
    </row>
    <row r="940" spans="12:16" ht="15" hidden="1" customHeight="1">
      <c r="L940" s="58">
        <f t="shared" si="103"/>
        <v>47172</v>
      </c>
      <c r="M940" s="59">
        <f t="shared" si="101"/>
        <v>0</v>
      </c>
      <c r="N940" s="59">
        <f t="shared" si="99"/>
        <v>100000</v>
      </c>
      <c r="O940" s="59">
        <f t="shared" si="102"/>
        <v>13.698630136986301</v>
      </c>
      <c r="P940" s="59">
        <f t="shared" si="100"/>
        <v>8.2191780821917817</v>
      </c>
    </row>
    <row r="941" spans="12:16" ht="15" hidden="1" customHeight="1">
      <c r="L941" s="58">
        <f t="shared" si="103"/>
        <v>47173</v>
      </c>
      <c r="M941" s="59">
        <f t="shared" si="101"/>
        <v>0</v>
      </c>
      <c r="N941" s="59">
        <f t="shared" si="99"/>
        <v>100000</v>
      </c>
      <c r="O941" s="59">
        <f t="shared" si="102"/>
        <v>13.698630136986301</v>
      </c>
      <c r="P941" s="59">
        <f t="shared" si="100"/>
        <v>8.2191780821917817</v>
      </c>
    </row>
    <row r="942" spans="12:16" ht="15" hidden="1" customHeight="1">
      <c r="L942" s="58">
        <f t="shared" si="103"/>
        <v>47174</v>
      </c>
      <c r="M942" s="59">
        <f t="shared" si="101"/>
        <v>0</v>
      </c>
      <c r="N942" s="59">
        <f t="shared" si="99"/>
        <v>100000</v>
      </c>
      <c r="O942" s="59">
        <f t="shared" si="102"/>
        <v>13.698630136986301</v>
      </c>
      <c r="P942" s="59">
        <f t="shared" si="100"/>
        <v>8.2191780821917817</v>
      </c>
    </row>
    <row r="943" spans="12:16" ht="15" hidden="1" customHeight="1">
      <c r="L943" s="58">
        <f t="shared" si="103"/>
        <v>47175</v>
      </c>
      <c r="M943" s="59">
        <f t="shared" si="101"/>
        <v>0</v>
      </c>
      <c r="N943" s="59">
        <f t="shared" si="99"/>
        <v>100000</v>
      </c>
      <c r="O943" s="59">
        <f t="shared" si="102"/>
        <v>13.698630136986301</v>
      </c>
      <c r="P943" s="59">
        <f t="shared" si="100"/>
        <v>8.2191780821917817</v>
      </c>
    </row>
    <row r="944" spans="12:16" ht="15" hidden="1" customHeight="1">
      <c r="L944" s="58">
        <f t="shared" si="103"/>
        <v>47176</v>
      </c>
      <c r="M944" s="59">
        <f t="shared" si="101"/>
        <v>0</v>
      </c>
      <c r="N944" s="59">
        <f t="shared" ref="N944:N1007" si="104">IF(ISNUMBER(N943),N943-M944,$E$8)</f>
        <v>100000</v>
      </c>
      <c r="O944" s="59">
        <f t="shared" si="102"/>
        <v>13.698630136986301</v>
      </c>
      <c r="P944" s="59">
        <f t="shared" ref="P944:P1007" si="105">IFERROR(IF(ISNUMBER(N943),N943,$E$8)*3%/IF(MOD(YEAR(L944),4),365,366)*IF(ISBLANK(L943),(L944-$F$5),L944-L943),0)</f>
        <v>8.2191780821917817</v>
      </c>
    </row>
    <row r="945" spans="12:16" ht="15" hidden="1" customHeight="1">
      <c r="L945" s="58">
        <f t="shared" si="103"/>
        <v>47177</v>
      </c>
      <c r="M945" s="59">
        <f t="shared" si="101"/>
        <v>0</v>
      </c>
      <c r="N945" s="59">
        <f t="shared" si="104"/>
        <v>100000</v>
      </c>
      <c r="O945" s="59">
        <f t="shared" si="102"/>
        <v>13.698630136986301</v>
      </c>
      <c r="P945" s="59">
        <f t="shared" si="105"/>
        <v>8.2191780821917817</v>
      </c>
    </row>
    <row r="946" spans="12:16" ht="15" hidden="1" customHeight="1">
      <c r="L946" s="58">
        <f t="shared" si="103"/>
        <v>47178</v>
      </c>
      <c r="M946" s="59">
        <f t="shared" si="101"/>
        <v>0</v>
      </c>
      <c r="N946" s="59">
        <f t="shared" si="104"/>
        <v>100000</v>
      </c>
      <c r="O946" s="59">
        <f t="shared" si="102"/>
        <v>13.698630136986301</v>
      </c>
      <c r="P946" s="59">
        <f t="shared" si="105"/>
        <v>8.2191780821917817</v>
      </c>
    </row>
    <row r="947" spans="12:16" ht="15" hidden="1" customHeight="1">
      <c r="L947" s="58">
        <f t="shared" si="103"/>
        <v>47179</v>
      </c>
      <c r="M947" s="59">
        <f t="shared" si="101"/>
        <v>0</v>
      </c>
      <c r="N947" s="59">
        <f t="shared" si="104"/>
        <v>100000</v>
      </c>
      <c r="O947" s="59">
        <f t="shared" si="102"/>
        <v>13.698630136986301</v>
      </c>
      <c r="P947" s="59">
        <f t="shared" si="105"/>
        <v>8.2191780821917817</v>
      </c>
    </row>
    <row r="948" spans="12:16" ht="15" hidden="1" customHeight="1">
      <c r="L948" s="58">
        <f t="shared" si="103"/>
        <v>47180</v>
      </c>
      <c r="M948" s="59">
        <f t="shared" si="101"/>
        <v>0</v>
      </c>
      <c r="N948" s="59">
        <f t="shared" si="104"/>
        <v>100000</v>
      </c>
      <c r="O948" s="59">
        <f t="shared" si="102"/>
        <v>13.698630136986301</v>
      </c>
      <c r="P948" s="59">
        <f t="shared" si="105"/>
        <v>8.2191780821917817</v>
      </c>
    </row>
    <row r="949" spans="12:16" ht="15" hidden="1" customHeight="1">
      <c r="L949" s="58">
        <f t="shared" si="103"/>
        <v>47181</v>
      </c>
      <c r="M949" s="59">
        <f t="shared" si="101"/>
        <v>0</v>
      </c>
      <c r="N949" s="59">
        <f t="shared" si="104"/>
        <v>100000</v>
      </c>
      <c r="O949" s="59">
        <f t="shared" si="102"/>
        <v>13.698630136986301</v>
      </c>
      <c r="P949" s="59">
        <f t="shared" si="105"/>
        <v>8.2191780821917817</v>
      </c>
    </row>
    <row r="950" spans="12:16" ht="15" hidden="1" customHeight="1">
      <c r="L950" s="58">
        <f t="shared" si="103"/>
        <v>47182</v>
      </c>
      <c r="M950" s="59">
        <f t="shared" si="101"/>
        <v>0</v>
      </c>
      <c r="N950" s="59">
        <f t="shared" si="104"/>
        <v>100000</v>
      </c>
      <c r="O950" s="59">
        <f t="shared" si="102"/>
        <v>13.698630136986301</v>
      </c>
      <c r="P950" s="59">
        <f t="shared" si="105"/>
        <v>8.2191780821917817</v>
      </c>
    </row>
    <row r="951" spans="12:16" ht="15" hidden="1" customHeight="1">
      <c r="L951" s="58">
        <f t="shared" si="103"/>
        <v>47183</v>
      </c>
      <c r="M951" s="59">
        <f t="shared" si="101"/>
        <v>0</v>
      </c>
      <c r="N951" s="59">
        <f t="shared" si="104"/>
        <v>100000</v>
      </c>
      <c r="O951" s="59">
        <f t="shared" si="102"/>
        <v>13.698630136986301</v>
      </c>
      <c r="P951" s="59">
        <f t="shared" si="105"/>
        <v>8.2191780821917817</v>
      </c>
    </row>
    <row r="952" spans="12:16" ht="15" hidden="1" customHeight="1">
      <c r="L952" s="58">
        <f t="shared" si="103"/>
        <v>47184</v>
      </c>
      <c r="M952" s="59">
        <f t="shared" si="101"/>
        <v>0</v>
      </c>
      <c r="N952" s="59">
        <f t="shared" si="104"/>
        <v>100000</v>
      </c>
      <c r="O952" s="59">
        <f t="shared" si="102"/>
        <v>13.698630136986301</v>
      </c>
      <c r="P952" s="59">
        <f t="shared" si="105"/>
        <v>8.2191780821917817</v>
      </c>
    </row>
    <row r="953" spans="12:16" ht="15" hidden="1" customHeight="1">
      <c r="L953" s="58">
        <f t="shared" si="103"/>
        <v>47185</v>
      </c>
      <c r="M953" s="59">
        <f t="shared" si="101"/>
        <v>0</v>
      </c>
      <c r="N953" s="59">
        <f t="shared" si="104"/>
        <v>100000</v>
      </c>
      <c r="O953" s="59">
        <f t="shared" si="102"/>
        <v>13.698630136986301</v>
      </c>
      <c r="P953" s="59">
        <f t="shared" si="105"/>
        <v>8.2191780821917817</v>
      </c>
    </row>
    <row r="954" spans="12:16" ht="15" hidden="1" customHeight="1">
      <c r="L954" s="58">
        <f t="shared" si="103"/>
        <v>47186</v>
      </c>
      <c r="M954" s="59">
        <f t="shared" si="101"/>
        <v>0</v>
      </c>
      <c r="N954" s="59">
        <f t="shared" si="104"/>
        <v>100000</v>
      </c>
      <c r="O954" s="59">
        <f t="shared" si="102"/>
        <v>13.698630136986301</v>
      </c>
      <c r="P954" s="59">
        <f t="shared" si="105"/>
        <v>8.2191780821917817</v>
      </c>
    </row>
    <row r="955" spans="12:16" ht="15" hidden="1" customHeight="1">
      <c r="L955" s="58">
        <f t="shared" si="103"/>
        <v>47187</v>
      </c>
      <c r="M955" s="59">
        <f t="shared" si="101"/>
        <v>0</v>
      </c>
      <c r="N955" s="59">
        <f t="shared" si="104"/>
        <v>100000</v>
      </c>
      <c r="O955" s="59">
        <f t="shared" si="102"/>
        <v>13.698630136986301</v>
      </c>
      <c r="P955" s="59">
        <f t="shared" si="105"/>
        <v>8.2191780821917817</v>
      </c>
    </row>
    <row r="956" spans="12:16" ht="15" hidden="1" customHeight="1">
      <c r="L956" s="58">
        <f t="shared" si="103"/>
        <v>47188</v>
      </c>
      <c r="M956" s="59">
        <f t="shared" si="101"/>
        <v>0</v>
      </c>
      <c r="N956" s="59">
        <f t="shared" si="104"/>
        <v>100000</v>
      </c>
      <c r="O956" s="59">
        <f t="shared" si="102"/>
        <v>13.698630136986301</v>
      </c>
      <c r="P956" s="59">
        <f t="shared" si="105"/>
        <v>8.2191780821917817</v>
      </c>
    </row>
    <row r="957" spans="12:16" ht="15" hidden="1" customHeight="1">
      <c r="L957" s="58">
        <f t="shared" si="103"/>
        <v>47189</v>
      </c>
      <c r="M957" s="59">
        <f t="shared" si="101"/>
        <v>0</v>
      </c>
      <c r="N957" s="59">
        <f t="shared" si="104"/>
        <v>100000</v>
      </c>
      <c r="O957" s="59">
        <f t="shared" si="102"/>
        <v>13.698630136986301</v>
      </c>
      <c r="P957" s="59">
        <f t="shared" si="105"/>
        <v>8.2191780821917817</v>
      </c>
    </row>
    <row r="958" spans="12:16" ht="15" hidden="1" customHeight="1">
      <c r="L958" s="58">
        <f t="shared" si="103"/>
        <v>47190</v>
      </c>
      <c r="M958" s="59">
        <f t="shared" si="101"/>
        <v>0</v>
      </c>
      <c r="N958" s="59">
        <f t="shared" si="104"/>
        <v>100000</v>
      </c>
      <c r="O958" s="59">
        <f t="shared" si="102"/>
        <v>13.698630136986301</v>
      </c>
      <c r="P958" s="59">
        <f t="shared" si="105"/>
        <v>8.2191780821917817</v>
      </c>
    </row>
    <row r="959" spans="12:16" ht="15" hidden="1" customHeight="1">
      <c r="L959" s="58">
        <f t="shared" si="103"/>
        <v>47191</v>
      </c>
      <c r="M959" s="59">
        <f t="shared" si="101"/>
        <v>0</v>
      </c>
      <c r="N959" s="59">
        <f t="shared" si="104"/>
        <v>100000</v>
      </c>
      <c r="O959" s="59">
        <f t="shared" si="102"/>
        <v>13.698630136986301</v>
      </c>
      <c r="P959" s="59">
        <f t="shared" si="105"/>
        <v>8.2191780821917817</v>
      </c>
    </row>
    <row r="960" spans="12:16" ht="15" hidden="1" customHeight="1">
      <c r="L960" s="58">
        <f t="shared" si="103"/>
        <v>47192</v>
      </c>
      <c r="M960" s="59">
        <f t="shared" si="101"/>
        <v>0</v>
      </c>
      <c r="N960" s="59">
        <f t="shared" si="104"/>
        <v>100000</v>
      </c>
      <c r="O960" s="59">
        <f t="shared" si="102"/>
        <v>13.698630136986301</v>
      </c>
      <c r="P960" s="59">
        <f t="shared" si="105"/>
        <v>8.2191780821917817</v>
      </c>
    </row>
    <row r="961" spans="12:16" ht="15" hidden="1" customHeight="1">
      <c r="L961" s="58">
        <f t="shared" si="103"/>
        <v>47193</v>
      </c>
      <c r="M961" s="59">
        <f t="shared" si="101"/>
        <v>0</v>
      </c>
      <c r="N961" s="59">
        <f t="shared" si="104"/>
        <v>100000</v>
      </c>
      <c r="O961" s="59">
        <f t="shared" si="102"/>
        <v>13.698630136986301</v>
      </c>
      <c r="P961" s="59">
        <f t="shared" si="105"/>
        <v>8.2191780821917817</v>
      </c>
    </row>
    <row r="962" spans="12:16" ht="15" hidden="1" customHeight="1">
      <c r="L962" s="58">
        <f t="shared" si="103"/>
        <v>47194</v>
      </c>
      <c r="M962" s="59">
        <f t="shared" si="101"/>
        <v>0</v>
      </c>
      <c r="N962" s="59">
        <f t="shared" si="104"/>
        <v>100000</v>
      </c>
      <c r="O962" s="59">
        <f t="shared" si="102"/>
        <v>13.698630136986301</v>
      </c>
      <c r="P962" s="59">
        <f t="shared" si="105"/>
        <v>8.2191780821917817</v>
      </c>
    </row>
    <row r="963" spans="12:16" ht="15" hidden="1" customHeight="1">
      <c r="L963" s="58">
        <f t="shared" si="103"/>
        <v>47195</v>
      </c>
      <c r="M963" s="59">
        <f t="shared" si="101"/>
        <v>0</v>
      </c>
      <c r="N963" s="59">
        <f t="shared" si="104"/>
        <v>100000</v>
      </c>
      <c r="O963" s="59">
        <f t="shared" si="102"/>
        <v>13.698630136986301</v>
      </c>
      <c r="P963" s="59">
        <f t="shared" si="105"/>
        <v>8.2191780821917817</v>
      </c>
    </row>
    <row r="964" spans="12:16" ht="15" hidden="1" customHeight="1">
      <c r="L964" s="58">
        <f t="shared" si="103"/>
        <v>47196</v>
      </c>
      <c r="M964" s="59">
        <f t="shared" si="101"/>
        <v>0</v>
      </c>
      <c r="N964" s="59">
        <f t="shared" si="104"/>
        <v>100000</v>
      </c>
      <c r="O964" s="59">
        <f t="shared" si="102"/>
        <v>13.698630136986301</v>
      </c>
      <c r="P964" s="59">
        <f t="shared" si="105"/>
        <v>8.2191780821917817</v>
      </c>
    </row>
    <row r="965" spans="12:16" ht="15" hidden="1" customHeight="1">
      <c r="L965" s="58">
        <f t="shared" si="103"/>
        <v>47197</v>
      </c>
      <c r="M965" s="59">
        <f t="shared" si="101"/>
        <v>0</v>
      </c>
      <c r="N965" s="59">
        <f t="shared" si="104"/>
        <v>100000</v>
      </c>
      <c r="O965" s="59">
        <f t="shared" si="102"/>
        <v>13.698630136986301</v>
      </c>
      <c r="P965" s="59">
        <f t="shared" si="105"/>
        <v>8.2191780821917817</v>
      </c>
    </row>
    <row r="966" spans="12:16" ht="15" hidden="1" customHeight="1">
      <c r="L966" s="58">
        <f t="shared" si="103"/>
        <v>47198</v>
      </c>
      <c r="M966" s="59">
        <f t="shared" si="101"/>
        <v>0</v>
      </c>
      <c r="N966" s="59">
        <f t="shared" si="104"/>
        <v>100000</v>
      </c>
      <c r="O966" s="59">
        <f t="shared" si="102"/>
        <v>13.698630136986301</v>
      </c>
      <c r="P966" s="59">
        <f t="shared" si="105"/>
        <v>8.2191780821917817</v>
      </c>
    </row>
    <row r="967" spans="12:16" ht="15" hidden="1" customHeight="1">
      <c r="L967" s="58">
        <f t="shared" si="103"/>
        <v>47199</v>
      </c>
      <c r="M967" s="59">
        <f t="shared" si="101"/>
        <v>0</v>
      </c>
      <c r="N967" s="59">
        <f t="shared" si="104"/>
        <v>100000</v>
      </c>
      <c r="O967" s="59">
        <f t="shared" si="102"/>
        <v>13.698630136986301</v>
      </c>
      <c r="P967" s="59">
        <f t="shared" si="105"/>
        <v>8.2191780821917817</v>
      </c>
    </row>
    <row r="968" spans="12:16" ht="15" hidden="1" customHeight="1">
      <c r="L968" s="58">
        <f t="shared" si="103"/>
        <v>47200</v>
      </c>
      <c r="M968" s="59">
        <f t="shared" si="101"/>
        <v>0</v>
      </c>
      <c r="N968" s="59">
        <f t="shared" si="104"/>
        <v>100000</v>
      </c>
      <c r="O968" s="59">
        <f t="shared" si="102"/>
        <v>13.698630136986301</v>
      </c>
      <c r="P968" s="59">
        <f t="shared" si="105"/>
        <v>8.2191780821917817</v>
      </c>
    </row>
    <row r="969" spans="12:16" ht="15" hidden="1" customHeight="1">
      <c r="L969" s="58">
        <f t="shared" si="103"/>
        <v>47201</v>
      </c>
      <c r="M969" s="59">
        <f t="shared" si="101"/>
        <v>0</v>
      </c>
      <c r="N969" s="59">
        <f t="shared" si="104"/>
        <v>100000</v>
      </c>
      <c r="O969" s="59">
        <f t="shared" si="102"/>
        <v>13.698630136986301</v>
      </c>
      <c r="P969" s="59">
        <f t="shared" si="105"/>
        <v>8.2191780821917817</v>
      </c>
    </row>
    <row r="970" spans="12:16" ht="15" hidden="1" customHeight="1">
      <c r="L970" s="58">
        <f t="shared" si="103"/>
        <v>47202</v>
      </c>
      <c r="M970" s="59">
        <f t="shared" si="101"/>
        <v>0</v>
      </c>
      <c r="N970" s="59">
        <f t="shared" si="104"/>
        <v>100000</v>
      </c>
      <c r="O970" s="59">
        <f t="shared" si="102"/>
        <v>13.698630136986301</v>
      </c>
      <c r="P970" s="59">
        <f t="shared" si="105"/>
        <v>8.2191780821917817</v>
      </c>
    </row>
    <row r="971" spans="12:16" ht="15" hidden="1" customHeight="1">
      <c r="L971" s="58">
        <f t="shared" si="103"/>
        <v>47203</v>
      </c>
      <c r="M971" s="59">
        <f t="shared" si="101"/>
        <v>0</v>
      </c>
      <c r="N971" s="59">
        <f t="shared" si="104"/>
        <v>100000</v>
      </c>
      <c r="O971" s="59">
        <f t="shared" si="102"/>
        <v>13.698630136986301</v>
      </c>
      <c r="P971" s="59">
        <f t="shared" si="105"/>
        <v>8.2191780821917817</v>
      </c>
    </row>
    <row r="972" spans="12:16" ht="15" hidden="1" customHeight="1">
      <c r="L972" s="58">
        <f t="shared" si="103"/>
        <v>47204</v>
      </c>
      <c r="M972" s="59">
        <f t="shared" si="101"/>
        <v>0</v>
      </c>
      <c r="N972" s="59">
        <f t="shared" si="104"/>
        <v>100000</v>
      </c>
      <c r="O972" s="59">
        <f t="shared" si="102"/>
        <v>13.698630136986301</v>
      </c>
      <c r="P972" s="59">
        <f t="shared" si="105"/>
        <v>8.2191780821917817</v>
      </c>
    </row>
    <row r="973" spans="12:16" ht="15" hidden="1" customHeight="1">
      <c r="L973" s="58">
        <f t="shared" si="103"/>
        <v>47205</v>
      </c>
      <c r="M973" s="59">
        <f t="shared" si="101"/>
        <v>0</v>
      </c>
      <c r="N973" s="59">
        <f t="shared" si="104"/>
        <v>100000</v>
      </c>
      <c r="O973" s="59">
        <f t="shared" si="102"/>
        <v>13.698630136986301</v>
      </c>
      <c r="P973" s="59">
        <f t="shared" si="105"/>
        <v>8.2191780821917817</v>
      </c>
    </row>
    <row r="974" spans="12:16" ht="15" hidden="1" customHeight="1">
      <c r="L974" s="58">
        <f t="shared" si="103"/>
        <v>47206</v>
      </c>
      <c r="M974" s="59">
        <f t="shared" si="101"/>
        <v>0</v>
      </c>
      <c r="N974" s="59">
        <f t="shared" si="104"/>
        <v>100000</v>
      </c>
      <c r="O974" s="59">
        <f t="shared" si="102"/>
        <v>13.698630136986301</v>
      </c>
      <c r="P974" s="59">
        <f t="shared" si="105"/>
        <v>8.2191780821917817</v>
      </c>
    </row>
    <row r="975" spans="12:16" ht="15" hidden="1" customHeight="1">
      <c r="L975" s="58">
        <f t="shared" si="103"/>
        <v>47207</v>
      </c>
      <c r="M975" s="59">
        <f t="shared" si="101"/>
        <v>0</v>
      </c>
      <c r="N975" s="59">
        <f t="shared" si="104"/>
        <v>100000</v>
      </c>
      <c r="O975" s="59">
        <f t="shared" si="102"/>
        <v>13.698630136986301</v>
      </c>
      <c r="P975" s="59">
        <f t="shared" si="105"/>
        <v>8.2191780821917817</v>
      </c>
    </row>
    <row r="976" spans="12:16" ht="15" hidden="1" customHeight="1">
      <c r="L976" s="58">
        <f t="shared" si="103"/>
        <v>47208</v>
      </c>
      <c r="M976" s="59">
        <f t="shared" si="101"/>
        <v>0</v>
      </c>
      <c r="N976" s="59">
        <f t="shared" si="104"/>
        <v>100000</v>
      </c>
      <c r="O976" s="59">
        <f t="shared" si="102"/>
        <v>13.698630136986301</v>
      </c>
      <c r="P976" s="59">
        <f t="shared" si="105"/>
        <v>8.2191780821917817</v>
      </c>
    </row>
    <row r="977" spans="12:16" ht="15" hidden="1" customHeight="1">
      <c r="L977" s="58">
        <f t="shared" si="103"/>
        <v>47209</v>
      </c>
      <c r="M977" s="59">
        <f t="shared" si="101"/>
        <v>0</v>
      </c>
      <c r="N977" s="59">
        <f t="shared" si="104"/>
        <v>100000</v>
      </c>
      <c r="O977" s="59">
        <f t="shared" si="102"/>
        <v>13.698630136986301</v>
      </c>
      <c r="P977" s="59">
        <f t="shared" si="105"/>
        <v>8.2191780821917817</v>
      </c>
    </row>
    <row r="978" spans="12:16" ht="15" hidden="1" customHeight="1">
      <c r="L978" s="58">
        <f t="shared" si="103"/>
        <v>47210</v>
      </c>
      <c r="M978" s="59">
        <f t="shared" si="101"/>
        <v>0</v>
      </c>
      <c r="N978" s="59">
        <f t="shared" si="104"/>
        <v>100000</v>
      </c>
      <c r="O978" s="59">
        <f t="shared" si="102"/>
        <v>13.698630136986301</v>
      </c>
      <c r="P978" s="59">
        <f t="shared" si="105"/>
        <v>8.2191780821917817</v>
      </c>
    </row>
    <row r="979" spans="12:16" ht="15" hidden="1" customHeight="1">
      <c r="L979" s="58">
        <f t="shared" si="103"/>
        <v>47211</v>
      </c>
      <c r="M979" s="59">
        <f t="shared" ref="M979:M1042" si="106">IFERROR(VLOOKUP(L979,$B$19:$E$80,4,FALSE),0)</f>
        <v>0</v>
      </c>
      <c r="N979" s="59">
        <f t="shared" si="104"/>
        <v>100000</v>
      </c>
      <c r="O979" s="59">
        <f t="shared" ref="O979:O1042" si="107">IFERROR(IF(ISNUMBER(N978),N978,$E$8)*IF(L979&gt;=$J$8,$E$12,$E$12)/IF(MOD(YEAR(L979),4),365,366)*IF(ISBLANK(L978),L979-$F$5,L979-L978),0)</f>
        <v>13.698630136986301</v>
      </c>
      <c r="P979" s="59">
        <f t="shared" si="105"/>
        <v>8.2191780821917817</v>
      </c>
    </row>
    <row r="980" spans="12:16" ht="15" hidden="1" customHeight="1">
      <c r="L980" s="58">
        <f t="shared" si="103"/>
        <v>47212</v>
      </c>
      <c r="M980" s="59">
        <f t="shared" si="106"/>
        <v>0</v>
      </c>
      <c r="N980" s="59">
        <f t="shared" si="104"/>
        <v>100000</v>
      </c>
      <c r="O980" s="59">
        <f t="shared" si="107"/>
        <v>13.698630136986301</v>
      </c>
      <c r="P980" s="59">
        <f t="shared" si="105"/>
        <v>8.2191780821917817</v>
      </c>
    </row>
    <row r="981" spans="12:16" ht="15" hidden="1" customHeight="1">
      <c r="L981" s="58">
        <f t="shared" si="103"/>
        <v>47213</v>
      </c>
      <c r="M981" s="59">
        <f t="shared" si="106"/>
        <v>0</v>
      </c>
      <c r="N981" s="59">
        <f t="shared" si="104"/>
        <v>100000</v>
      </c>
      <c r="O981" s="59">
        <f t="shared" si="107"/>
        <v>13.698630136986301</v>
      </c>
      <c r="P981" s="59">
        <f t="shared" si="105"/>
        <v>8.2191780821917817</v>
      </c>
    </row>
    <row r="982" spans="12:16" ht="15" hidden="1" customHeight="1">
      <c r="L982" s="58">
        <f t="shared" si="103"/>
        <v>47214</v>
      </c>
      <c r="M982" s="59">
        <f t="shared" si="106"/>
        <v>0</v>
      </c>
      <c r="N982" s="59">
        <f t="shared" si="104"/>
        <v>100000</v>
      </c>
      <c r="O982" s="59">
        <f t="shared" si="107"/>
        <v>13.698630136986301</v>
      </c>
      <c r="P982" s="59">
        <f t="shared" si="105"/>
        <v>8.2191780821917817</v>
      </c>
    </row>
    <row r="983" spans="12:16" ht="15" hidden="1" customHeight="1">
      <c r="L983" s="58">
        <f t="shared" si="103"/>
        <v>47215</v>
      </c>
      <c r="M983" s="59">
        <f t="shared" si="106"/>
        <v>0</v>
      </c>
      <c r="N983" s="59">
        <f t="shared" si="104"/>
        <v>100000</v>
      </c>
      <c r="O983" s="59">
        <f t="shared" si="107"/>
        <v>13.698630136986301</v>
      </c>
      <c r="P983" s="59">
        <f t="shared" si="105"/>
        <v>8.2191780821917817</v>
      </c>
    </row>
    <row r="984" spans="12:16" ht="15" hidden="1" customHeight="1">
      <c r="L984" s="58">
        <f t="shared" si="103"/>
        <v>47216</v>
      </c>
      <c r="M984" s="59">
        <f t="shared" si="106"/>
        <v>0</v>
      </c>
      <c r="N984" s="59">
        <f t="shared" si="104"/>
        <v>100000</v>
      </c>
      <c r="O984" s="59">
        <f t="shared" si="107"/>
        <v>13.698630136986301</v>
      </c>
      <c r="P984" s="59">
        <f t="shared" si="105"/>
        <v>8.2191780821917817</v>
      </c>
    </row>
    <row r="985" spans="12:16" ht="15" hidden="1" customHeight="1">
      <c r="L985" s="58">
        <f t="shared" si="103"/>
        <v>47217</v>
      </c>
      <c r="M985" s="59">
        <f t="shared" si="106"/>
        <v>0</v>
      </c>
      <c r="N985" s="59">
        <f t="shared" si="104"/>
        <v>100000</v>
      </c>
      <c r="O985" s="59">
        <f t="shared" si="107"/>
        <v>13.698630136986301</v>
      </c>
      <c r="P985" s="59">
        <f t="shared" si="105"/>
        <v>8.2191780821917817</v>
      </c>
    </row>
    <row r="986" spans="12:16" ht="15" hidden="1" customHeight="1">
      <c r="L986" s="58">
        <f t="shared" si="103"/>
        <v>47218</v>
      </c>
      <c r="M986" s="59">
        <f t="shared" si="106"/>
        <v>0</v>
      </c>
      <c r="N986" s="59">
        <f t="shared" si="104"/>
        <v>100000</v>
      </c>
      <c r="O986" s="59">
        <f t="shared" si="107"/>
        <v>13.698630136986301</v>
      </c>
      <c r="P986" s="59">
        <f t="shared" si="105"/>
        <v>8.2191780821917817</v>
      </c>
    </row>
    <row r="987" spans="12:16" ht="15" hidden="1" customHeight="1">
      <c r="L987" s="58">
        <f t="shared" si="103"/>
        <v>47219</v>
      </c>
      <c r="M987" s="59">
        <f t="shared" si="106"/>
        <v>0</v>
      </c>
      <c r="N987" s="59">
        <f t="shared" si="104"/>
        <v>100000</v>
      </c>
      <c r="O987" s="59">
        <f t="shared" si="107"/>
        <v>13.698630136986301</v>
      </c>
      <c r="P987" s="59">
        <f t="shared" si="105"/>
        <v>8.2191780821917817</v>
      </c>
    </row>
    <row r="988" spans="12:16" ht="15" hidden="1" customHeight="1">
      <c r="L988" s="58">
        <f t="shared" si="103"/>
        <v>47220</v>
      </c>
      <c r="M988" s="59">
        <f t="shared" si="106"/>
        <v>0</v>
      </c>
      <c r="N988" s="59">
        <f t="shared" si="104"/>
        <v>100000</v>
      </c>
      <c r="O988" s="59">
        <f t="shared" si="107"/>
        <v>13.698630136986301</v>
      </c>
      <c r="P988" s="59">
        <f t="shared" si="105"/>
        <v>8.2191780821917817</v>
      </c>
    </row>
    <row r="989" spans="12:16" ht="15" hidden="1" customHeight="1">
      <c r="L989" s="58">
        <f t="shared" si="103"/>
        <v>47221</v>
      </c>
      <c r="M989" s="59">
        <f t="shared" si="106"/>
        <v>0</v>
      </c>
      <c r="N989" s="59">
        <f t="shared" si="104"/>
        <v>100000</v>
      </c>
      <c r="O989" s="59">
        <f t="shared" si="107"/>
        <v>13.698630136986301</v>
      </c>
      <c r="P989" s="59">
        <f t="shared" si="105"/>
        <v>8.2191780821917817</v>
      </c>
    </row>
    <row r="990" spans="12:16" ht="15" hidden="1" customHeight="1">
      <c r="L990" s="58">
        <f t="shared" si="103"/>
        <v>47222</v>
      </c>
      <c r="M990" s="59">
        <f t="shared" si="106"/>
        <v>0</v>
      </c>
      <c r="N990" s="59">
        <f t="shared" si="104"/>
        <v>100000</v>
      </c>
      <c r="O990" s="59">
        <f t="shared" si="107"/>
        <v>13.698630136986301</v>
      </c>
      <c r="P990" s="59">
        <f t="shared" si="105"/>
        <v>8.2191780821917817</v>
      </c>
    </row>
    <row r="991" spans="12:16" ht="15" hidden="1" customHeight="1">
      <c r="L991" s="58">
        <f t="shared" si="103"/>
        <v>47223</v>
      </c>
      <c r="M991" s="59">
        <f t="shared" si="106"/>
        <v>0</v>
      </c>
      <c r="N991" s="59">
        <f t="shared" si="104"/>
        <v>100000</v>
      </c>
      <c r="O991" s="59">
        <f t="shared" si="107"/>
        <v>13.698630136986301</v>
      </c>
      <c r="P991" s="59">
        <f t="shared" si="105"/>
        <v>8.2191780821917817</v>
      </c>
    </row>
    <row r="992" spans="12:16" ht="15" hidden="1" customHeight="1">
      <c r="L992" s="58">
        <f t="shared" si="103"/>
        <v>47224</v>
      </c>
      <c r="M992" s="59">
        <f t="shared" si="106"/>
        <v>0</v>
      </c>
      <c r="N992" s="59">
        <f t="shared" si="104"/>
        <v>100000</v>
      </c>
      <c r="O992" s="59">
        <f t="shared" si="107"/>
        <v>13.698630136986301</v>
      </c>
      <c r="P992" s="59">
        <f t="shared" si="105"/>
        <v>8.2191780821917817</v>
      </c>
    </row>
    <row r="993" spans="12:16" ht="15" hidden="1" customHeight="1">
      <c r="L993" s="58">
        <f t="shared" si="103"/>
        <v>47225</v>
      </c>
      <c r="M993" s="59">
        <f t="shared" si="106"/>
        <v>0</v>
      </c>
      <c r="N993" s="59">
        <f t="shared" si="104"/>
        <v>100000</v>
      </c>
      <c r="O993" s="59">
        <f t="shared" si="107"/>
        <v>13.698630136986301</v>
      </c>
      <c r="P993" s="59">
        <f t="shared" si="105"/>
        <v>8.2191780821917817</v>
      </c>
    </row>
    <row r="994" spans="12:16" ht="15" hidden="1" customHeight="1">
      <c r="L994" s="58">
        <f t="shared" ref="L994:L1057" si="108">IFERROR(IF(MAX(L993+1,$F$5+1)&gt;Дата_погашения_Займа,"-",MAX(L993+1,$F$5+1)),"-")</f>
        <v>47226</v>
      </c>
      <c r="M994" s="59">
        <f t="shared" si="106"/>
        <v>0</v>
      </c>
      <c r="N994" s="59">
        <f t="shared" si="104"/>
        <v>100000</v>
      </c>
      <c r="O994" s="59">
        <f t="shared" si="107"/>
        <v>13.698630136986301</v>
      </c>
      <c r="P994" s="59">
        <f t="shared" si="105"/>
        <v>8.2191780821917817</v>
      </c>
    </row>
    <row r="995" spans="12:16" ht="15" hidden="1" customHeight="1">
      <c r="L995" s="58">
        <f t="shared" si="108"/>
        <v>47227</v>
      </c>
      <c r="M995" s="59">
        <f t="shared" si="106"/>
        <v>0</v>
      </c>
      <c r="N995" s="59">
        <f t="shared" si="104"/>
        <v>100000</v>
      </c>
      <c r="O995" s="59">
        <f t="shared" si="107"/>
        <v>13.698630136986301</v>
      </c>
      <c r="P995" s="59">
        <f t="shared" si="105"/>
        <v>8.2191780821917817</v>
      </c>
    </row>
    <row r="996" spans="12:16" ht="15" hidden="1" customHeight="1">
      <c r="L996" s="58">
        <f t="shared" si="108"/>
        <v>47228</v>
      </c>
      <c r="M996" s="59">
        <f t="shared" si="106"/>
        <v>0</v>
      </c>
      <c r="N996" s="59">
        <f t="shared" si="104"/>
        <v>100000</v>
      </c>
      <c r="O996" s="59">
        <f t="shared" si="107"/>
        <v>13.698630136986301</v>
      </c>
      <c r="P996" s="59">
        <f t="shared" si="105"/>
        <v>8.2191780821917817</v>
      </c>
    </row>
    <row r="997" spans="12:16" ht="15" hidden="1" customHeight="1">
      <c r="L997" s="58">
        <f t="shared" si="108"/>
        <v>47229</v>
      </c>
      <c r="M997" s="59">
        <f t="shared" si="106"/>
        <v>0</v>
      </c>
      <c r="N997" s="59">
        <f t="shared" si="104"/>
        <v>100000</v>
      </c>
      <c r="O997" s="59">
        <f t="shared" si="107"/>
        <v>13.698630136986301</v>
      </c>
      <c r="P997" s="59">
        <f t="shared" si="105"/>
        <v>8.2191780821917817</v>
      </c>
    </row>
    <row r="998" spans="12:16" ht="15" hidden="1" customHeight="1">
      <c r="L998" s="58">
        <f t="shared" si="108"/>
        <v>47230</v>
      </c>
      <c r="M998" s="59">
        <f t="shared" si="106"/>
        <v>0</v>
      </c>
      <c r="N998" s="59">
        <f t="shared" si="104"/>
        <v>100000</v>
      </c>
      <c r="O998" s="59">
        <f t="shared" si="107"/>
        <v>13.698630136986301</v>
      </c>
      <c r="P998" s="59">
        <f t="shared" si="105"/>
        <v>8.2191780821917817</v>
      </c>
    </row>
    <row r="999" spans="12:16" ht="15" hidden="1" customHeight="1">
      <c r="L999" s="58">
        <f t="shared" si="108"/>
        <v>47231</v>
      </c>
      <c r="M999" s="59">
        <f t="shared" si="106"/>
        <v>0</v>
      </c>
      <c r="N999" s="59">
        <f t="shared" si="104"/>
        <v>100000</v>
      </c>
      <c r="O999" s="59">
        <f t="shared" si="107"/>
        <v>13.698630136986301</v>
      </c>
      <c r="P999" s="59">
        <f t="shared" si="105"/>
        <v>8.2191780821917817</v>
      </c>
    </row>
    <row r="1000" spans="12:16" ht="15" hidden="1" customHeight="1">
      <c r="L1000" s="58">
        <f t="shared" si="108"/>
        <v>47232</v>
      </c>
      <c r="M1000" s="59">
        <f t="shared" si="106"/>
        <v>0</v>
      </c>
      <c r="N1000" s="59">
        <f t="shared" si="104"/>
        <v>100000</v>
      </c>
      <c r="O1000" s="59">
        <f t="shared" si="107"/>
        <v>13.698630136986301</v>
      </c>
      <c r="P1000" s="59">
        <f t="shared" si="105"/>
        <v>8.2191780821917817</v>
      </c>
    </row>
    <row r="1001" spans="12:16" ht="15" hidden="1" customHeight="1">
      <c r="L1001" s="58">
        <f t="shared" si="108"/>
        <v>47233</v>
      </c>
      <c r="M1001" s="59">
        <f t="shared" si="106"/>
        <v>0</v>
      </c>
      <c r="N1001" s="59">
        <f t="shared" si="104"/>
        <v>100000</v>
      </c>
      <c r="O1001" s="59">
        <f t="shared" si="107"/>
        <v>13.698630136986301</v>
      </c>
      <c r="P1001" s="59">
        <f t="shared" si="105"/>
        <v>8.2191780821917817</v>
      </c>
    </row>
    <row r="1002" spans="12:16" ht="15" hidden="1" customHeight="1">
      <c r="L1002" s="58">
        <f t="shared" si="108"/>
        <v>47234</v>
      </c>
      <c r="M1002" s="59">
        <f t="shared" si="106"/>
        <v>0</v>
      </c>
      <c r="N1002" s="59">
        <f t="shared" si="104"/>
        <v>100000</v>
      </c>
      <c r="O1002" s="59">
        <f t="shared" si="107"/>
        <v>13.698630136986301</v>
      </c>
      <c r="P1002" s="59">
        <f t="shared" si="105"/>
        <v>8.2191780821917817</v>
      </c>
    </row>
    <row r="1003" spans="12:16" ht="15" hidden="1" customHeight="1">
      <c r="L1003" s="58">
        <f t="shared" si="108"/>
        <v>47235</v>
      </c>
      <c r="M1003" s="59">
        <f t="shared" si="106"/>
        <v>0</v>
      </c>
      <c r="N1003" s="59">
        <f t="shared" si="104"/>
        <v>100000</v>
      </c>
      <c r="O1003" s="59">
        <f t="shared" si="107"/>
        <v>13.698630136986301</v>
      </c>
      <c r="P1003" s="59">
        <f t="shared" si="105"/>
        <v>8.2191780821917817</v>
      </c>
    </row>
    <row r="1004" spans="12:16" ht="15" hidden="1" customHeight="1">
      <c r="L1004" s="58">
        <f t="shared" si="108"/>
        <v>47236</v>
      </c>
      <c r="M1004" s="59">
        <f t="shared" si="106"/>
        <v>0</v>
      </c>
      <c r="N1004" s="59">
        <f t="shared" si="104"/>
        <v>100000</v>
      </c>
      <c r="O1004" s="59">
        <f t="shared" si="107"/>
        <v>13.698630136986301</v>
      </c>
      <c r="P1004" s="59">
        <f t="shared" si="105"/>
        <v>8.2191780821917817</v>
      </c>
    </row>
    <row r="1005" spans="12:16" ht="15" hidden="1" customHeight="1">
      <c r="L1005" s="58">
        <f t="shared" si="108"/>
        <v>47237</v>
      </c>
      <c r="M1005" s="59">
        <f t="shared" si="106"/>
        <v>0</v>
      </c>
      <c r="N1005" s="59">
        <f t="shared" si="104"/>
        <v>100000</v>
      </c>
      <c r="O1005" s="59">
        <f t="shared" si="107"/>
        <v>13.698630136986301</v>
      </c>
      <c r="P1005" s="59">
        <f t="shared" si="105"/>
        <v>8.2191780821917817</v>
      </c>
    </row>
    <row r="1006" spans="12:16" ht="15" hidden="1" customHeight="1">
      <c r="L1006" s="58">
        <f t="shared" si="108"/>
        <v>47238</v>
      </c>
      <c r="M1006" s="59">
        <f t="shared" si="106"/>
        <v>0</v>
      </c>
      <c r="N1006" s="59">
        <f t="shared" si="104"/>
        <v>100000</v>
      </c>
      <c r="O1006" s="59">
        <f t="shared" si="107"/>
        <v>13.698630136986301</v>
      </c>
      <c r="P1006" s="59">
        <f t="shared" si="105"/>
        <v>8.2191780821917817</v>
      </c>
    </row>
    <row r="1007" spans="12:16" ht="15" hidden="1" customHeight="1">
      <c r="L1007" s="58">
        <f t="shared" si="108"/>
        <v>47239</v>
      </c>
      <c r="M1007" s="59">
        <f t="shared" si="106"/>
        <v>0</v>
      </c>
      <c r="N1007" s="59">
        <f t="shared" si="104"/>
        <v>100000</v>
      </c>
      <c r="O1007" s="59">
        <f t="shared" si="107"/>
        <v>13.698630136986301</v>
      </c>
      <c r="P1007" s="59">
        <f t="shared" si="105"/>
        <v>8.2191780821917817</v>
      </c>
    </row>
    <row r="1008" spans="12:16" ht="15" hidden="1" customHeight="1">
      <c r="L1008" s="58">
        <f t="shared" si="108"/>
        <v>47240</v>
      </c>
      <c r="M1008" s="59">
        <f t="shared" si="106"/>
        <v>0</v>
      </c>
      <c r="N1008" s="59">
        <f t="shared" ref="N1008:N1071" si="109">IF(ISNUMBER(N1007),N1007-M1008,$E$8)</f>
        <v>100000</v>
      </c>
      <c r="O1008" s="59">
        <f t="shared" si="107"/>
        <v>13.698630136986301</v>
      </c>
      <c r="P1008" s="59">
        <f t="shared" ref="P1008:P1071" si="110">IFERROR(IF(ISNUMBER(N1007),N1007,$E$8)*3%/IF(MOD(YEAR(L1008),4),365,366)*IF(ISBLANK(L1007),(L1008-$F$5),L1008-L1007),0)</f>
        <v>8.2191780821917817</v>
      </c>
    </row>
    <row r="1009" spans="12:16" ht="15" hidden="1" customHeight="1">
      <c r="L1009" s="58">
        <f t="shared" si="108"/>
        <v>47241</v>
      </c>
      <c r="M1009" s="59">
        <f t="shared" si="106"/>
        <v>0</v>
      </c>
      <c r="N1009" s="59">
        <f t="shared" si="109"/>
        <v>100000</v>
      </c>
      <c r="O1009" s="59">
        <f t="shared" si="107"/>
        <v>13.698630136986301</v>
      </c>
      <c r="P1009" s="59">
        <f t="shared" si="110"/>
        <v>8.2191780821917817</v>
      </c>
    </row>
    <row r="1010" spans="12:16" ht="15" hidden="1" customHeight="1">
      <c r="L1010" s="58">
        <f t="shared" si="108"/>
        <v>47242</v>
      </c>
      <c r="M1010" s="59">
        <f t="shared" si="106"/>
        <v>0</v>
      </c>
      <c r="N1010" s="59">
        <f t="shared" si="109"/>
        <v>100000</v>
      </c>
      <c r="O1010" s="59">
        <f t="shared" si="107"/>
        <v>13.698630136986301</v>
      </c>
      <c r="P1010" s="59">
        <f t="shared" si="110"/>
        <v>8.2191780821917817</v>
      </c>
    </row>
    <row r="1011" spans="12:16" ht="15" hidden="1" customHeight="1">
      <c r="L1011" s="58">
        <f t="shared" si="108"/>
        <v>47243</v>
      </c>
      <c r="M1011" s="59">
        <f t="shared" si="106"/>
        <v>0</v>
      </c>
      <c r="N1011" s="59">
        <f t="shared" si="109"/>
        <v>100000</v>
      </c>
      <c r="O1011" s="59">
        <f t="shared" si="107"/>
        <v>13.698630136986301</v>
      </c>
      <c r="P1011" s="59">
        <f t="shared" si="110"/>
        <v>8.2191780821917817</v>
      </c>
    </row>
    <row r="1012" spans="12:16" ht="15" hidden="1" customHeight="1">
      <c r="L1012" s="58">
        <f t="shared" si="108"/>
        <v>47244</v>
      </c>
      <c r="M1012" s="59">
        <f t="shared" si="106"/>
        <v>0</v>
      </c>
      <c r="N1012" s="59">
        <f t="shared" si="109"/>
        <v>100000</v>
      </c>
      <c r="O1012" s="59">
        <f t="shared" si="107"/>
        <v>13.698630136986301</v>
      </c>
      <c r="P1012" s="59">
        <f t="shared" si="110"/>
        <v>8.2191780821917817</v>
      </c>
    </row>
    <row r="1013" spans="12:16" ht="15" hidden="1" customHeight="1">
      <c r="L1013" s="58">
        <f t="shared" si="108"/>
        <v>47245</v>
      </c>
      <c r="M1013" s="59">
        <f t="shared" si="106"/>
        <v>0</v>
      </c>
      <c r="N1013" s="59">
        <f t="shared" si="109"/>
        <v>100000</v>
      </c>
      <c r="O1013" s="59">
        <f t="shared" si="107"/>
        <v>13.698630136986301</v>
      </c>
      <c r="P1013" s="59">
        <f t="shared" si="110"/>
        <v>8.2191780821917817</v>
      </c>
    </row>
    <row r="1014" spans="12:16" ht="15" hidden="1" customHeight="1">
      <c r="L1014" s="58">
        <f t="shared" si="108"/>
        <v>47246</v>
      </c>
      <c r="M1014" s="59">
        <f t="shared" si="106"/>
        <v>0</v>
      </c>
      <c r="N1014" s="59">
        <f t="shared" si="109"/>
        <v>100000</v>
      </c>
      <c r="O1014" s="59">
        <f t="shared" si="107"/>
        <v>13.698630136986301</v>
      </c>
      <c r="P1014" s="59">
        <f t="shared" si="110"/>
        <v>8.2191780821917817</v>
      </c>
    </row>
    <row r="1015" spans="12:16" ht="15" hidden="1" customHeight="1">
      <c r="L1015" s="58">
        <f t="shared" si="108"/>
        <v>47247</v>
      </c>
      <c r="M1015" s="59">
        <f t="shared" si="106"/>
        <v>0</v>
      </c>
      <c r="N1015" s="59">
        <f t="shared" si="109"/>
        <v>100000</v>
      </c>
      <c r="O1015" s="59">
        <f t="shared" si="107"/>
        <v>13.698630136986301</v>
      </c>
      <c r="P1015" s="59">
        <f t="shared" si="110"/>
        <v>8.2191780821917817</v>
      </c>
    </row>
    <row r="1016" spans="12:16" ht="15" hidden="1" customHeight="1">
      <c r="L1016" s="58">
        <f t="shared" si="108"/>
        <v>47248</v>
      </c>
      <c r="M1016" s="59">
        <f t="shared" si="106"/>
        <v>0</v>
      </c>
      <c r="N1016" s="59">
        <f t="shared" si="109"/>
        <v>100000</v>
      </c>
      <c r="O1016" s="59">
        <f t="shared" si="107"/>
        <v>13.698630136986301</v>
      </c>
      <c r="P1016" s="59">
        <f t="shared" si="110"/>
        <v>8.2191780821917817</v>
      </c>
    </row>
    <row r="1017" spans="12:16" ht="15" hidden="1" customHeight="1">
      <c r="L1017" s="58">
        <f t="shared" si="108"/>
        <v>47249</v>
      </c>
      <c r="M1017" s="59">
        <f t="shared" si="106"/>
        <v>0</v>
      </c>
      <c r="N1017" s="59">
        <f t="shared" si="109"/>
        <v>100000</v>
      </c>
      <c r="O1017" s="59">
        <f t="shared" si="107"/>
        <v>13.698630136986301</v>
      </c>
      <c r="P1017" s="59">
        <f t="shared" si="110"/>
        <v>8.2191780821917817</v>
      </c>
    </row>
    <row r="1018" spans="12:16" ht="15" hidden="1" customHeight="1">
      <c r="L1018" s="58">
        <f t="shared" si="108"/>
        <v>47250</v>
      </c>
      <c r="M1018" s="59">
        <f t="shared" si="106"/>
        <v>0</v>
      </c>
      <c r="N1018" s="59">
        <f t="shared" si="109"/>
        <v>100000</v>
      </c>
      <c r="O1018" s="59">
        <f t="shared" si="107"/>
        <v>13.698630136986301</v>
      </c>
      <c r="P1018" s="59">
        <f t="shared" si="110"/>
        <v>8.2191780821917817</v>
      </c>
    </row>
    <row r="1019" spans="12:16" ht="15" hidden="1" customHeight="1">
      <c r="L1019" s="58">
        <f t="shared" si="108"/>
        <v>47251</v>
      </c>
      <c r="M1019" s="59">
        <f t="shared" si="106"/>
        <v>0</v>
      </c>
      <c r="N1019" s="59">
        <f t="shared" si="109"/>
        <v>100000</v>
      </c>
      <c r="O1019" s="59">
        <f t="shared" si="107"/>
        <v>13.698630136986301</v>
      </c>
      <c r="P1019" s="59">
        <f t="shared" si="110"/>
        <v>8.2191780821917817</v>
      </c>
    </row>
    <row r="1020" spans="12:16" ht="15" hidden="1" customHeight="1">
      <c r="L1020" s="58">
        <f t="shared" si="108"/>
        <v>47252</v>
      </c>
      <c r="M1020" s="59">
        <f t="shared" si="106"/>
        <v>0</v>
      </c>
      <c r="N1020" s="59">
        <f t="shared" si="109"/>
        <v>100000</v>
      </c>
      <c r="O1020" s="59">
        <f t="shared" si="107"/>
        <v>13.698630136986301</v>
      </c>
      <c r="P1020" s="59">
        <f t="shared" si="110"/>
        <v>8.2191780821917817</v>
      </c>
    </row>
    <row r="1021" spans="12:16" ht="15" hidden="1" customHeight="1">
      <c r="L1021" s="58">
        <f t="shared" si="108"/>
        <v>47253</v>
      </c>
      <c r="M1021" s="59">
        <f t="shared" si="106"/>
        <v>0</v>
      </c>
      <c r="N1021" s="59">
        <f t="shared" si="109"/>
        <v>100000</v>
      </c>
      <c r="O1021" s="59">
        <f t="shared" si="107"/>
        <v>13.698630136986301</v>
      </c>
      <c r="P1021" s="59">
        <f t="shared" si="110"/>
        <v>8.2191780821917817</v>
      </c>
    </row>
    <row r="1022" spans="12:16" ht="15" hidden="1" customHeight="1">
      <c r="L1022" s="58">
        <f t="shared" si="108"/>
        <v>47254</v>
      </c>
      <c r="M1022" s="59">
        <f t="shared" si="106"/>
        <v>0</v>
      </c>
      <c r="N1022" s="59">
        <f t="shared" si="109"/>
        <v>100000</v>
      </c>
      <c r="O1022" s="59">
        <f t="shared" si="107"/>
        <v>13.698630136986301</v>
      </c>
      <c r="P1022" s="59">
        <f t="shared" si="110"/>
        <v>8.2191780821917817</v>
      </c>
    </row>
    <row r="1023" spans="12:16" ht="15" hidden="1" customHeight="1">
      <c r="L1023" s="58">
        <f t="shared" si="108"/>
        <v>47255</v>
      </c>
      <c r="M1023" s="59">
        <f t="shared" si="106"/>
        <v>0</v>
      </c>
      <c r="N1023" s="59">
        <f t="shared" si="109"/>
        <v>100000</v>
      </c>
      <c r="O1023" s="59">
        <f t="shared" si="107"/>
        <v>13.698630136986301</v>
      </c>
      <c r="P1023" s="59">
        <f t="shared" si="110"/>
        <v>8.2191780821917817</v>
      </c>
    </row>
    <row r="1024" spans="12:16" ht="15" hidden="1" customHeight="1">
      <c r="L1024" s="58">
        <f t="shared" si="108"/>
        <v>47256</v>
      </c>
      <c r="M1024" s="59">
        <f t="shared" si="106"/>
        <v>0</v>
      </c>
      <c r="N1024" s="59">
        <f t="shared" si="109"/>
        <v>100000</v>
      </c>
      <c r="O1024" s="59">
        <f t="shared" si="107"/>
        <v>13.698630136986301</v>
      </c>
      <c r="P1024" s="59">
        <f t="shared" si="110"/>
        <v>8.2191780821917817</v>
      </c>
    </row>
    <row r="1025" spans="12:16" ht="15" hidden="1" customHeight="1">
      <c r="L1025" s="58">
        <f t="shared" si="108"/>
        <v>47257</v>
      </c>
      <c r="M1025" s="59">
        <f t="shared" si="106"/>
        <v>0</v>
      </c>
      <c r="N1025" s="59">
        <f t="shared" si="109"/>
        <v>100000</v>
      </c>
      <c r="O1025" s="59">
        <f t="shared" si="107"/>
        <v>13.698630136986301</v>
      </c>
      <c r="P1025" s="59">
        <f t="shared" si="110"/>
        <v>8.2191780821917817</v>
      </c>
    </row>
    <row r="1026" spans="12:16" ht="15" hidden="1" customHeight="1">
      <c r="L1026" s="58">
        <f t="shared" si="108"/>
        <v>47258</v>
      </c>
      <c r="M1026" s="59">
        <f t="shared" si="106"/>
        <v>0</v>
      </c>
      <c r="N1026" s="59">
        <f t="shared" si="109"/>
        <v>100000</v>
      </c>
      <c r="O1026" s="59">
        <f t="shared" si="107"/>
        <v>13.698630136986301</v>
      </c>
      <c r="P1026" s="59">
        <f t="shared" si="110"/>
        <v>8.2191780821917817</v>
      </c>
    </row>
    <row r="1027" spans="12:16" ht="15" hidden="1" customHeight="1">
      <c r="L1027" s="58">
        <f t="shared" si="108"/>
        <v>47259</v>
      </c>
      <c r="M1027" s="59">
        <f t="shared" si="106"/>
        <v>0</v>
      </c>
      <c r="N1027" s="59">
        <f t="shared" si="109"/>
        <v>100000</v>
      </c>
      <c r="O1027" s="59">
        <f t="shared" si="107"/>
        <v>13.698630136986301</v>
      </c>
      <c r="P1027" s="59">
        <f t="shared" si="110"/>
        <v>8.2191780821917817</v>
      </c>
    </row>
    <row r="1028" spans="12:16" ht="15" hidden="1" customHeight="1">
      <c r="L1028" s="58">
        <f t="shared" si="108"/>
        <v>47260</v>
      </c>
      <c r="M1028" s="59">
        <f t="shared" si="106"/>
        <v>0</v>
      </c>
      <c r="N1028" s="59">
        <f t="shared" si="109"/>
        <v>100000</v>
      </c>
      <c r="O1028" s="59">
        <f t="shared" si="107"/>
        <v>13.698630136986301</v>
      </c>
      <c r="P1028" s="59">
        <f t="shared" si="110"/>
        <v>8.2191780821917817</v>
      </c>
    </row>
    <row r="1029" spans="12:16" ht="15" hidden="1" customHeight="1">
      <c r="L1029" s="58">
        <f t="shared" si="108"/>
        <v>47261</v>
      </c>
      <c r="M1029" s="59">
        <f t="shared" si="106"/>
        <v>0</v>
      </c>
      <c r="N1029" s="59">
        <f t="shared" si="109"/>
        <v>100000</v>
      </c>
      <c r="O1029" s="59">
        <f t="shared" si="107"/>
        <v>13.698630136986301</v>
      </c>
      <c r="P1029" s="59">
        <f t="shared" si="110"/>
        <v>8.2191780821917817</v>
      </c>
    </row>
    <row r="1030" spans="12:16" ht="15" hidden="1" customHeight="1">
      <c r="L1030" s="58">
        <f t="shared" si="108"/>
        <v>47262</v>
      </c>
      <c r="M1030" s="59">
        <f t="shared" si="106"/>
        <v>0</v>
      </c>
      <c r="N1030" s="59">
        <f t="shared" si="109"/>
        <v>100000</v>
      </c>
      <c r="O1030" s="59">
        <f t="shared" si="107"/>
        <v>13.698630136986301</v>
      </c>
      <c r="P1030" s="59">
        <f t="shared" si="110"/>
        <v>8.2191780821917817</v>
      </c>
    </row>
    <row r="1031" spans="12:16" ht="15" hidden="1" customHeight="1">
      <c r="L1031" s="58">
        <f t="shared" si="108"/>
        <v>47263</v>
      </c>
      <c r="M1031" s="59">
        <f t="shared" si="106"/>
        <v>0</v>
      </c>
      <c r="N1031" s="59">
        <f t="shared" si="109"/>
        <v>100000</v>
      </c>
      <c r="O1031" s="59">
        <f t="shared" si="107"/>
        <v>13.698630136986301</v>
      </c>
      <c r="P1031" s="59">
        <f t="shared" si="110"/>
        <v>8.2191780821917817</v>
      </c>
    </row>
    <row r="1032" spans="12:16" ht="15" hidden="1" customHeight="1">
      <c r="L1032" s="58">
        <f t="shared" si="108"/>
        <v>47264</v>
      </c>
      <c r="M1032" s="59">
        <f t="shared" si="106"/>
        <v>0</v>
      </c>
      <c r="N1032" s="59">
        <f t="shared" si="109"/>
        <v>100000</v>
      </c>
      <c r="O1032" s="59">
        <f t="shared" si="107"/>
        <v>13.698630136986301</v>
      </c>
      <c r="P1032" s="59">
        <f t="shared" si="110"/>
        <v>8.2191780821917817</v>
      </c>
    </row>
    <row r="1033" spans="12:16" ht="15" hidden="1" customHeight="1">
      <c r="L1033" s="58">
        <f t="shared" si="108"/>
        <v>47265</v>
      </c>
      <c r="M1033" s="59">
        <f t="shared" si="106"/>
        <v>0</v>
      </c>
      <c r="N1033" s="59">
        <f t="shared" si="109"/>
        <v>100000</v>
      </c>
      <c r="O1033" s="59">
        <f t="shared" si="107"/>
        <v>13.698630136986301</v>
      </c>
      <c r="P1033" s="59">
        <f t="shared" si="110"/>
        <v>8.2191780821917817</v>
      </c>
    </row>
    <row r="1034" spans="12:16" ht="15" hidden="1" customHeight="1">
      <c r="L1034" s="58">
        <f t="shared" si="108"/>
        <v>47266</v>
      </c>
      <c r="M1034" s="59">
        <f t="shared" si="106"/>
        <v>0</v>
      </c>
      <c r="N1034" s="59">
        <f t="shared" si="109"/>
        <v>100000</v>
      </c>
      <c r="O1034" s="59">
        <f t="shared" si="107"/>
        <v>13.698630136986301</v>
      </c>
      <c r="P1034" s="59">
        <f t="shared" si="110"/>
        <v>8.2191780821917817</v>
      </c>
    </row>
    <row r="1035" spans="12:16" ht="15" hidden="1" customHeight="1">
      <c r="L1035" s="58">
        <f t="shared" si="108"/>
        <v>47267</v>
      </c>
      <c r="M1035" s="59">
        <f t="shared" si="106"/>
        <v>0</v>
      </c>
      <c r="N1035" s="59">
        <f t="shared" si="109"/>
        <v>100000</v>
      </c>
      <c r="O1035" s="59">
        <f t="shared" si="107"/>
        <v>13.698630136986301</v>
      </c>
      <c r="P1035" s="59">
        <f t="shared" si="110"/>
        <v>8.2191780821917817</v>
      </c>
    </row>
    <row r="1036" spans="12:16" ht="15" hidden="1" customHeight="1">
      <c r="L1036" s="58">
        <f t="shared" si="108"/>
        <v>47268</v>
      </c>
      <c r="M1036" s="59">
        <f t="shared" si="106"/>
        <v>0</v>
      </c>
      <c r="N1036" s="59">
        <f t="shared" si="109"/>
        <v>100000</v>
      </c>
      <c r="O1036" s="59">
        <f t="shared" si="107"/>
        <v>13.698630136986301</v>
      </c>
      <c r="P1036" s="59">
        <f t="shared" si="110"/>
        <v>8.2191780821917817</v>
      </c>
    </row>
    <row r="1037" spans="12:16" ht="15" hidden="1" customHeight="1">
      <c r="L1037" s="58">
        <f t="shared" si="108"/>
        <v>47269</v>
      </c>
      <c r="M1037" s="59">
        <f t="shared" si="106"/>
        <v>0</v>
      </c>
      <c r="N1037" s="59">
        <f t="shared" si="109"/>
        <v>100000</v>
      </c>
      <c r="O1037" s="59">
        <f t="shared" si="107"/>
        <v>13.698630136986301</v>
      </c>
      <c r="P1037" s="59">
        <f t="shared" si="110"/>
        <v>8.2191780821917817</v>
      </c>
    </row>
    <row r="1038" spans="12:16" ht="15" hidden="1" customHeight="1">
      <c r="L1038" s="58">
        <f t="shared" si="108"/>
        <v>47270</v>
      </c>
      <c r="M1038" s="59">
        <f t="shared" si="106"/>
        <v>0</v>
      </c>
      <c r="N1038" s="59">
        <f t="shared" si="109"/>
        <v>100000</v>
      </c>
      <c r="O1038" s="59">
        <f t="shared" si="107"/>
        <v>13.698630136986301</v>
      </c>
      <c r="P1038" s="59">
        <f t="shared" si="110"/>
        <v>8.2191780821917817</v>
      </c>
    </row>
    <row r="1039" spans="12:16" ht="15" hidden="1" customHeight="1">
      <c r="L1039" s="58">
        <f t="shared" si="108"/>
        <v>47271</v>
      </c>
      <c r="M1039" s="59">
        <f t="shared" si="106"/>
        <v>0</v>
      </c>
      <c r="N1039" s="59">
        <f t="shared" si="109"/>
        <v>100000</v>
      </c>
      <c r="O1039" s="59">
        <f t="shared" si="107"/>
        <v>13.698630136986301</v>
      </c>
      <c r="P1039" s="59">
        <f t="shared" si="110"/>
        <v>8.2191780821917817</v>
      </c>
    </row>
    <row r="1040" spans="12:16" ht="15" hidden="1" customHeight="1">
      <c r="L1040" s="58">
        <f t="shared" si="108"/>
        <v>47272</v>
      </c>
      <c r="M1040" s="59">
        <f t="shared" si="106"/>
        <v>0</v>
      </c>
      <c r="N1040" s="59">
        <f t="shared" si="109"/>
        <v>100000</v>
      </c>
      <c r="O1040" s="59">
        <f t="shared" si="107"/>
        <v>13.698630136986301</v>
      </c>
      <c r="P1040" s="59">
        <f t="shared" si="110"/>
        <v>8.2191780821917817</v>
      </c>
    </row>
    <row r="1041" spans="12:16" ht="15" hidden="1" customHeight="1">
      <c r="L1041" s="58">
        <f t="shared" si="108"/>
        <v>47273</v>
      </c>
      <c r="M1041" s="59">
        <f t="shared" si="106"/>
        <v>0</v>
      </c>
      <c r="N1041" s="59">
        <f t="shared" si="109"/>
        <v>100000</v>
      </c>
      <c r="O1041" s="59">
        <f t="shared" si="107"/>
        <v>13.698630136986301</v>
      </c>
      <c r="P1041" s="59">
        <f t="shared" si="110"/>
        <v>8.2191780821917817</v>
      </c>
    </row>
    <row r="1042" spans="12:16" ht="15" hidden="1" customHeight="1">
      <c r="L1042" s="58">
        <f t="shared" si="108"/>
        <v>47274</v>
      </c>
      <c r="M1042" s="59">
        <f t="shared" si="106"/>
        <v>0</v>
      </c>
      <c r="N1042" s="59">
        <f t="shared" si="109"/>
        <v>100000</v>
      </c>
      <c r="O1042" s="59">
        <f t="shared" si="107"/>
        <v>13.698630136986301</v>
      </c>
      <c r="P1042" s="59">
        <f t="shared" si="110"/>
        <v>8.2191780821917817</v>
      </c>
    </row>
    <row r="1043" spans="12:16" ht="15" hidden="1" customHeight="1">
      <c r="L1043" s="58">
        <f t="shared" si="108"/>
        <v>47275</v>
      </c>
      <c r="M1043" s="59">
        <f t="shared" ref="M1043:M1106" si="111">IFERROR(VLOOKUP(L1043,$B$19:$E$80,4,FALSE),0)</f>
        <v>0</v>
      </c>
      <c r="N1043" s="59">
        <f t="shared" si="109"/>
        <v>100000</v>
      </c>
      <c r="O1043" s="59">
        <f t="shared" ref="O1043:O1106" si="112">IFERROR(IF(ISNUMBER(N1042),N1042,$E$8)*IF(L1043&gt;=$J$8,$E$12,$E$12)/IF(MOD(YEAR(L1043),4),365,366)*IF(ISBLANK(L1042),L1043-$F$5,L1043-L1042),0)</f>
        <v>13.698630136986301</v>
      </c>
      <c r="P1043" s="59">
        <f t="shared" si="110"/>
        <v>8.2191780821917817</v>
      </c>
    </row>
    <row r="1044" spans="12:16" ht="15" hidden="1" customHeight="1">
      <c r="L1044" s="58">
        <f t="shared" si="108"/>
        <v>47276</v>
      </c>
      <c r="M1044" s="59">
        <f t="shared" si="111"/>
        <v>0</v>
      </c>
      <c r="N1044" s="59">
        <f t="shared" si="109"/>
        <v>100000</v>
      </c>
      <c r="O1044" s="59">
        <f t="shared" si="112"/>
        <v>13.698630136986301</v>
      </c>
      <c r="P1044" s="59">
        <f t="shared" si="110"/>
        <v>8.2191780821917817</v>
      </c>
    </row>
    <row r="1045" spans="12:16" ht="15" hidden="1" customHeight="1">
      <c r="L1045" s="58">
        <f t="shared" si="108"/>
        <v>47277</v>
      </c>
      <c r="M1045" s="59">
        <f t="shared" si="111"/>
        <v>0</v>
      </c>
      <c r="N1045" s="59">
        <f t="shared" si="109"/>
        <v>100000</v>
      </c>
      <c r="O1045" s="59">
        <f t="shared" si="112"/>
        <v>13.698630136986301</v>
      </c>
      <c r="P1045" s="59">
        <f t="shared" si="110"/>
        <v>8.2191780821917817</v>
      </c>
    </row>
    <row r="1046" spans="12:16" ht="15" hidden="1" customHeight="1">
      <c r="L1046" s="58">
        <f t="shared" si="108"/>
        <v>47278</v>
      </c>
      <c r="M1046" s="59">
        <f t="shared" si="111"/>
        <v>0</v>
      </c>
      <c r="N1046" s="59">
        <f t="shared" si="109"/>
        <v>100000</v>
      </c>
      <c r="O1046" s="59">
        <f t="shared" si="112"/>
        <v>13.698630136986301</v>
      </c>
      <c r="P1046" s="59">
        <f t="shared" si="110"/>
        <v>8.2191780821917817</v>
      </c>
    </row>
    <row r="1047" spans="12:16" ht="15" hidden="1" customHeight="1">
      <c r="L1047" s="58">
        <f t="shared" si="108"/>
        <v>47279</v>
      </c>
      <c r="M1047" s="59">
        <f t="shared" si="111"/>
        <v>0</v>
      </c>
      <c r="N1047" s="59">
        <f t="shared" si="109"/>
        <v>100000</v>
      </c>
      <c r="O1047" s="59">
        <f t="shared" si="112"/>
        <v>13.698630136986301</v>
      </c>
      <c r="P1047" s="59">
        <f t="shared" si="110"/>
        <v>8.2191780821917817</v>
      </c>
    </row>
    <row r="1048" spans="12:16" ht="15" hidden="1" customHeight="1">
      <c r="L1048" s="58">
        <f t="shared" si="108"/>
        <v>47280</v>
      </c>
      <c r="M1048" s="59">
        <f t="shared" si="111"/>
        <v>0</v>
      </c>
      <c r="N1048" s="59">
        <f t="shared" si="109"/>
        <v>100000</v>
      </c>
      <c r="O1048" s="59">
        <f t="shared" si="112"/>
        <v>13.698630136986301</v>
      </c>
      <c r="P1048" s="59">
        <f t="shared" si="110"/>
        <v>8.2191780821917817</v>
      </c>
    </row>
    <row r="1049" spans="12:16" ht="15" hidden="1" customHeight="1">
      <c r="L1049" s="58">
        <f t="shared" si="108"/>
        <v>47281</v>
      </c>
      <c r="M1049" s="59">
        <f t="shared" si="111"/>
        <v>0</v>
      </c>
      <c r="N1049" s="59">
        <f t="shared" si="109"/>
        <v>100000</v>
      </c>
      <c r="O1049" s="59">
        <f t="shared" si="112"/>
        <v>13.698630136986301</v>
      </c>
      <c r="P1049" s="59">
        <f t="shared" si="110"/>
        <v>8.2191780821917817</v>
      </c>
    </row>
    <row r="1050" spans="12:16" ht="15" hidden="1" customHeight="1">
      <c r="L1050" s="58">
        <f t="shared" si="108"/>
        <v>47282</v>
      </c>
      <c r="M1050" s="59">
        <f t="shared" si="111"/>
        <v>0</v>
      </c>
      <c r="N1050" s="59">
        <f t="shared" si="109"/>
        <v>100000</v>
      </c>
      <c r="O1050" s="59">
        <f t="shared" si="112"/>
        <v>13.698630136986301</v>
      </c>
      <c r="P1050" s="59">
        <f t="shared" si="110"/>
        <v>8.2191780821917817</v>
      </c>
    </row>
    <row r="1051" spans="12:16" ht="15" hidden="1" customHeight="1">
      <c r="L1051" s="58">
        <f t="shared" si="108"/>
        <v>47283</v>
      </c>
      <c r="M1051" s="59">
        <f t="shared" si="111"/>
        <v>0</v>
      </c>
      <c r="N1051" s="59">
        <f t="shared" si="109"/>
        <v>100000</v>
      </c>
      <c r="O1051" s="59">
        <f t="shared" si="112"/>
        <v>13.698630136986301</v>
      </c>
      <c r="P1051" s="59">
        <f t="shared" si="110"/>
        <v>8.2191780821917817</v>
      </c>
    </row>
    <row r="1052" spans="12:16" ht="15" hidden="1" customHeight="1">
      <c r="L1052" s="58">
        <f t="shared" si="108"/>
        <v>47284</v>
      </c>
      <c r="M1052" s="59">
        <f t="shared" si="111"/>
        <v>0</v>
      </c>
      <c r="N1052" s="59">
        <f t="shared" si="109"/>
        <v>100000</v>
      </c>
      <c r="O1052" s="59">
        <f t="shared" si="112"/>
        <v>13.698630136986301</v>
      </c>
      <c r="P1052" s="59">
        <f t="shared" si="110"/>
        <v>8.2191780821917817</v>
      </c>
    </row>
    <row r="1053" spans="12:16" ht="15" hidden="1" customHeight="1">
      <c r="L1053" s="58">
        <f t="shared" si="108"/>
        <v>47285</v>
      </c>
      <c r="M1053" s="59">
        <f t="shared" si="111"/>
        <v>0</v>
      </c>
      <c r="N1053" s="59">
        <f t="shared" si="109"/>
        <v>100000</v>
      </c>
      <c r="O1053" s="59">
        <f t="shared" si="112"/>
        <v>13.698630136986301</v>
      </c>
      <c r="P1053" s="59">
        <f t="shared" si="110"/>
        <v>8.2191780821917817</v>
      </c>
    </row>
    <row r="1054" spans="12:16" ht="15" hidden="1" customHeight="1">
      <c r="L1054" s="58">
        <f t="shared" si="108"/>
        <v>47286</v>
      </c>
      <c r="M1054" s="59">
        <f t="shared" si="111"/>
        <v>0</v>
      </c>
      <c r="N1054" s="59">
        <f t="shared" si="109"/>
        <v>100000</v>
      </c>
      <c r="O1054" s="59">
        <f t="shared" si="112"/>
        <v>13.698630136986301</v>
      </c>
      <c r="P1054" s="59">
        <f t="shared" si="110"/>
        <v>8.2191780821917817</v>
      </c>
    </row>
    <row r="1055" spans="12:16" ht="15" hidden="1" customHeight="1">
      <c r="L1055" s="58">
        <f t="shared" si="108"/>
        <v>47287</v>
      </c>
      <c r="M1055" s="59">
        <f t="shared" si="111"/>
        <v>0</v>
      </c>
      <c r="N1055" s="59">
        <f t="shared" si="109"/>
        <v>100000</v>
      </c>
      <c r="O1055" s="59">
        <f t="shared" si="112"/>
        <v>13.698630136986301</v>
      </c>
      <c r="P1055" s="59">
        <f t="shared" si="110"/>
        <v>8.2191780821917817</v>
      </c>
    </row>
    <row r="1056" spans="12:16" ht="15" hidden="1" customHeight="1">
      <c r="L1056" s="58">
        <f t="shared" si="108"/>
        <v>47288</v>
      </c>
      <c r="M1056" s="59">
        <f t="shared" si="111"/>
        <v>0</v>
      </c>
      <c r="N1056" s="59">
        <f t="shared" si="109"/>
        <v>100000</v>
      </c>
      <c r="O1056" s="59">
        <f t="shared" si="112"/>
        <v>13.698630136986301</v>
      </c>
      <c r="P1056" s="59">
        <f t="shared" si="110"/>
        <v>8.2191780821917817</v>
      </c>
    </row>
    <row r="1057" spans="12:16" ht="15" hidden="1" customHeight="1">
      <c r="L1057" s="58">
        <f t="shared" si="108"/>
        <v>47289</v>
      </c>
      <c r="M1057" s="59">
        <f t="shared" si="111"/>
        <v>0</v>
      </c>
      <c r="N1057" s="59">
        <f t="shared" si="109"/>
        <v>100000</v>
      </c>
      <c r="O1057" s="59">
        <f t="shared" si="112"/>
        <v>13.698630136986301</v>
      </c>
      <c r="P1057" s="59">
        <f t="shared" si="110"/>
        <v>8.2191780821917817</v>
      </c>
    </row>
    <row r="1058" spans="12:16" ht="15" hidden="1" customHeight="1">
      <c r="L1058" s="58">
        <f t="shared" ref="L1058:L1121" si="113">IFERROR(IF(MAX(L1057+1,$F$5+1)&gt;Дата_погашения_Займа,"-",MAX(L1057+1,$F$5+1)),"-")</f>
        <v>47290</v>
      </c>
      <c r="M1058" s="59">
        <f t="shared" si="111"/>
        <v>0</v>
      </c>
      <c r="N1058" s="59">
        <f t="shared" si="109"/>
        <v>100000</v>
      </c>
      <c r="O1058" s="59">
        <f t="shared" si="112"/>
        <v>13.698630136986301</v>
      </c>
      <c r="P1058" s="59">
        <f t="shared" si="110"/>
        <v>8.2191780821917817</v>
      </c>
    </row>
    <row r="1059" spans="12:16" ht="15" hidden="1" customHeight="1">
      <c r="L1059" s="58">
        <f t="shared" si="113"/>
        <v>47291</v>
      </c>
      <c r="M1059" s="59">
        <f t="shared" si="111"/>
        <v>0</v>
      </c>
      <c r="N1059" s="59">
        <f t="shared" si="109"/>
        <v>100000</v>
      </c>
      <c r="O1059" s="59">
        <f t="shared" si="112"/>
        <v>13.698630136986301</v>
      </c>
      <c r="P1059" s="59">
        <f t="shared" si="110"/>
        <v>8.2191780821917817</v>
      </c>
    </row>
    <row r="1060" spans="12:16" ht="15" hidden="1" customHeight="1">
      <c r="L1060" s="58">
        <f t="shared" si="113"/>
        <v>47292</v>
      </c>
      <c r="M1060" s="59">
        <f t="shared" si="111"/>
        <v>0</v>
      </c>
      <c r="N1060" s="59">
        <f t="shared" si="109"/>
        <v>100000</v>
      </c>
      <c r="O1060" s="59">
        <f t="shared" si="112"/>
        <v>13.698630136986301</v>
      </c>
      <c r="P1060" s="59">
        <f t="shared" si="110"/>
        <v>8.2191780821917817</v>
      </c>
    </row>
    <row r="1061" spans="12:16" ht="15" hidden="1" customHeight="1">
      <c r="L1061" s="58">
        <f t="shared" si="113"/>
        <v>47293</v>
      </c>
      <c r="M1061" s="59">
        <f t="shared" si="111"/>
        <v>0</v>
      </c>
      <c r="N1061" s="59">
        <f t="shared" si="109"/>
        <v>100000</v>
      </c>
      <c r="O1061" s="59">
        <f t="shared" si="112"/>
        <v>13.698630136986301</v>
      </c>
      <c r="P1061" s="59">
        <f t="shared" si="110"/>
        <v>8.2191780821917817</v>
      </c>
    </row>
    <row r="1062" spans="12:16" ht="15" hidden="1" customHeight="1">
      <c r="L1062" s="58">
        <f t="shared" si="113"/>
        <v>47294</v>
      </c>
      <c r="M1062" s="59">
        <f t="shared" si="111"/>
        <v>0</v>
      </c>
      <c r="N1062" s="59">
        <f t="shared" si="109"/>
        <v>100000</v>
      </c>
      <c r="O1062" s="59">
        <f t="shared" si="112"/>
        <v>13.698630136986301</v>
      </c>
      <c r="P1062" s="59">
        <f t="shared" si="110"/>
        <v>8.2191780821917817</v>
      </c>
    </row>
    <row r="1063" spans="12:16" ht="15" hidden="1" customHeight="1">
      <c r="L1063" s="58">
        <f t="shared" si="113"/>
        <v>47295</v>
      </c>
      <c r="M1063" s="59">
        <f t="shared" si="111"/>
        <v>0</v>
      </c>
      <c r="N1063" s="59">
        <f t="shared" si="109"/>
        <v>100000</v>
      </c>
      <c r="O1063" s="59">
        <f t="shared" si="112"/>
        <v>13.698630136986301</v>
      </c>
      <c r="P1063" s="59">
        <f t="shared" si="110"/>
        <v>8.2191780821917817</v>
      </c>
    </row>
    <row r="1064" spans="12:16" ht="15" hidden="1" customHeight="1">
      <c r="L1064" s="58">
        <f t="shared" si="113"/>
        <v>47296</v>
      </c>
      <c r="M1064" s="59">
        <f t="shared" si="111"/>
        <v>0</v>
      </c>
      <c r="N1064" s="59">
        <f t="shared" si="109"/>
        <v>100000</v>
      </c>
      <c r="O1064" s="59">
        <f t="shared" si="112"/>
        <v>13.698630136986301</v>
      </c>
      <c r="P1064" s="59">
        <f t="shared" si="110"/>
        <v>8.2191780821917817</v>
      </c>
    </row>
    <row r="1065" spans="12:16" ht="15" hidden="1" customHeight="1">
      <c r="L1065" s="58">
        <f t="shared" si="113"/>
        <v>47297</v>
      </c>
      <c r="M1065" s="59">
        <f t="shared" si="111"/>
        <v>0</v>
      </c>
      <c r="N1065" s="59">
        <f t="shared" si="109"/>
        <v>100000</v>
      </c>
      <c r="O1065" s="59">
        <f t="shared" si="112"/>
        <v>13.698630136986301</v>
      </c>
      <c r="P1065" s="59">
        <f t="shared" si="110"/>
        <v>8.2191780821917817</v>
      </c>
    </row>
    <row r="1066" spans="12:16" ht="15" hidden="1" customHeight="1">
      <c r="L1066" s="58">
        <f t="shared" si="113"/>
        <v>47298</v>
      </c>
      <c r="M1066" s="59">
        <f t="shared" si="111"/>
        <v>0</v>
      </c>
      <c r="N1066" s="59">
        <f t="shared" si="109"/>
        <v>100000</v>
      </c>
      <c r="O1066" s="59">
        <f t="shared" si="112"/>
        <v>13.698630136986301</v>
      </c>
      <c r="P1066" s="59">
        <f t="shared" si="110"/>
        <v>8.2191780821917817</v>
      </c>
    </row>
    <row r="1067" spans="12:16" ht="15" hidden="1" customHeight="1">
      <c r="L1067" s="58">
        <f t="shared" si="113"/>
        <v>47299</v>
      </c>
      <c r="M1067" s="59">
        <f t="shared" si="111"/>
        <v>0</v>
      </c>
      <c r="N1067" s="59">
        <f t="shared" si="109"/>
        <v>100000</v>
      </c>
      <c r="O1067" s="59">
        <f t="shared" si="112"/>
        <v>13.698630136986301</v>
      </c>
      <c r="P1067" s="59">
        <f t="shared" si="110"/>
        <v>8.2191780821917817</v>
      </c>
    </row>
    <row r="1068" spans="12:16" ht="15" hidden="1" customHeight="1">
      <c r="L1068" s="58">
        <f t="shared" si="113"/>
        <v>47300</v>
      </c>
      <c r="M1068" s="59">
        <f t="shared" si="111"/>
        <v>0</v>
      </c>
      <c r="N1068" s="59">
        <f t="shared" si="109"/>
        <v>100000</v>
      </c>
      <c r="O1068" s="59">
        <f t="shared" si="112"/>
        <v>13.698630136986301</v>
      </c>
      <c r="P1068" s="59">
        <f t="shared" si="110"/>
        <v>8.2191780821917817</v>
      </c>
    </row>
    <row r="1069" spans="12:16" ht="15" hidden="1" customHeight="1">
      <c r="L1069" s="58">
        <f t="shared" si="113"/>
        <v>47301</v>
      </c>
      <c r="M1069" s="59">
        <f t="shared" si="111"/>
        <v>0</v>
      </c>
      <c r="N1069" s="59">
        <f t="shared" si="109"/>
        <v>100000</v>
      </c>
      <c r="O1069" s="59">
        <f t="shared" si="112"/>
        <v>13.698630136986301</v>
      </c>
      <c r="P1069" s="59">
        <f t="shared" si="110"/>
        <v>8.2191780821917817</v>
      </c>
    </row>
    <row r="1070" spans="12:16" ht="15" hidden="1" customHeight="1">
      <c r="L1070" s="58">
        <f t="shared" si="113"/>
        <v>47302</v>
      </c>
      <c r="M1070" s="59">
        <f t="shared" si="111"/>
        <v>0</v>
      </c>
      <c r="N1070" s="59">
        <f t="shared" si="109"/>
        <v>100000</v>
      </c>
      <c r="O1070" s="59">
        <f t="shared" si="112"/>
        <v>13.698630136986301</v>
      </c>
      <c r="P1070" s="59">
        <f t="shared" si="110"/>
        <v>8.2191780821917817</v>
      </c>
    </row>
    <row r="1071" spans="12:16" ht="15" hidden="1" customHeight="1">
      <c r="L1071" s="58">
        <f t="shared" si="113"/>
        <v>47303</v>
      </c>
      <c r="M1071" s="59">
        <f t="shared" si="111"/>
        <v>0</v>
      </c>
      <c r="N1071" s="59">
        <f t="shared" si="109"/>
        <v>100000</v>
      </c>
      <c r="O1071" s="59">
        <f t="shared" si="112"/>
        <v>13.698630136986301</v>
      </c>
      <c r="P1071" s="59">
        <f t="shared" si="110"/>
        <v>8.2191780821917817</v>
      </c>
    </row>
    <row r="1072" spans="12:16" ht="15" hidden="1" customHeight="1">
      <c r="L1072" s="58">
        <f t="shared" si="113"/>
        <v>47304</v>
      </c>
      <c r="M1072" s="59">
        <f t="shared" si="111"/>
        <v>0</v>
      </c>
      <c r="N1072" s="59">
        <f t="shared" ref="N1072:N1135" si="114">IF(ISNUMBER(N1071),N1071-M1072,$E$8)</f>
        <v>100000</v>
      </c>
      <c r="O1072" s="59">
        <f t="shared" si="112"/>
        <v>13.698630136986301</v>
      </c>
      <c r="P1072" s="59">
        <f t="shared" ref="P1072:P1135" si="115">IFERROR(IF(ISNUMBER(N1071),N1071,$E$8)*3%/IF(MOD(YEAR(L1072),4),365,366)*IF(ISBLANK(L1071),(L1072-$F$5),L1072-L1071),0)</f>
        <v>8.2191780821917817</v>
      </c>
    </row>
    <row r="1073" spans="12:16" ht="15" hidden="1" customHeight="1">
      <c r="L1073" s="58">
        <f t="shared" si="113"/>
        <v>47305</v>
      </c>
      <c r="M1073" s="59">
        <f t="shared" si="111"/>
        <v>0</v>
      </c>
      <c r="N1073" s="59">
        <f t="shared" si="114"/>
        <v>100000</v>
      </c>
      <c r="O1073" s="59">
        <f t="shared" si="112"/>
        <v>13.698630136986301</v>
      </c>
      <c r="P1073" s="59">
        <f t="shared" si="115"/>
        <v>8.2191780821917817</v>
      </c>
    </row>
    <row r="1074" spans="12:16" ht="15" hidden="1" customHeight="1">
      <c r="L1074" s="58">
        <f t="shared" si="113"/>
        <v>47306</v>
      </c>
      <c r="M1074" s="59">
        <f t="shared" si="111"/>
        <v>0</v>
      </c>
      <c r="N1074" s="59">
        <f t="shared" si="114"/>
        <v>100000</v>
      </c>
      <c r="O1074" s="59">
        <f t="shared" si="112"/>
        <v>13.698630136986301</v>
      </c>
      <c r="P1074" s="59">
        <f t="shared" si="115"/>
        <v>8.2191780821917817</v>
      </c>
    </row>
    <row r="1075" spans="12:16" ht="15" hidden="1" customHeight="1">
      <c r="L1075" s="58">
        <f t="shared" si="113"/>
        <v>47307</v>
      </c>
      <c r="M1075" s="59">
        <f t="shared" si="111"/>
        <v>0</v>
      </c>
      <c r="N1075" s="59">
        <f t="shared" si="114"/>
        <v>100000</v>
      </c>
      <c r="O1075" s="59">
        <f t="shared" si="112"/>
        <v>13.698630136986301</v>
      </c>
      <c r="P1075" s="59">
        <f t="shared" si="115"/>
        <v>8.2191780821917817</v>
      </c>
    </row>
    <row r="1076" spans="12:16" ht="15" hidden="1" customHeight="1">
      <c r="L1076" s="58">
        <f t="shared" si="113"/>
        <v>47308</v>
      </c>
      <c r="M1076" s="59">
        <f t="shared" si="111"/>
        <v>0</v>
      </c>
      <c r="N1076" s="59">
        <f t="shared" si="114"/>
        <v>100000</v>
      </c>
      <c r="O1076" s="59">
        <f t="shared" si="112"/>
        <v>13.698630136986301</v>
      </c>
      <c r="P1076" s="59">
        <f t="shared" si="115"/>
        <v>8.2191780821917817</v>
      </c>
    </row>
    <row r="1077" spans="12:16" ht="15" hidden="1" customHeight="1">
      <c r="L1077" s="58">
        <f t="shared" si="113"/>
        <v>47309</v>
      </c>
      <c r="M1077" s="59">
        <f t="shared" si="111"/>
        <v>0</v>
      </c>
      <c r="N1077" s="59">
        <f t="shared" si="114"/>
        <v>100000</v>
      </c>
      <c r="O1077" s="59">
        <f t="shared" si="112"/>
        <v>13.698630136986301</v>
      </c>
      <c r="P1077" s="59">
        <f t="shared" si="115"/>
        <v>8.2191780821917817</v>
      </c>
    </row>
    <row r="1078" spans="12:16" ht="15" hidden="1" customHeight="1">
      <c r="L1078" s="58">
        <f t="shared" si="113"/>
        <v>47310</v>
      </c>
      <c r="M1078" s="59">
        <f t="shared" si="111"/>
        <v>0</v>
      </c>
      <c r="N1078" s="59">
        <f t="shared" si="114"/>
        <v>100000</v>
      </c>
      <c r="O1078" s="59">
        <f t="shared" si="112"/>
        <v>13.698630136986301</v>
      </c>
      <c r="P1078" s="59">
        <f t="shared" si="115"/>
        <v>8.2191780821917817</v>
      </c>
    </row>
    <row r="1079" spans="12:16" ht="15" hidden="1" customHeight="1">
      <c r="L1079" s="58">
        <f t="shared" si="113"/>
        <v>47311</v>
      </c>
      <c r="M1079" s="59">
        <f t="shared" si="111"/>
        <v>0</v>
      </c>
      <c r="N1079" s="59">
        <f t="shared" si="114"/>
        <v>100000</v>
      </c>
      <c r="O1079" s="59">
        <f t="shared" si="112"/>
        <v>13.698630136986301</v>
      </c>
      <c r="P1079" s="59">
        <f t="shared" si="115"/>
        <v>8.2191780821917817</v>
      </c>
    </row>
    <row r="1080" spans="12:16" ht="15" hidden="1" customHeight="1">
      <c r="L1080" s="58">
        <f t="shared" si="113"/>
        <v>47312</v>
      </c>
      <c r="M1080" s="59">
        <f t="shared" si="111"/>
        <v>0</v>
      </c>
      <c r="N1080" s="59">
        <f t="shared" si="114"/>
        <v>100000</v>
      </c>
      <c r="O1080" s="59">
        <f t="shared" si="112"/>
        <v>13.698630136986301</v>
      </c>
      <c r="P1080" s="59">
        <f t="shared" si="115"/>
        <v>8.2191780821917817</v>
      </c>
    </row>
    <row r="1081" spans="12:16" ht="15" hidden="1" customHeight="1">
      <c r="L1081" s="58">
        <f t="shared" si="113"/>
        <v>47313</v>
      </c>
      <c r="M1081" s="59">
        <f t="shared" si="111"/>
        <v>0</v>
      </c>
      <c r="N1081" s="59">
        <f t="shared" si="114"/>
        <v>100000</v>
      </c>
      <c r="O1081" s="59">
        <f t="shared" si="112"/>
        <v>13.698630136986301</v>
      </c>
      <c r="P1081" s="59">
        <f t="shared" si="115"/>
        <v>8.2191780821917817</v>
      </c>
    </row>
    <row r="1082" spans="12:16" ht="15" hidden="1" customHeight="1">
      <c r="L1082" s="58">
        <f t="shared" si="113"/>
        <v>47314</v>
      </c>
      <c r="M1082" s="59">
        <f t="shared" si="111"/>
        <v>0</v>
      </c>
      <c r="N1082" s="59">
        <f t="shared" si="114"/>
        <v>100000</v>
      </c>
      <c r="O1082" s="59">
        <f t="shared" si="112"/>
        <v>13.698630136986301</v>
      </c>
      <c r="P1082" s="59">
        <f t="shared" si="115"/>
        <v>8.2191780821917817</v>
      </c>
    </row>
    <row r="1083" spans="12:16" ht="15" hidden="1" customHeight="1">
      <c r="L1083" s="58">
        <f t="shared" si="113"/>
        <v>47315</v>
      </c>
      <c r="M1083" s="59">
        <f t="shared" si="111"/>
        <v>0</v>
      </c>
      <c r="N1083" s="59">
        <f t="shared" si="114"/>
        <v>100000</v>
      </c>
      <c r="O1083" s="59">
        <f t="shared" si="112"/>
        <v>13.698630136986301</v>
      </c>
      <c r="P1083" s="59">
        <f t="shared" si="115"/>
        <v>8.2191780821917817</v>
      </c>
    </row>
    <row r="1084" spans="12:16" ht="15" hidden="1" customHeight="1">
      <c r="L1084" s="58">
        <f t="shared" si="113"/>
        <v>47316</v>
      </c>
      <c r="M1084" s="59">
        <f t="shared" si="111"/>
        <v>0</v>
      </c>
      <c r="N1084" s="59">
        <f t="shared" si="114"/>
        <v>100000</v>
      </c>
      <c r="O1084" s="59">
        <f t="shared" si="112"/>
        <v>13.698630136986301</v>
      </c>
      <c r="P1084" s="59">
        <f t="shared" si="115"/>
        <v>8.2191780821917817</v>
      </c>
    </row>
    <row r="1085" spans="12:16" ht="15" hidden="1" customHeight="1">
      <c r="L1085" s="58">
        <f t="shared" si="113"/>
        <v>47317</v>
      </c>
      <c r="M1085" s="59">
        <f t="shared" si="111"/>
        <v>0</v>
      </c>
      <c r="N1085" s="59">
        <f t="shared" si="114"/>
        <v>100000</v>
      </c>
      <c r="O1085" s="59">
        <f t="shared" si="112"/>
        <v>13.698630136986301</v>
      </c>
      <c r="P1085" s="59">
        <f t="shared" si="115"/>
        <v>8.2191780821917817</v>
      </c>
    </row>
    <row r="1086" spans="12:16" ht="15" hidden="1" customHeight="1">
      <c r="L1086" s="58">
        <f t="shared" si="113"/>
        <v>47318</v>
      </c>
      <c r="M1086" s="59">
        <f t="shared" si="111"/>
        <v>0</v>
      </c>
      <c r="N1086" s="59">
        <f t="shared" si="114"/>
        <v>100000</v>
      </c>
      <c r="O1086" s="59">
        <f t="shared" si="112"/>
        <v>13.698630136986301</v>
      </c>
      <c r="P1086" s="59">
        <f t="shared" si="115"/>
        <v>8.2191780821917817</v>
      </c>
    </row>
    <row r="1087" spans="12:16" ht="15" hidden="1" customHeight="1">
      <c r="L1087" s="58">
        <f t="shared" si="113"/>
        <v>47319</v>
      </c>
      <c r="M1087" s="59">
        <f t="shared" si="111"/>
        <v>0</v>
      </c>
      <c r="N1087" s="59">
        <f t="shared" si="114"/>
        <v>100000</v>
      </c>
      <c r="O1087" s="59">
        <f t="shared" si="112"/>
        <v>13.698630136986301</v>
      </c>
      <c r="P1087" s="59">
        <f t="shared" si="115"/>
        <v>8.2191780821917817</v>
      </c>
    </row>
    <row r="1088" spans="12:16" ht="15" hidden="1" customHeight="1">
      <c r="L1088" s="58">
        <f t="shared" si="113"/>
        <v>47320</v>
      </c>
      <c r="M1088" s="59">
        <f t="shared" si="111"/>
        <v>0</v>
      </c>
      <c r="N1088" s="59">
        <f t="shared" si="114"/>
        <v>100000</v>
      </c>
      <c r="O1088" s="59">
        <f t="shared" si="112"/>
        <v>13.698630136986301</v>
      </c>
      <c r="P1088" s="59">
        <f t="shared" si="115"/>
        <v>8.2191780821917817</v>
      </c>
    </row>
    <row r="1089" spans="12:16" ht="15" hidden="1" customHeight="1">
      <c r="L1089" s="58">
        <f t="shared" si="113"/>
        <v>47321</v>
      </c>
      <c r="M1089" s="59">
        <f t="shared" si="111"/>
        <v>0</v>
      </c>
      <c r="N1089" s="59">
        <f t="shared" si="114"/>
        <v>100000</v>
      </c>
      <c r="O1089" s="59">
        <f t="shared" si="112"/>
        <v>13.698630136986301</v>
      </c>
      <c r="P1089" s="59">
        <f t="shared" si="115"/>
        <v>8.2191780821917817</v>
      </c>
    </row>
    <row r="1090" spans="12:16" ht="15" hidden="1" customHeight="1">
      <c r="L1090" s="58">
        <f t="shared" si="113"/>
        <v>47322</v>
      </c>
      <c r="M1090" s="59">
        <f t="shared" si="111"/>
        <v>0</v>
      </c>
      <c r="N1090" s="59">
        <f t="shared" si="114"/>
        <v>100000</v>
      </c>
      <c r="O1090" s="59">
        <f t="shared" si="112"/>
        <v>13.698630136986301</v>
      </c>
      <c r="P1090" s="59">
        <f t="shared" si="115"/>
        <v>8.2191780821917817</v>
      </c>
    </row>
    <row r="1091" spans="12:16" ht="15" hidden="1" customHeight="1">
      <c r="L1091" s="58">
        <f t="shared" si="113"/>
        <v>47323</v>
      </c>
      <c r="M1091" s="59">
        <f t="shared" si="111"/>
        <v>0</v>
      </c>
      <c r="N1091" s="59">
        <f t="shared" si="114"/>
        <v>100000</v>
      </c>
      <c r="O1091" s="59">
        <f t="shared" si="112"/>
        <v>13.698630136986301</v>
      </c>
      <c r="P1091" s="59">
        <f t="shared" si="115"/>
        <v>8.2191780821917817</v>
      </c>
    </row>
    <row r="1092" spans="12:16" ht="15" hidden="1" customHeight="1">
      <c r="L1092" s="58">
        <f t="shared" si="113"/>
        <v>47324</v>
      </c>
      <c r="M1092" s="59">
        <f t="shared" si="111"/>
        <v>0</v>
      </c>
      <c r="N1092" s="59">
        <f t="shared" si="114"/>
        <v>100000</v>
      </c>
      <c r="O1092" s="59">
        <f t="shared" si="112"/>
        <v>13.698630136986301</v>
      </c>
      <c r="P1092" s="59">
        <f t="shared" si="115"/>
        <v>8.2191780821917817</v>
      </c>
    </row>
    <row r="1093" spans="12:16" ht="15" hidden="1" customHeight="1">
      <c r="L1093" s="58">
        <f t="shared" si="113"/>
        <v>47325</v>
      </c>
      <c r="M1093" s="59">
        <f t="shared" si="111"/>
        <v>0</v>
      </c>
      <c r="N1093" s="59">
        <f t="shared" si="114"/>
        <v>100000</v>
      </c>
      <c r="O1093" s="59">
        <f t="shared" si="112"/>
        <v>13.698630136986301</v>
      </c>
      <c r="P1093" s="59">
        <f t="shared" si="115"/>
        <v>8.2191780821917817</v>
      </c>
    </row>
    <row r="1094" spans="12:16" ht="15" hidden="1" customHeight="1">
      <c r="L1094" s="58">
        <f t="shared" si="113"/>
        <v>47326</v>
      </c>
      <c r="M1094" s="59">
        <f t="shared" si="111"/>
        <v>0</v>
      </c>
      <c r="N1094" s="59">
        <f t="shared" si="114"/>
        <v>100000</v>
      </c>
      <c r="O1094" s="59">
        <f t="shared" si="112"/>
        <v>13.698630136986301</v>
      </c>
      <c r="P1094" s="59">
        <f t="shared" si="115"/>
        <v>8.2191780821917817</v>
      </c>
    </row>
    <row r="1095" spans="12:16" ht="15" hidden="1" customHeight="1">
      <c r="L1095" s="58">
        <f t="shared" si="113"/>
        <v>47327</v>
      </c>
      <c r="M1095" s="59">
        <f t="shared" si="111"/>
        <v>0</v>
      </c>
      <c r="N1095" s="59">
        <f t="shared" si="114"/>
        <v>100000</v>
      </c>
      <c r="O1095" s="59">
        <f t="shared" si="112"/>
        <v>13.698630136986301</v>
      </c>
      <c r="P1095" s="59">
        <f t="shared" si="115"/>
        <v>8.2191780821917817</v>
      </c>
    </row>
    <row r="1096" spans="12:16" ht="15" hidden="1" customHeight="1">
      <c r="L1096" s="58">
        <f t="shared" si="113"/>
        <v>47328</v>
      </c>
      <c r="M1096" s="59">
        <f t="shared" si="111"/>
        <v>0</v>
      </c>
      <c r="N1096" s="59">
        <f t="shared" si="114"/>
        <v>100000</v>
      </c>
      <c r="O1096" s="59">
        <f t="shared" si="112"/>
        <v>13.698630136986301</v>
      </c>
      <c r="P1096" s="59">
        <f t="shared" si="115"/>
        <v>8.2191780821917817</v>
      </c>
    </row>
    <row r="1097" spans="12:16" ht="15" hidden="1" customHeight="1">
      <c r="L1097" s="58">
        <f t="shared" si="113"/>
        <v>47329</v>
      </c>
      <c r="M1097" s="59">
        <f t="shared" si="111"/>
        <v>0</v>
      </c>
      <c r="N1097" s="59">
        <f t="shared" si="114"/>
        <v>100000</v>
      </c>
      <c r="O1097" s="59">
        <f t="shared" si="112"/>
        <v>13.698630136986301</v>
      </c>
      <c r="P1097" s="59">
        <f t="shared" si="115"/>
        <v>8.2191780821917817</v>
      </c>
    </row>
    <row r="1098" spans="12:16" ht="15" hidden="1" customHeight="1">
      <c r="L1098" s="58">
        <f t="shared" si="113"/>
        <v>47330</v>
      </c>
      <c r="M1098" s="59">
        <f t="shared" si="111"/>
        <v>0</v>
      </c>
      <c r="N1098" s="59">
        <f t="shared" si="114"/>
        <v>100000</v>
      </c>
      <c r="O1098" s="59">
        <f t="shared" si="112"/>
        <v>13.698630136986301</v>
      </c>
      <c r="P1098" s="59">
        <f t="shared" si="115"/>
        <v>8.2191780821917817</v>
      </c>
    </row>
    <row r="1099" spans="12:16" ht="15" hidden="1" customHeight="1">
      <c r="L1099" s="58">
        <f t="shared" si="113"/>
        <v>47331</v>
      </c>
      <c r="M1099" s="59">
        <f t="shared" si="111"/>
        <v>0</v>
      </c>
      <c r="N1099" s="59">
        <f t="shared" si="114"/>
        <v>100000</v>
      </c>
      <c r="O1099" s="59">
        <f t="shared" si="112"/>
        <v>13.698630136986301</v>
      </c>
      <c r="P1099" s="59">
        <f t="shared" si="115"/>
        <v>8.2191780821917817</v>
      </c>
    </row>
    <row r="1100" spans="12:16" ht="15" hidden="1" customHeight="1">
      <c r="L1100" s="58">
        <f t="shared" si="113"/>
        <v>47332</v>
      </c>
      <c r="M1100" s="59">
        <f t="shared" si="111"/>
        <v>0</v>
      </c>
      <c r="N1100" s="59">
        <f t="shared" si="114"/>
        <v>100000</v>
      </c>
      <c r="O1100" s="59">
        <f t="shared" si="112"/>
        <v>13.698630136986301</v>
      </c>
      <c r="P1100" s="59">
        <f t="shared" si="115"/>
        <v>8.2191780821917817</v>
      </c>
    </row>
    <row r="1101" spans="12:16" ht="15" hidden="1" customHeight="1">
      <c r="L1101" s="58">
        <f t="shared" si="113"/>
        <v>47333</v>
      </c>
      <c r="M1101" s="59">
        <f t="shared" si="111"/>
        <v>0</v>
      </c>
      <c r="N1101" s="59">
        <f t="shared" si="114"/>
        <v>100000</v>
      </c>
      <c r="O1101" s="59">
        <f t="shared" si="112"/>
        <v>13.698630136986301</v>
      </c>
      <c r="P1101" s="59">
        <f t="shared" si="115"/>
        <v>8.2191780821917817</v>
      </c>
    </row>
    <row r="1102" spans="12:16" ht="15" hidden="1" customHeight="1">
      <c r="L1102" s="58">
        <f t="shared" si="113"/>
        <v>47334</v>
      </c>
      <c r="M1102" s="59">
        <f t="shared" si="111"/>
        <v>0</v>
      </c>
      <c r="N1102" s="59">
        <f t="shared" si="114"/>
        <v>100000</v>
      </c>
      <c r="O1102" s="59">
        <f t="shared" si="112"/>
        <v>13.698630136986301</v>
      </c>
      <c r="P1102" s="59">
        <f t="shared" si="115"/>
        <v>8.2191780821917817</v>
      </c>
    </row>
    <row r="1103" spans="12:16" ht="15" hidden="1" customHeight="1">
      <c r="L1103" s="58">
        <f t="shared" si="113"/>
        <v>47335</v>
      </c>
      <c r="M1103" s="59">
        <f t="shared" si="111"/>
        <v>0</v>
      </c>
      <c r="N1103" s="59">
        <f t="shared" si="114"/>
        <v>100000</v>
      </c>
      <c r="O1103" s="59">
        <f t="shared" si="112"/>
        <v>13.698630136986301</v>
      </c>
      <c r="P1103" s="59">
        <f t="shared" si="115"/>
        <v>8.2191780821917817</v>
      </c>
    </row>
    <row r="1104" spans="12:16" ht="15" hidden="1" customHeight="1">
      <c r="L1104" s="58">
        <f t="shared" si="113"/>
        <v>47336</v>
      </c>
      <c r="M1104" s="59">
        <f t="shared" si="111"/>
        <v>0</v>
      </c>
      <c r="N1104" s="59">
        <f t="shared" si="114"/>
        <v>100000</v>
      </c>
      <c r="O1104" s="59">
        <f t="shared" si="112"/>
        <v>13.698630136986301</v>
      </c>
      <c r="P1104" s="59">
        <f t="shared" si="115"/>
        <v>8.2191780821917817</v>
      </c>
    </row>
    <row r="1105" spans="12:16" ht="15" hidden="1" customHeight="1">
      <c r="L1105" s="58">
        <f t="shared" si="113"/>
        <v>47337</v>
      </c>
      <c r="M1105" s="59">
        <f t="shared" si="111"/>
        <v>0</v>
      </c>
      <c r="N1105" s="59">
        <f t="shared" si="114"/>
        <v>100000</v>
      </c>
      <c r="O1105" s="59">
        <f t="shared" si="112"/>
        <v>13.698630136986301</v>
      </c>
      <c r="P1105" s="59">
        <f t="shared" si="115"/>
        <v>8.2191780821917817</v>
      </c>
    </row>
    <row r="1106" spans="12:16" ht="15" hidden="1" customHeight="1">
      <c r="L1106" s="58">
        <f t="shared" si="113"/>
        <v>47338</v>
      </c>
      <c r="M1106" s="59">
        <f t="shared" si="111"/>
        <v>0</v>
      </c>
      <c r="N1106" s="59">
        <f t="shared" si="114"/>
        <v>100000</v>
      </c>
      <c r="O1106" s="59">
        <f t="shared" si="112"/>
        <v>13.698630136986301</v>
      </c>
      <c r="P1106" s="59">
        <f t="shared" si="115"/>
        <v>8.2191780821917817</v>
      </c>
    </row>
    <row r="1107" spans="12:16" ht="15" hidden="1" customHeight="1">
      <c r="L1107" s="58">
        <f t="shared" si="113"/>
        <v>47339</v>
      </c>
      <c r="M1107" s="59">
        <f t="shared" ref="M1107:M1170" si="116">IFERROR(VLOOKUP(L1107,$B$19:$E$80,4,FALSE),0)</f>
        <v>0</v>
      </c>
      <c r="N1107" s="59">
        <f t="shared" si="114"/>
        <v>100000</v>
      </c>
      <c r="O1107" s="59">
        <f t="shared" ref="O1107:O1170" si="117">IFERROR(IF(ISNUMBER(N1106),N1106,$E$8)*IF(L1107&gt;=$J$8,$E$12,$E$12)/IF(MOD(YEAR(L1107),4),365,366)*IF(ISBLANK(L1106),L1107-$F$5,L1107-L1106),0)</f>
        <v>13.698630136986301</v>
      </c>
      <c r="P1107" s="59">
        <f t="shared" si="115"/>
        <v>8.2191780821917817</v>
      </c>
    </row>
    <row r="1108" spans="12:16" ht="15" hidden="1" customHeight="1">
      <c r="L1108" s="58">
        <f t="shared" si="113"/>
        <v>47340</v>
      </c>
      <c r="M1108" s="59">
        <f t="shared" si="116"/>
        <v>0</v>
      </c>
      <c r="N1108" s="59">
        <f t="shared" si="114"/>
        <v>100000</v>
      </c>
      <c r="O1108" s="59">
        <f t="shared" si="117"/>
        <v>13.698630136986301</v>
      </c>
      <c r="P1108" s="59">
        <f t="shared" si="115"/>
        <v>8.2191780821917817</v>
      </c>
    </row>
    <row r="1109" spans="12:16" ht="15" hidden="1" customHeight="1">
      <c r="L1109" s="58">
        <f t="shared" si="113"/>
        <v>47341</v>
      </c>
      <c r="M1109" s="59">
        <f t="shared" si="116"/>
        <v>0</v>
      </c>
      <c r="N1109" s="59">
        <f t="shared" si="114"/>
        <v>100000</v>
      </c>
      <c r="O1109" s="59">
        <f t="shared" si="117"/>
        <v>13.698630136986301</v>
      </c>
      <c r="P1109" s="59">
        <f t="shared" si="115"/>
        <v>8.2191780821917817</v>
      </c>
    </row>
    <row r="1110" spans="12:16" ht="15" hidden="1" customHeight="1">
      <c r="L1110" s="58">
        <f t="shared" si="113"/>
        <v>47342</v>
      </c>
      <c r="M1110" s="59">
        <f t="shared" si="116"/>
        <v>0</v>
      </c>
      <c r="N1110" s="59">
        <f t="shared" si="114"/>
        <v>100000</v>
      </c>
      <c r="O1110" s="59">
        <f t="shared" si="117"/>
        <v>13.698630136986301</v>
      </c>
      <c r="P1110" s="59">
        <f t="shared" si="115"/>
        <v>8.2191780821917817</v>
      </c>
    </row>
    <row r="1111" spans="12:16" ht="15" hidden="1" customHeight="1">
      <c r="L1111" s="58">
        <f t="shared" si="113"/>
        <v>47343</v>
      </c>
      <c r="M1111" s="59">
        <f t="shared" si="116"/>
        <v>0</v>
      </c>
      <c r="N1111" s="59">
        <f t="shared" si="114"/>
        <v>100000</v>
      </c>
      <c r="O1111" s="59">
        <f t="shared" si="117"/>
        <v>13.698630136986301</v>
      </c>
      <c r="P1111" s="59">
        <f t="shared" si="115"/>
        <v>8.2191780821917817</v>
      </c>
    </row>
    <row r="1112" spans="12:16" ht="15" hidden="1" customHeight="1">
      <c r="L1112" s="58">
        <f t="shared" si="113"/>
        <v>47344</v>
      </c>
      <c r="M1112" s="59">
        <f t="shared" si="116"/>
        <v>0</v>
      </c>
      <c r="N1112" s="59">
        <f t="shared" si="114"/>
        <v>100000</v>
      </c>
      <c r="O1112" s="59">
        <f t="shared" si="117"/>
        <v>13.698630136986301</v>
      </c>
      <c r="P1112" s="59">
        <f t="shared" si="115"/>
        <v>8.2191780821917817</v>
      </c>
    </row>
    <row r="1113" spans="12:16" ht="15" hidden="1" customHeight="1">
      <c r="L1113" s="58">
        <f t="shared" si="113"/>
        <v>47345</v>
      </c>
      <c r="M1113" s="59">
        <f t="shared" si="116"/>
        <v>0</v>
      </c>
      <c r="N1113" s="59">
        <f t="shared" si="114"/>
        <v>100000</v>
      </c>
      <c r="O1113" s="59">
        <f t="shared" si="117"/>
        <v>13.698630136986301</v>
      </c>
      <c r="P1113" s="59">
        <f t="shared" si="115"/>
        <v>8.2191780821917817</v>
      </c>
    </row>
    <row r="1114" spans="12:16" ht="15" hidden="1" customHeight="1">
      <c r="L1114" s="58">
        <f t="shared" si="113"/>
        <v>47346</v>
      </c>
      <c r="M1114" s="59">
        <f t="shared" si="116"/>
        <v>0</v>
      </c>
      <c r="N1114" s="59">
        <f t="shared" si="114"/>
        <v>100000</v>
      </c>
      <c r="O1114" s="59">
        <f t="shared" si="117"/>
        <v>13.698630136986301</v>
      </c>
      <c r="P1114" s="59">
        <f t="shared" si="115"/>
        <v>8.2191780821917817</v>
      </c>
    </row>
    <row r="1115" spans="12:16" ht="15" hidden="1" customHeight="1">
      <c r="L1115" s="58">
        <f t="shared" si="113"/>
        <v>47347</v>
      </c>
      <c r="M1115" s="59">
        <f t="shared" si="116"/>
        <v>0</v>
      </c>
      <c r="N1115" s="59">
        <f t="shared" si="114"/>
        <v>100000</v>
      </c>
      <c r="O1115" s="59">
        <f t="shared" si="117"/>
        <v>13.698630136986301</v>
      </c>
      <c r="P1115" s="59">
        <f t="shared" si="115"/>
        <v>8.2191780821917817</v>
      </c>
    </row>
    <row r="1116" spans="12:16" ht="15" hidden="1" customHeight="1">
      <c r="L1116" s="58">
        <f t="shared" si="113"/>
        <v>47348</v>
      </c>
      <c r="M1116" s="59">
        <f t="shared" si="116"/>
        <v>0</v>
      </c>
      <c r="N1116" s="59">
        <f t="shared" si="114"/>
        <v>100000</v>
      </c>
      <c r="O1116" s="59">
        <f t="shared" si="117"/>
        <v>13.698630136986301</v>
      </c>
      <c r="P1116" s="59">
        <f t="shared" si="115"/>
        <v>8.2191780821917817</v>
      </c>
    </row>
    <row r="1117" spans="12:16" ht="15" hidden="1" customHeight="1">
      <c r="L1117" s="58">
        <f t="shared" si="113"/>
        <v>47349</v>
      </c>
      <c r="M1117" s="59">
        <f t="shared" si="116"/>
        <v>0</v>
      </c>
      <c r="N1117" s="59">
        <f t="shared" si="114"/>
        <v>100000</v>
      </c>
      <c r="O1117" s="59">
        <f t="shared" si="117"/>
        <v>13.698630136986301</v>
      </c>
      <c r="P1117" s="59">
        <f t="shared" si="115"/>
        <v>8.2191780821917817</v>
      </c>
    </row>
    <row r="1118" spans="12:16" ht="15" hidden="1" customHeight="1">
      <c r="L1118" s="58">
        <f t="shared" si="113"/>
        <v>47350</v>
      </c>
      <c r="M1118" s="59">
        <f t="shared" si="116"/>
        <v>0</v>
      </c>
      <c r="N1118" s="59">
        <f t="shared" si="114"/>
        <v>100000</v>
      </c>
      <c r="O1118" s="59">
        <f t="shared" si="117"/>
        <v>13.698630136986301</v>
      </c>
      <c r="P1118" s="59">
        <f t="shared" si="115"/>
        <v>8.2191780821917817</v>
      </c>
    </row>
    <row r="1119" spans="12:16" ht="15" hidden="1" customHeight="1">
      <c r="L1119" s="58">
        <f t="shared" si="113"/>
        <v>47351</v>
      </c>
      <c r="M1119" s="59">
        <f t="shared" si="116"/>
        <v>0</v>
      </c>
      <c r="N1119" s="59">
        <f t="shared" si="114"/>
        <v>100000</v>
      </c>
      <c r="O1119" s="59">
        <f t="shared" si="117"/>
        <v>13.698630136986301</v>
      </c>
      <c r="P1119" s="59">
        <f t="shared" si="115"/>
        <v>8.2191780821917817</v>
      </c>
    </row>
    <row r="1120" spans="12:16" ht="15" hidden="1" customHeight="1">
      <c r="L1120" s="58">
        <f t="shared" si="113"/>
        <v>47352</v>
      </c>
      <c r="M1120" s="59">
        <f t="shared" si="116"/>
        <v>0</v>
      </c>
      <c r="N1120" s="59">
        <f t="shared" si="114"/>
        <v>100000</v>
      </c>
      <c r="O1120" s="59">
        <f t="shared" si="117"/>
        <v>13.698630136986301</v>
      </c>
      <c r="P1120" s="59">
        <f t="shared" si="115"/>
        <v>8.2191780821917817</v>
      </c>
    </row>
    <row r="1121" spans="12:16" ht="15" hidden="1" customHeight="1">
      <c r="L1121" s="58">
        <f t="shared" si="113"/>
        <v>47353</v>
      </c>
      <c r="M1121" s="59">
        <f t="shared" si="116"/>
        <v>0</v>
      </c>
      <c r="N1121" s="59">
        <f t="shared" si="114"/>
        <v>100000</v>
      </c>
      <c r="O1121" s="59">
        <f t="shared" si="117"/>
        <v>13.698630136986301</v>
      </c>
      <c r="P1121" s="59">
        <f t="shared" si="115"/>
        <v>8.2191780821917817</v>
      </c>
    </row>
    <row r="1122" spans="12:16" ht="15" hidden="1" customHeight="1">
      <c r="L1122" s="58">
        <f t="shared" ref="L1122:L1185" si="118">IFERROR(IF(MAX(L1121+1,$F$5+1)&gt;Дата_погашения_Займа,"-",MAX(L1121+1,$F$5+1)),"-")</f>
        <v>47354</v>
      </c>
      <c r="M1122" s="59">
        <f t="shared" si="116"/>
        <v>0</v>
      </c>
      <c r="N1122" s="59">
        <f t="shared" si="114"/>
        <v>100000</v>
      </c>
      <c r="O1122" s="59">
        <f t="shared" si="117"/>
        <v>13.698630136986301</v>
      </c>
      <c r="P1122" s="59">
        <f t="shared" si="115"/>
        <v>8.2191780821917817</v>
      </c>
    </row>
    <row r="1123" spans="12:16" ht="15" hidden="1" customHeight="1">
      <c r="L1123" s="58">
        <f t="shared" si="118"/>
        <v>47355</v>
      </c>
      <c r="M1123" s="59">
        <f t="shared" si="116"/>
        <v>0</v>
      </c>
      <c r="N1123" s="59">
        <f t="shared" si="114"/>
        <v>100000</v>
      </c>
      <c r="O1123" s="59">
        <f t="shared" si="117"/>
        <v>13.698630136986301</v>
      </c>
      <c r="P1123" s="59">
        <f t="shared" si="115"/>
        <v>8.2191780821917817</v>
      </c>
    </row>
    <row r="1124" spans="12:16" ht="15" hidden="1" customHeight="1">
      <c r="L1124" s="58">
        <f t="shared" si="118"/>
        <v>47356</v>
      </c>
      <c r="M1124" s="59">
        <f t="shared" si="116"/>
        <v>0</v>
      </c>
      <c r="N1124" s="59">
        <f t="shared" si="114"/>
        <v>100000</v>
      </c>
      <c r="O1124" s="59">
        <f t="shared" si="117"/>
        <v>13.698630136986301</v>
      </c>
      <c r="P1124" s="59">
        <f t="shared" si="115"/>
        <v>8.2191780821917817</v>
      </c>
    </row>
    <row r="1125" spans="12:16" ht="15" hidden="1" customHeight="1">
      <c r="L1125" s="58">
        <f t="shared" si="118"/>
        <v>47357</v>
      </c>
      <c r="M1125" s="59">
        <f t="shared" si="116"/>
        <v>0</v>
      </c>
      <c r="N1125" s="59">
        <f t="shared" si="114"/>
        <v>100000</v>
      </c>
      <c r="O1125" s="59">
        <f t="shared" si="117"/>
        <v>13.698630136986301</v>
      </c>
      <c r="P1125" s="59">
        <f t="shared" si="115"/>
        <v>8.2191780821917817</v>
      </c>
    </row>
    <row r="1126" spans="12:16" ht="15" hidden="1" customHeight="1">
      <c r="L1126" s="58">
        <f t="shared" si="118"/>
        <v>47358</v>
      </c>
      <c r="M1126" s="59">
        <f t="shared" si="116"/>
        <v>0</v>
      </c>
      <c r="N1126" s="59">
        <f t="shared" si="114"/>
        <v>100000</v>
      </c>
      <c r="O1126" s="59">
        <f t="shared" si="117"/>
        <v>13.698630136986301</v>
      </c>
      <c r="P1126" s="59">
        <f t="shared" si="115"/>
        <v>8.2191780821917817</v>
      </c>
    </row>
    <row r="1127" spans="12:16" ht="15" hidden="1" customHeight="1">
      <c r="L1127" s="58">
        <f t="shared" si="118"/>
        <v>47359</v>
      </c>
      <c r="M1127" s="59">
        <f t="shared" si="116"/>
        <v>0</v>
      </c>
      <c r="N1127" s="59">
        <f t="shared" si="114"/>
        <v>100000</v>
      </c>
      <c r="O1127" s="59">
        <f t="shared" si="117"/>
        <v>13.698630136986301</v>
      </c>
      <c r="P1127" s="59">
        <f t="shared" si="115"/>
        <v>8.2191780821917817</v>
      </c>
    </row>
    <row r="1128" spans="12:16" ht="15" hidden="1" customHeight="1">
      <c r="L1128" s="58">
        <f t="shared" si="118"/>
        <v>47360</v>
      </c>
      <c r="M1128" s="59">
        <f t="shared" si="116"/>
        <v>0</v>
      </c>
      <c r="N1128" s="59">
        <f t="shared" si="114"/>
        <v>100000</v>
      </c>
      <c r="O1128" s="59">
        <f t="shared" si="117"/>
        <v>13.698630136986301</v>
      </c>
      <c r="P1128" s="59">
        <f t="shared" si="115"/>
        <v>8.2191780821917817</v>
      </c>
    </row>
    <row r="1129" spans="12:16" ht="15" hidden="1" customHeight="1">
      <c r="L1129" s="58">
        <f t="shared" si="118"/>
        <v>47361</v>
      </c>
      <c r="M1129" s="59">
        <f t="shared" si="116"/>
        <v>0</v>
      </c>
      <c r="N1129" s="59">
        <f t="shared" si="114"/>
        <v>100000</v>
      </c>
      <c r="O1129" s="59">
        <f t="shared" si="117"/>
        <v>13.698630136986301</v>
      </c>
      <c r="P1129" s="59">
        <f t="shared" si="115"/>
        <v>8.2191780821917817</v>
      </c>
    </row>
    <row r="1130" spans="12:16" ht="15" hidden="1" customHeight="1">
      <c r="L1130" s="58">
        <f t="shared" si="118"/>
        <v>47362</v>
      </c>
      <c r="M1130" s="59">
        <f t="shared" si="116"/>
        <v>0</v>
      </c>
      <c r="N1130" s="59">
        <f t="shared" si="114"/>
        <v>100000</v>
      </c>
      <c r="O1130" s="59">
        <f t="shared" si="117"/>
        <v>13.698630136986301</v>
      </c>
      <c r="P1130" s="59">
        <f t="shared" si="115"/>
        <v>8.2191780821917817</v>
      </c>
    </row>
    <row r="1131" spans="12:16" ht="15" hidden="1" customHeight="1">
      <c r="L1131" s="58">
        <f t="shared" si="118"/>
        <v>47363</v>
      </c>
      <c r="M1131" s="59">
        <f t="shared" si="116"/>
        <v>0</v>
      </c>
      <c r="N1131" s="59">
        <f t="shared" si="114"/>
        <v>100000</v>
      </c>
      <c r="O1131" s="59">
        <f t="shared" si="117"/>
        <v>13.698630136986301</v>
      </c>
      <c r="P1131" s="59">
        <f t="shared" si="115"/>
        <v>8.2191780821917817</v>
      </c>
    </row>
    <row r="1132" spans="12:16" ht="15" hidden="1" customHeight="1">
      <c r="L1132" s="58">
        <f t="shared" si="118"/>
        <v>47364</v>
      </c>
      <c r="M1132" s="59">
        <f t="shared" si="116"/>
        <v>0</v>
      </c>
      <c r="N1132" s="59">
        <f t="shared" si="114"/>
        <v>100000</v>
      </c>
      <c r="O1132" s="59">
        <f t="shared" si="117"/>
        <v>13.698630136986301</v>
      </c>
      <c r="P1132" s="59">
        <f t="shared" si="115"/>
        <v>8.2191780821917817</v>
      </c>
    </row>
    <row r="1133" spans="12:16" ht="15" hidden="1" customHeight="1">
      <c r="L1133" s="58">
        <f t="shared" si="118"/>
        <v>47365</v>
      </c>
      <c r="M1133" s="59">
        <f t="shared" si="116"/>
        <v>0</v>
      </c>
      <c r="N1133" s="59">
        <f t="shared" si="114"/>
        <v>100000</v>
      </c>
      <c r="O1133" s="59">
        <f t="shared" si="117"/>
        <v>13.698630136986301</v>
      </c>
      <c r="P1133" s="59">
        <f t="shared" si="115"/>
        <v>8.2191780821917817</v>
      </c>
    </row>
    <row r="1134" spans="12:16" ht="15" hidden="1" customHeight="1">
      <c r="L1134" s="58">
        <f t="shared" si="118"/>
        <v>47366</v>
      </c>
      <c r="M1134" s="59">
        <f t="shared" si="116"/>
        <v>0</v>
      </c>
      <c r="N1134" s="59">
        <f t="shared" si="114"/>
        <v>100000</v>
      </c>
      <c r="O1134" s="59">
        <f t="shared" si="117"/>
        <v>13.698630136986301</v>
      </c>
      <c r="P1134" s="59">
        <f t="shared" si="115"/>
        <v>8.2191780821917817</v>
      </c>
    </row>
    <row r="1135" spans="12:16" ht="15" hidden="1" customHeight="1">
      <c r="L1135" s="58">
        <f t="shared" si="118"/>
        <v>47367</v>
      </c>
      <c r="M1135" s="59">
        <f t="shared" si="116"/>
        <v>0</v>
      </c>
      <c r="N1135" s="59">
        <f t="shared" si="114"/>
        <v>100000</v>
      </c>
      <c r="O1135" s="59">
        <f t="shared" si="117"/>
        <v>13.698630136986301</v>
      </c>
      <c r="P1135" s="59">
        <f t="shared" si="115"/>
        <v>8.2191780821917817</v>
      </c>
    </row>
    <row r="1136" spans="12:16" ht="15" hidden="1" customHeight="1">
      <c r="L1136" s="58">
        <f t="shared" si="118"/>
        <v>47368</v>
      </c>
      <c r="M1136" s="59">
        <f t="shared" si="116"/>
        <v>0</v>
      </c>
      <c r="N1136" s="59">
        <f t="shared" ref="N1136:N1199" si="119">IF(ISNUMBER(N1135),N1135-M1136,$E$8)</f>
        <v>100000</v>
      </c>
      <c r="O1136" s="59">
        <f t="shared" si="117"/>
        <v>13.698630136986301</v>
      </c>
      <c r="P1136" s="59">
        <f t="shared" ref="P1136:P1199" si="120">IFERROR(IF(ISNUMBER(N1135),N1135,$E$8)*3%/IF(MOD(YEAR(L1136),4),365,366)*IF(ISBLANK(L1135),(L1136-$F$5),L1136-L1135),0)</f>
        <v>8.2191780821917817</v>
      </c>
    </row>
    <row r="1137" spans="12:16" ht="15" hidden="1" customHeight="1">
      <c r="L1137" s="58">
        <f t="shared" si="118"/>
        <v>47369</v>
      </c>
      <c r="M1137" s="59">
        <f t="shared" si="116"/>
        <v>0</v>
      </c>
      <c r="N1137" s="59">
        <f t="shared" si="119"/>
        <v>100000</v>
      </c>
      <c r="O1137" s="59">
        <f t="shared" si="117"/>
        <v>13.698630136986301</v>
      </c>
      <c r="P1137" s="59">
        <f t="shared" si="120"/>
        <v>8.2191780821917817</v>
      </c>
    </row>
    <row r="1138" spans="12:16" ht="15" hidden="1" customHeight="1">
      <c r="L1138" s="58">
        <f t="shared" si="118"/>
        <v>47370</v>
      </c>
      <c r="M1138" s="59">
        <f t="shared" si="116"/>
        <v>0</v>
      </c>
      <c r="N1138" s="59">
        <f t="shared" si="119"/>
        <v>100000</v>
      </c>
      <c r="O1138" s="59">
        <f t="shared" si="117"/>
        <v>13.698630136986301</v>
      </c>
      <c r="P1138" s="59">
        <f t="shared" si="120"/>
        <v>8.2191780821917817</v>
      </c>
    </row>
    <row r="1139" spans="12:16" ht="15" hidden="1" customHeight="1">
      <c r="L1139" s="58">
        <f t="shared" si="118"/>
        <v>47371</v>
      </c>
      <c r="M1139" s="59">
        <f t="shared" si="116"/>
        <v>0</v>
      </c>
      <c r="N1139" s="59">
        <f t="shared" si="119"/>
        <v>100000</v>
      </c>
      <c r="O1139" s="59">
        <f t="shared" si="117"/>
        <v>13.698630136986301</v>
      </c>
      <c r="P1139" s="59">
        <f t="shared" si="120"/>
        <v>8.2191780821917817</v>
      </c>
    </row>
    <row r="1140" spans="12:16" ht="15" hidden="1" customHeight="1">
      <c r="L1140" s="58">
        <f t="shared" si="118"/>
        <v>47372</v>
      </c>
      <c r="M1140" s="59">
        <f t="shared" si="116"/>
        <v>0</v>
      </c>
      <c r="N1140" s="59">
        <f t="shared" si="119"/>
        <v>100000</v>
      </c>
      <c r="O1140" s="59">
        <f t="shared" si="117"/>
        <v>13.698630136986301</v>
      </c>
      <c r="P1140" s="59">
        <f t="shared" si="120"/>
        <v>8.2191780821917817</v>
      </c>
    </row>
    <row r="1141" spans="12:16" ht="15" hidden="1" customHeight="1">
      <c r="L1141" s="58">
        <f t="shared" si="118"/>
        <v>47373</v>
      </c>
      <c r="M1141" s="59">
        <f t="shared" si="116"/>
        <v>0</v>
      </c>
      <c r="N1141" s="59">
        <f t="shared" si="119"/>
        <v>100000</v>
      </c>
      <c r="O1141" s="59">
        <f t="shared" si="117"/>
        <v>13.698630136986301</v>
      </c>
      <c r="P1141" s="59">
        <f t="shared" si="120"/>
        <v>8.2191780821917817</v>
      </c>
    </row>
    <row r="1142" spans="12:16" ht="15" hidden="1" customHeight="1">
      <c r="L1142" s="58">
        <f t="shared" si="118"/>
        <v>47374</v>
      </c>
      <c r="M1142" s="59">
        <f t="shared" si="116"/>
        <v>0</v>
      </c>
      <c r="N1142" s="59">
        <f t="shared" si="119"/>
        <v>100000</v>
      </c>
      <c r="O1142" s="59">
        <f t="shared" si="117"/>
        <v>13.698630136986301</v>
      </c>
      <c r="P1142" s="59">
        <f t="shared" si="120"/>
        <v>8.2191780821917817</v>
      </c>
    </row>
    <row r="1143" spans="12:16" ht="15" hidden="1" customHeight="1">
      <c r="L1143" s="58">
        <f t="shared" si="118"/>
        <v>47375</v>
      </c>
      <c r="M1143" s="59">
        <f t="shared" si="116"/>
        <v>0</v>
      </c>
      <c r="N1143" s="59">
        <f t="shared" si="119"/>
        <v>100000</v>
      </c>
      <c r="O1143" s="59">
        <f t="shared" si="117"/>
        <v>13.698630136986301</v>
      </c>
      <c r="P1143" s="59">
        <f t="shared" si="120"/>
        <v>8.2191780821917817</v>
      </c>
    </row>
    <row r="1144" spans="12:16" ht="15" hidden="1" customHeight="1">
      <c r="L1144" s="58">
        <f t="shared" si="118"/>
        <v>47376</v>
      </c>
      <c r="M1144" s="59">
        <f t="shared" si="116"/>
        <v>0</v>
      </c>
      <c r="N1144" s="59">
        <f t="shared" si="119"/>
        <v>100000</v>
      </c>
      <c r="O1144" s="59">
        <f t="shared" si="117"/>
        <v>13.698630136986301</v>
      </c>
      <c r="P1144" s="59">
        <f t="shared" si="120"/>
        <v>8.2191780821917817</v>
      </c>
    </row>
    <row r="1145" spans="12:16" ht="15" hidden="1" customHeight="1">
      <c r="L1145" s="58">
        <f t="shared" si="118"/>
        <v>47377</v>
      </c>
      <c r="M1145" s="59">
        <f t="shared" si="116"/>
        <v>0</v>
      </c>
      <c r="N1145" s="59">
        <f t="shared" si="119"/>
        <v>100000</v>
      </c>
      <c r="O1145" s="59">
        <f t="shared" si="117"/>
        <v>13.698630136986301</v>
      </c>
      <c r="P1145" s="59">
        <f t="shared" si="120"/>
        <v>8.2191780821917817</v>
      </c>
    </row>
    <row r="1146" spans="12:16" ht="15" hidden="1" customHeight="1">
      <c r="L1146" s="58">
        <f t="shared" si="118"/>
        <v>47378</v>
      </c>
      <c r="M1146" s="59">
        <f t="shared" si="116"/>
        <v>0</v>
      </c>
      <c r="N1146" s="59">
        <f t="shared" si="119"/>
        <v>100000</v>
      </c>
      <c r="O1146" s="59">
        <f t="shared" si="117"/>
        <v>13.698630136986301</v>
      </c>
      <c r="P1146" s="59">
        <f t="shared" si="120"/>
        <v>8.2191780821917817</v>
      </c>
    </row>
    <row r="1147" spans="12:16" ht="15" hidden="1" customHeight="1">
      <c r="L1147" s="58">
        <f t="shared" si="118"/>
        <v>47379</v>
      </c>
      <c r="M1147" s="59">
        <f t="shared" si="116"/>
        <v>0</v>
      </c>
      <c r="N1147" s="59">
        <f t="shared" si="119"/>
        <v>100000</v>
      </c>
      <c r="O1147" s="59">
        <f t="shared" si="117"/>
        <v>13.698630136986301</v>
      </c>
      <c r="P1147" s="59">
        <f t="shared" si="120"/>
        <v>8.2191780821917817</v>
      </c>
    </row>
    <row r="1148" spans="12:16" ht="15" hidden="1" customHeight="1">
      <c r="L1148" s="58">
        <f t="shared" si="118"/>
        <v>47380</v>
      </c>
      <c r="M1148" s="59">
        <f t="shared" si="116"/>
        <v>0</v>
      </c>
      <c r="N1148" s="59">
        <f t="shared" si="119"/>
        <v>100000</v>
      </c>
      <c r="O1148" s="59">
        <f t="shared" si="117"/>
        <v>13.698630136986301</v>
      </c>
      <c r="P1148" s="59">
        <f t="shared" si="120"/>
        <v>8.2191780821917817</v>
      </c>
    </row>
    <row r="1149" spans="12:16" ht="15" hidden="1" customHeight="1">
      <c r="L1149" s="58">
        <f t="shared" si="118"/>
        <v>47381</v>
      </c>
      <c r="M1149" s="59">
        <f t="shared" si="116"/>
        <v>0</v>
      </c>
      <c r="N1149" s="59">
        <f t="shared" si="119"/>
        <v>100000</v>
      </c>
      <c r="O1149" s="59">
        <f t="shared" si="117"/>
        <v>13.698630136986301</v>
      </c>
      <c r="P1149" s="59">
        <f t="shared" si="120"/>
        <v>8.2191780821917817</v>
      </c>
    </row>
    <row r="1150" spans="12:16" ht="15" hidden="1" customHeight="1">
      <c r="L1150" s="58">
        <f t="shared" si="118"/>
        <v>47382</v>
      </c>
      <c r="M1150" s="59">
        <f t="shared" si="116"/>
        <v>0</v>
      </c>
      <c r="N1150" s="59">
        <f t="shared" si="119"/>
        <v>100000</v>
      </c>
      <c r="O1150" s="59">
        <f t="shared" si="117"/>
        <v>13.698630136986301</v>
      </c>
      <c r="P1150" s="59">
        <f t="shared" si="120"/>
        <v>8.2191780821917817</v>
      </c>
    </row>
    <row r="1151" spans="12:16" ht="15" hidden="1" customHeight="1">
      <c r="L1151" s="58">
        <f t="shared" si="118"/>
        <v>47383</v>
      </c>
      <c r="M1151" s="59">
        <f t="shared" si="116"/>
        <v>0</v>
      </c>
      <c r="N1151" s="59">
        <f t="shared" si="119"/>
        <v>100000</v>
      </c>
      <c r="O1151" s="59">
        <f t="shared" si="117"/>
        <v>13.698630136986301</v>
      </c>
      <c r="P1151" s="59">
        <f t="shared" si="120"/>
        <v>8.2191780821917817</v>
      </c>
    </row>
    <row r="1152" spans="12:16" ht="15" hidden="1" customHeight="1">
      <c r="L1152" s="58">
        <f t="shared" si="118"/>
        <v>47384</v>
      </c>
      <c r="M1152" s="59">
        <f t="shared" si="116"/>
        <v>0</v>
      </c>
      <c r="N1152" s="59">
        <f t="shared" si="119"/>
        <v>100000</v>
      </c>
      <c r="O1152" s="59">
        <f t="shared" si="117"/>
        <v>13.698630136986301</v>
      </c>
      <c r="P1152" s="59">
        <f t="shared" si="120"/>
        <v>8.2191780821917817</v>
      </c>
    </row>
    <row r="1153" spans="12:16" ht="15" hidden="1" customHeight="1">
      <c r="L1153" s="58">
        <f t="shared" si="118"/>
        <v>47385</v>
      </c>
      <c r="M1153" s="59">
        <f t="shared" si="116"/>
        <v>0</v>
      </c>
      <c r="N1153" s="59">
        <f t="shared" si="119"/>
        <v>100000</v>
      </c>
      <c r="O1153" s="59">
        <f t="shared" si="117"/>
        <v>13.698630136986301</v>
      </c>
      <c r="P1153" s="59">
        <f t="shared" si="120"/>
        <v>8.2191780821917817</v>
      </c>
    </row>
    <row r="1154" spans="12:16" ht="15" hidden="1" customHeight="1">
      <c r="L1154" s="58">
        <f t="shared" si="118"/>
        <v>47386</v>
      </c>
      <c r="M1154" s="59">
        <f t="shared" si="116"/>
        <v>0</v>
      </c>
      <c r="N1154" s="59">
        <f t="shared" si="119"/>
        <v>100000</v>
      </c>
      <c r="O1154" s="59">
        <f t="shared" si="117"/>
        <v>13.698630136986301</v>
      </c>
      <c r="P1154" s="59">
        <f t="shared" si="120"/>
        <v>8.2191780821917817</v>
      </c>
    </row>
    <row r="1155" spans="12:16" ht="15" hidden="1" customHeight="1">
      <c r="L1155" s="58">
        <f t="shared" si="118"/>
        <v>47387</v>
      </c>
      <c r="M1155" s="59">
        <f t="shared" si="116"/>
        <v>0</v>
      </c>
      <c r="N1155" s="59">
        <f t="shared" si="119"/>
        <v>100000</v>
      </c>
      <c r="O1155" s="59">
        <f t="shared" si="117"/>
        <v>13.698630136986301</v>
      </c>
      <c r="P1155" s="59">
        <f t="shared" si="120"/>
        <v>8.2191780821917817</v>
      </c>
    </row>
    <row r="1156" spans="12:16" ht="15" hidden="1" customHeight="1">
      <c r="L1156" s="58">
        <f t="shared" si="118"/>
        <v>47388</v>
      </c>
      <c r="M1156" s="59">
        <f t="shared" si="116"/>
        <v>0</v>
      </c>
      <c r="N1156" s="59">
        <f t="shared" si="119"/>
        <v>100000</v>
      </c>
      <c r="O1156" s="59">
        <f t="shared" si="117"/>
        <v>13.698630136986301</v>
      </c>
      <c r="P1156" s="59">
        <f t="shared" si="120"/>
        <v>8.2191780821917817</v>
      </c>
    </row>
    <row r="1157" spans="12:16" ht="15" hidden="1" customHeight="1">
      <c r="L1157" s="58">
        <f t="shared" si="118"/>
        <v>47389</v>
      </c>
      <c r="M1157" s="59">
        <f t="shared" si="116"/>
        <v>0</v>
      </c>
      <c r="N1157" s="59">
        <f t="shared" si="119"/>
        <v>100000</v>
      </c>
      <c r="O1157" s="59">
        <f t="shared" si="117"/>
        <v>13.698630136986301</v>
      </c>
      <c r="P1157" s="59">
        <f t="shared" si="120"/>
        <v>8.2191780821917817</v>
      </c>
    </row>
    <row r="1158" spans="12:16" ht="15" hidden="1" customHeight="1">
      <c r="L1158" s="58">
        <f t="shared" si="118"/>
        <v>47390</v>
      </c>
      <c r="M1158" s="59">
        <f t="shared" si="116"/>
        <v>0</v>
      </c>
      <c r="N1158" s="59">
        <f t="shared" si="119"/>
        <v>100000</v>
      </c>
      <c r="O1158" s="59">
        <f t="shared" si="117"/>
        <v>13.698630136986301</v>
      </c>
      <c r="P1158" s="59">
        <f t="shared" si="120"/>
        <v>8.2191780821917817</v>
      </c>
    </row>
    <row r="1159" spans="12:16" ht="15" hidden="1" customHeight="1">
      <c r="L1159" s="58">
        <f t="shared" si="118"/>
        <v>47391</v>
      </c>
      <c r="M1159" s="59">
        <f t="shared" si="116"/>
        <v>0</v>
      </c>
      <c r="N1159" s="59">
        <f t="shared" si="119"/>
        <v>100000</v>
      </c>
      <c r="O1159" s="59">
        <f t="shared" si="117"/>
        <v>13.698630136986301</v>
      </c>
      <c r="P1159" s="59">
        <f t="shared" si="120"/>
        <v>8.2191780821917817</v>
      </c>
    </row>
    <row r="1160" spans="12:16" ht="15" hidden="1" customHeight="1">
      <c r="L1160" s="58">
        <f t="shared" si="118"/>
        <v>47392</v>
      </c>
      <c r="M1160" s="59">
        <f t="shared" si="116"/>
        <v>0</v>
      </c>
      <c r="N1160" s="59">
        <f t="shared" si="119"/>
        <v>100000</v>
      </c>
      <c r="O1160" s="59">
        <f t="shared" si="117"/>
        <v>13.698630136986301</v>
      </c>
      <c r="P1160" s="59">
        <f t="shared" si="120"/>
        <v>8.2191780821917817</v>
      </c>
    </row>
    <row r="1161" spans="12:16" ht="15" hidden="1" customHeight="1">
      <c r="L1161" s="58">
        <f t="shared" si="118"/>
        <v>47393</v>
      </c>
      <c r="M1161" s="59">
        <f t="shared" si="116"/>
        <v>0</v>
      </c>
      <c r="N1161" s="59">
        <f t="shared" si="119"/>
        <v>100000</v>
      </c>
      <c r="O1161" s="59">
        <f t="shared" si="117"/>
        <v>13.698630136986301</v>
      </c>
      <c r="P1161" s="59">
        <f t="shared" si="120"/>
        <v>8.2191780821917817</v>
      </c>
    </row>
    <row r="1162" spans="12:16" ht="15" hidden="1" customHeight="1">
      <c r="L1162" s="58">
        <f t="shared" si="118"/>
        <v>47394</v>
      </c>
      <c r="M1162" s="59">
        <f t="shared" si="116"/>
        <v>0</v>
      </c>
      <c r="N1162" s="59">
        <f t="shared" si="119"/>
        <v>100000</v>
      </c>
      <c r="O1162" s="59">
        <f t="shared" si="117"/>
        <v>13.698630136986301</v>
      </c>
      <c r="P1162" s="59">
        <f t="shared" si="120"/>
        <v>8.2191780821917817</v>
      </c>
    </row>
    <row r="1163" spans="12:16" ht="15" hidden="1" customHeight="1">
      <c r="L1163" s="58">
        <f t="shared" si="118"/>
        <v>47395</v>
      </c>
      <c r="M1163" s="59">
        <f t="shared" si="116"/>
        <v>0</v>
      </c>
      <c r="N1163" s="59">
        <f t="shared" si="119"/>
        <v>100000</v>
      </c>
      <c r="O1163" s="59">
        <f t="shared" si="117"/>
        <v>13.698630136986301</v>
      </c>
      <c r="P1163" s="59">
        <f t="shared" si="120"/>
        <v>8.2191780821917817</v>
      </c>
    </row>
    <row r="1164" spans="12:16" ht="15" hidden="1" customHeight="1">
      <c r="L1164" s="58">
        <f t="shared" si="118"/>
        <v>47396</v>
      </c>
      <c r="M1164" s="59">
        <f t="shared" si="116"/>
        <v>0</v>
      </c>
      <c r="N1164" s="59">
        <f t="shared" si="119"/>
        <v>100000</v>
      </c>
      <c r="O1164" s="59">
        <f t="shared" si="117"/>
        <v>13.698630136986301</v>
      </c>
      <c r="P1164" s="59">
        <f t="shared" si="120"/>
        <v>8.2191780821917817</v>
      </c>
    </row>
    <row r="1165" spans="12:16" ht="15" hidden="1" customHeight="1">
      <c r="L1165" s="58">
        <f t="shared" si="118"/>
        <v>47397</v>
      </c>
      <c r="M1165" s="59">
        <f t="shared" si="116"/>
        <v>0</v>
      </c>
      <c r="N1165" s="59">
        <f t="shared" si="119"/>
        <v>100000</v>
      </c>
      <c r="O1165" s="59">
        <f t="shared" si="117"/>
        <v>13.698630136986301</v>
      </c>
      <c r="P1165" s="59">
        <f t="shared" si="120"/>
        <v>8.2191780821917817</v>
      </c>
    </row>
    <row r="1166" spans="12:16" ht="15" hidden="1" customHeight="1">
      <c r="L1166" s="58">
        <f t="shared" si="118"/>
        <v>47398</v>
      </c>
      <c r="M1166" s="59">
        <f t="shared" si="116"/>
        <v>0</v>
      </c>
      <c r="N1166" s="59">
        <f t="shared" si="119"/>
        <v>100000</v>
      </c>
      <c r="O1166" s="59">
        <f t="shared" si="117"/>
        <v>13.698630136986301</v>
      </c>
      <c r="P1166" s="59">
        <f t="shared" si="120"/>
        <v>8.2191780821917817</v>
      </c>
    </row>
    <row r="1167" spans="12:16" ht="15" hidden="1" customHeight="1">
      <c r="L1167" s="58">
        <f t="shared" si="118"/>
        <v>47399</v>
      </c>
      <c r="M1167" s="59">
        <f t="shared" si="116"/>
        <v>0</v>
      </c>
      <c r="N1167" s="59">
        <f t="shared" si="119"/>
        <v>100000</v>
      </c>
      <c r="O1167" s="59">
        <f t="shared" si="117"/>
        <v>13.698630136986301</v>
      </c>
      <c r="P1167" s="59">
        <f t="shared" si="120"/>
        <v>8.2191780821917817</v>
      </c>
    </row>
    <row r="1168" spans="12:16" ht="15" hidden="1" customHeight="1">
      <c r="L1168" s="58">
        <f t="shared" si="118"/>
        <v>47400</v>
      </c>
      <c r="M1168" s="59">
        <f t="shared" si="116"/>
        <v>0</v>
      </c>
      <c r="N1168" s="59">
        <f t="shared" si="119"/>
        <v>100000</v>
      </c>
      <c r="O1168" s="59">
        <f t="shared" si="117"/>
        <v>13.698630136986301</v>
      </c>
      <c r="P1168" s="59">
        <f t="shared" si="120"/>
        <v>8.2191780821917817</v>
      </c>
    </row>
    <row r="1169" spans="12:16" ht="15" hidden="1" customHeight="1">
      <c r="L1169" s="58">
        <f t="shared" si="118"/>
        <v>47401</v>
      </c>
      <c r="M1169" s="59">
        <f t="shared" si="116"/>
        <v>0</v>
      </c>
      <c r="N1169" s="59">
        <f t="shared" si="119"/>
        <v>100000</v>
      </c>
      <c r="O1169" s="59">
        <f t="shared" si="117"/>
        <v>13.698630136986301</v>
      </c>
      <c r="P1169" s="59">
        <f t="shared" si="120"/>
        <v>8.2191780821917817</v>
      </c>
    </row>
    <row r="1170" spans="12:16" ht="15" hidden="1" customHeight="1">
      <c r="L1170" s="58">
        <f t="shared" si="118"/>
        <v>47402</v>
      </c>
      <c r="M1170" s="59">
        <f t="shared" si="116"/>
        <v>0</v>
      </c>
      <c r="N1170" s="59">
        <f t="shared" si="119"/>
        <v>100000</v>
      </c>
      <c r="O1170" s="59">
        <f t="shared" si="117"/>
        <v>13.698630136986301</v>
      </c>
      <c r="P1170" s="59">
        <f t="shared" si="120"/>
        <v>8.2191780821917817</v>
      </c>
    </row>
    <row r="1171" spans="12:16" ht="15" hidden="1" customHeight="1">
      <c r="L1171" s="58">
        <f t="shared" si="118"/>
        <v>47403</v>
      </c>
      <c r="M1171" s="59">
        <f t="shared" ref="M1171:M1234" si="121">IFERROR(VLOOKUP(L1171,$B$19:$E$80,4,FALSE),0)</f>
        <v>0</v>
      </c>
      <c r="N1171" s="59">
        <f t="shared" si="119"/>
        <v>100000</v>
      </c>
      <c r="O1171" s="59">
        <f t="shared" ref="O1171:O1234" si="122">IFERROR(IF(ISNUMBER(N1170),N1170,$E$8)*IF(L1171&gt;=$J$8,$E$12,$E$12)/IF(MOD(YEAR(L1171),4),365,366)*IF(ISBLANK(L1170),L1171-$F$5,L1171-L1170),0)</f>
        <v>13.698630136986301</v>
      </c>
      <c r="P1171" s="59">
        <f t="shared" si="120"/>
        <v>8.2191780821917817</v>
      </c>
    </row>
    <row r="1172" spans="12:16" ht="15" hidden="1" customHeight="1">
      <c r="L1172" s="58">
        <f t="shared" si="118"/>
        <v>47404</v>
      </c>
      <c r="M1172" s="59">
        <f t="shared" si="121"/>
        <v>0</v>
      </c>
      <c r="N1172" s="59">
        <f t="shared" si="119"/>
        <v>100000</v>
      </c>
      <c r="O1172" s="59">
        <f t="shared" si="122"/>
        <v>13.698630136986301</v>
      </c>
      <c r="P1172" s="59">
        <f t="shared" si="120"/>
        <v>8.2191780821917817</v>
      </c>
    </row>
    <row r="1173" spans="12:16" ht="15" hidden="1" customHeight="1">
      <c r="L1173" s="58">
        <f t="shared" si="118"/>
        <v>47405</v>
      </c>
      <c r="M1173" s="59">
        <f t="shared" si="121"/>
        <v>0</v>
      </c>
      <c r="N1173" s="59">
        <f t="shared" si="119"/>
        <v>100000</v>
      </c>
      <c r="O1173" s="59">
        <f t="shared" si="122"/>
        <v>13.698630136986301</v>
      </c>
      <c r="P1173" s="59">
        <f t="shared" si="120"/>
        <v>8.2191780821917817</v>
      </c>
    </row>
    <row r="1174" spans="12:16" ht="15" hidden="1" customHeight="1">
      <c r="L1174" s="58">
        <f t="shared" si="118"/>
        <v>47406</v>
      </c>
      <c r="M1174" s="59">
        <f t="shared" si="121"/>
        <v>0</v>
      </c>
      <c r="N1174" s="59">
        <f t="shared" si="119"/>
        <v>100000</v>
      </c>
      <c r="O1174" s="59">
        <f t="shared" si="122"/>
        <v>13.698630136986301</v>
      </c>
      <c r="P1174" s="59">
        <f t="shared" si="120"/>
        <v>8.2191780821917817</v>
      </c>
    </row>
    <row r="1175" spans="12:16" ht="15" hidden="1" customHeight="1">
      <c r="L1175" s="58">
        <f t="shared" si="118"/>
        <v>47407</v>
      </c>
      <c r="M1175" s="59">
        <f t="shared" si="121"/>
        <v>0</v>
      </c>
      <c r="N1175" s="59">
        <f t="shared" si="119"/>
        <v>100000</v>
      </c>
      <c r="O1175" s="59">
        <f t="shared" si="122"/>
        <v>13.698630136986301</v>
      </c>
      <c r="P1175" s="59">
        <f t="shared" si="120"/>
        <v>8.2191780821917817</v>
      </c>
    </row>
    <row r="1176" spans="12:16" ht="15" hidden="1" customHeight="1">
      <c r="L1176" s="58">
        <f t="shared" si="118"/>
        <v>47408</v>
      </c>
      <c r="M1176" s="59">
        <f t="shared" si="121"/>
        <v>0</v>
      </c>
      <c r="N1176" s="59">
        <f t="shared" si="119"/>
        <v>100000</v>
      </c>
      <c r="O1176" s="59">
        <f t="shared" si="122"/>
        <v>13.698630136986301</v>
      </c>
      <c r="P1176" s="59">
        <f t="shared" si="120"/>
        <v>8.2191780821917817</v>
      </c>
    </row>
    <row r="1177" spans="12:16" ht="15" hidden="1" customHeight="1">
      <c r="L1177" s="58">
        <f t="shared" si="118"/>
        <v>47409</v>
      </c>
      <c r="M1177" s="59">
        <f t="shared" si="121"/>
        <v>0</v>
      </c>
      <c r="N1177" s="59">
        <f t="shared" si="119"/>
        <v>100000</v>
      </c>
      <c r="O1177" s="59">
        <f t="shared" si="122"/>
        <v>13.698630136986301</v>
      </c>
      <c r="P1177" s="59">
        <f t="shared" si="120"/>
        <v>8.2191780821917817</v>
      </c>
    </row>
    <row r="1178" spans="12:16" ht="15" hidden="1" customHeight="1">
      <c r="L1178" s="58">
        <f t="shared" si="118"/>
        <v>47410</v>
      </c>
      <c r="M1178" s="59">
        <f t="shared" si="121"/>
        <v>0</v>
      </c>
      <c r="N1178" s="59">
        <f t="shared" si="119"/>
        <v>100000</v>
      </c>
      <c r="O1178" s="59">
        <f t="shared" si="122"/>
        <v>13.698630136986301</v>
      </c>
      <c r="P1178" s="59">
        <f t="shared" si="120"/>
        <v>8.2191780821917817</v>
      </c>
    </row>
    <row r="1179" spans="12:16" ht="15" hidden="1" customHeight="1">
      <c r="L1179" s="58">
        <f t="shared" si="118"/>
        <v>47411</v>
      </c>
      <c r="M1179" s="59">
        <f t="shared" si="121"/>
        <v>0</v>
      </c>
      <c r="N1179" s="59">
        <f t="shared" si="119"/>
        <v>100000</v>
      </c>
      <c r="O1179" s="59">
        <f t="shared" si="122"/>
        <v>13.698630136986301</v>
      </c>
      <c r="P1179" s="59">
        <f t="shared" si="120"/>
        <v>8.2191780821917817</v>
      </c>
    </row>
    <row r="1180" spans="12:16" ht="15" hidden="1" customHeight="1">
      <c r="L1180" s="58">
        <f t="shared" si="118"/>
        <v>47412</v>
      </c>
      <c r="M1180" s="59">
        <f t="shared" si="121"/>
        <v>0</v>
      </c>
      <c r="N1180" s="59">
        <f t="shared" si="119"/>
        <v>100000</v>
      </c>
      <c r="O1180" s="59">
        <f t="shared" si="122"/>
        <v>13.698630136986301</v>
      </c>
      <c r="P1180" s="59">
        <f t="shared" si="120"/>
        <v>8.2191780821917817</v>
      </c>
    </row>
    <row r="1181" spans="12:16" ht="15" hidden="1" customHeight="1">
      <c r="L1181" s="58">
        <f t="shared" si="118"/>
        <v>47413</v>
      </c>
      <c r="M1181" s="59">
        <f t="shared" si="121"/>
        <v>0</v>
      </c>
      <c r="N1181" s="59">
        <f t="shared" si="119"/>
        <v>100000</v>
      </c>
      <c r="O1181" s="59">
        <f t="shared" si="122"/>
        <v>13.698630136986301</v>
      </c>
      <c r="P1181" s="59">
        <f t="shared" si="120"/>
        <v>8.2191780821917817</v>
      </c>
    </row>
    <row r="1182" spans="12:16" ht="15" hidden="1" customHeight="1">
      <c r="L1182" s="58">
        <f t="shared" si="118"/>
        <v>47414</v>
      </c>
      <c r="M1182" s="59">
        <f t="shared" si="121"/>
        <v>0</v>
      </c>
      <c r="N1182" s="59">
        <f t="shared" si="119"/>
        <v>100000</v>
      </c>
      <c r="O1182" s="59">
        <f t="shared" si="122"/>
        <v>13.698630136986301</v>
      </c>
      <c r="P1182" s="59">
        <f t="shared" si="120"/>
        <v>8.2191780821917817</v>
      </c>
    </row>
    <row r="1183" spans="12:16" ht="15" hidden="1" customHeight="1">
      <c r="L1183" s="58">
        <f t="shared" si="118"/>
        <v>47415</v>
      </c>
      <c r="M1183" s="59">
        <f t="shared" si="121"/>
        <v>0</v>
      </c>
      <c r="N1183" s="59">
        <f t="shared" si="119"/>
        <v>100000</v>
      </c>
      <c r="O1183" s="59">
        <f t="shared" si="122"/>
        <v>13.698630136986301</v>
      </c>
      <c r="P1183" s="59">
        <f t="shared" si="120"/>
        <v>8.2191780821917817</v>
      </c>
    </row>
    <row r="1184" spans="12:16" ht="15" hidden="1" customHeight="1">
      <c r="L1184" s="58">
        <f t="shared" si="118"/>
        <v>47416</v>
      </c>
      <c r="M1184" s="59">
        <f t="shared" si="121"/>
        <v>0</v>
      </c>
      <c r="N1184" s="59">
        <f t="shared" si="119"/>
        <v>100000</v>
      </c>
      <c r="O1184" s="59">
        <f t="shared" si="122"/>
        <v>13.698630136986301</v>
      </c>
      <c r="P1184" s="59">
        <f t="shared" si="120"/>
        <v>8.2191780821917817</v>
      </c>
    </row>
    <row r="1185" spans="12:16" ht="15" hidden="1" customHeight="1">
      <c r="L1185" s="58">
        <f t="shared" si="118"/>
        <v>47417</v>
      </c>
      <c r="M1185" s="59">
        <f t="shared" si="121"/>
        <v>0</v>
      </c>
      <c r="N1185" s="59">
        <f t="shared" si="119"/>
        <v>100000</v>
      </c>
      <c r="O1185" s="59">
        <f t="shared" si="122"/>
        <v>13.698630136986301</v>
      </c>
      <c r="P1185" s="59">
        <f t="shared" si="120"/>
        <v>8.2191780821917817</v>
      </c>
    </row>
    <row r="1186" spans="12:16" ht="15" hidden="1" customHeight="1">
      <c r="L1186" s="58">
        <f t="shared" ref="L1186:L1249" si="123">IFERROR(IF(MAX(L1185+1,$F$5+1)&gt;Дата_погашения_Займа,"-",MAX(L1185+1,$F$5+1)),"-")</f>
        <v>47418</v>
      </c>
      <c r="M1186" s="59">
        <f t="shared" si="121"/>
        <v>0</v>
      </c>
      <c r="N1186" s="59">
        <f t="shared" si="119"/>
        <v>100000</v>
      </c>
      <c r="O1186" s="59">
        <f t="shared" si="122"/>
        <v>13.698630136986301</v>
      </c>
      <c r="P1186" s="59">
        <f t="shared" si="120"/>
        <v>8.2191780821917817</v>
      </c>
    </row>
    <row r="1187" spans="12:16" ht="15" hidden="1" customHeight="1">
      <c r="L1187" s="58">
        <f t="shared" si="123"/>
        <v>47419</v>
      </c>
      <c r="M1187" s="59">
        <f t="shared" si="121"/>
        <v>0</v>
      </c>
      <c r="N1187" s="59">
        <f t="shared" si="119"/>
        <v>100000</v>
      </c>
      <c r="O1187" s="59">
        <f t="shared" si="122"/>
        <v>13.698630136986301</v>
      </c>
      <c r="P1187" s="59">
        <f t="shared" si="120"/>
        <v>8.2191780821917817</v>
      </c>
    </row>
    <row r="1188" spans="12:16" ht="15" hidden="1" customHeight="1">
      <c r="L1188" s="58">
        <f t="shared" si="123"/>
        <v>47420</v>
      </c>
      <c r="M1188" s="59">
        <f t="shared" si="121"/>
        <v>0</v>
      </c>
      <c r="N1188" s="59">
        <f t="shared" si="119"/>
        <v>100000</v>
      </c>
      <c r="O1188" s="59">
        <f t="shared" si="122"/>
        <v>13.698630136986301</v>
      </c>
      <c r="P1188" s="59">
        <f t="shared" si="120"/>
        <v>8.2191780821917817</v>
      </c>
    </row>
    <row r="1189" spans="12:16" ht="15" hidden="1" customHeight="1">
      <c r="L1189" s="58">
        <f t="shared" si="123"/>
        <v>47421</v>
      </c>
      <c r="M1189" s="59">
        <f t="shared" si="121"/>
        <v>0</v>
      </c>
      <c r="N1189" s="59">
        <f t="shared" si="119"/>
        <v>100000</v>
      </c>
      <c r="O1189" s="59">
        <f t="shared" si="122"/>
        <v>13.698630136986301</v>
      </c>
      <c r="P1189" s="59">
        <f t="shared" si="120"/>
        <v>8.2191780821917817</v>
      </c>
    </row>
    <row r="1190" spans="12:16" ht="15" hidden="1" customHeight="1">
      <c r="L1190" s="58">
        <f t="shared" si="123"/>
        <v>47422</v>
      </c>
      <c r="M1190" s="59">
        <f t="shared" si="121"/>
        <v>0</v>
      </c>
      <c r="N1190" s="59">
        <f t="shared" si="119"/>
        <v>100000</v>
      </c>
      <c r="O1190" s="59">
        <f t="shared" si="122"/>
        <v>13.698630136986301</v>
      </c>
      <c r="P1190" s="59">
        <f t="shared" si="120"/>
        <v>8.2191780821917817</v>
      </c>
    </row>
    <row r="1191" spans="12:16" ht="15" hidden="1" customHeight="1">
      <c r="L1191" s="58">
        <f t="shared" si="123"/>
        <v>47423</v>
      </c>
      <c r="M1191" s="59">
        <f t="shared" si="121"/>
        <v>0</v>
      </c>
      <c r="N1191" s="59">
        <f t="shared" si="119"/>
        <v>100000</v>
      </c>
      <c r="O1191" s="59">
        <f t="shared" si="122"/>
        <v>13.698630136986301</v>
      </c>
      <c r="P1191" s="59">
        <f t="shared" si="120"/>
        <v>8.2191780821917817</v>
      </c>
    </row>
    <row r="1192" spans="12:16" ht="15" hidden="1" customHeight="1">
      <c r="L1192" s="58">
        <f t="shared" si="123"/>
        <v>47424</v>
      </c>
      <c r="M1192" s="59">
        <f t="shared" si="121"/>
        <v>0</v>
      </c>
      <c r="N1192" s="59">
        <f t="shared" si="119"/>
        <v>100000</v>
      </c>
      <c r="O1192" s="59">
        <f t="shared" si="122"/>
        <v>13.698630136986301</v>
      </c>
      <c r="P1192" s="59">
        <f t="shared" si="120"/>
        <v>8.2191780821917817</v>
      </c>
    </row>
    <row r="1193" spans="12:16" ht="15" hidden="1" customHeight="1">
      <c r="L1193" s="58">
        <f t="shared" si="123"/>
        <v>47425</v>
      </c>
      <c r="M1193" s="59">
        <f t="shared" si="121"/>
        <v>0</v>
      </c>
      <c r="N1193" s="59">
        <f t="shared" si="119"/>
        <v>100000</v>
      </c>
      <c r="O1193" s="59">
        <f t="shared" si="122"/>
        <v>13.698630136986301</v>
      </c>
      <c r="P1193" s="59">
        <f t="shared" si="120"/>
        <v>8.2191780821917817</v>
      </c>
    </row>
    <row r="1194" spans="12:16" ht="15" hidden="1" customHeight="1">
      <c r="L1194" s="58">
        <f t="shared" si="123"/>
        <v>47426</v>
      </c>
      <c r="M1194" s="59">
        <f t="shared" si="121"/>
        <v>0</v>
      </c>
      <c r="N1194" s="59">
        <f t="shared" si="119"/>
        <v>100000</v>
      </c>
      <c r="O1194" s="59">
        <f t="shared" si="122"/>
        <v>13.698630136986301</v>
      </c>
      <c r="P1194" s="59">
        <f t="shared" si="120"/>
        <v>8.2191780821917817</v>
      </c>
    </row>
    <row r="1195" spans="12:16" ht="15" hidden="1" customHeight="1">
      <c r="L1195" s="58">
        <f t="shared" si="123"/>
        <v>47427</v>
      </c>
      <c r="M1195" s="59">
        <f t="shared" si="121"/>
        <v>0</v>
      </c>
      <c r="N1195" s="59">
        <f t="shared" si="119"/>
        <v>100000</v>
      </c>
      <c r="O1195" s="59">
        <f t="shared" si="122"/>
        <v>13.698630136986301</v>
      </c>
      <c r="P1195" s="59">
        <f t="shared" si="120"/>
        <v>8.2191780821917817</v>
      </c>
    </row>
    <row r="1196" spans="12:16" ht="15" hidden="1" customHeight="1">
      <c r="L1196" s="58">
        <f t="shared" si="123"/>
        <v>47428</v>
      </c>
      <c r="M1196" s="59">
        <f t="shared" si="121"/>
        <v>0</v>
      </c>
      <c r="N1196" s="59">
        <f t="shared" si="119"/>
        <v>100000</v>
      </c>
      <c r="O1196" s="59">
        <f t="shared" si="122"/>
        <v>13.698630136986301</v>
      </c>
      <c r="P1196" s="59">
        <f t="shared" si="120"/>
        <v>8.2191780821917817</v>
      </c>
    </row>
    <row r="1197" spans="12:16" ht="15" hidden="1" customHeight="1">
      <c r="L1197" s="58">
        <f t="shared" si="123"/>
        <v>47429</v>
      </c>
      <c r="M1197" s="59">
        <f t="shared" si="121"/>
        <v>0</v>
      </c>
      <c r="N1197" s="59">
        <f t="shared" si="119"/>
        <v>100000</v>
      </c>
      <c r="O1197" s="59">
        <f t="shared" si="122"/>
        <v>13.698630136986301</v>
      </c>
      <c r="P1197" s="59">
        <f t="shared" si="120"/>
        <v>8.2191780821917817</v>
      </c>
    </row>
    <row r="1198" spans="12:16" ht="15" hidden="1" customHeight="1">
      <c r="L1198" s="58">
        <f t="shared" si="123"/>
        <v>47430</v>
      </c>
      <c r="M1198" s="59">
        <f t="shared" si="121"/>
        <v>0</v>
      </c>
      <c r="N1198" s="59">
        <f t="shared" si="119"/>
        <v>100000</v>
      </c>
      <c r="O1198" s="59">
        <f t="shared" si="122"/>
        <v>13.698630136986301</v>
      </c>
      <c r="P1198" s="59">
        <f t="shared" si="120"/>
        <v>8.2191780821917817</v>
      </c>
    </row>
    <row r="1199" spans="12:16" ht="15" hidden="1" customHeight="1">
      <c r="L1199" s="58">
        <f t="shared" si="123"/>
        <v>47431</v>
      </c>
      <c r="M1199" s="59">
        <f t="shared" si="121"/>
        <v>0</v>
      </c>
      <c r="N1199" s="59">
        <f t="shared" si="119"/>
        <v>100000</v>
      </c>
      <c r="O1199" s="59">
        <f t="shared" si="122"/>
        <v>13.698630136986301</v>
      </c>
      <c r="P1199" s="59">
        <f t="shared" si="120"/>
        <v>8.2191780821917817</v>
      </c>
    </row>
    <row r="1200" spans="12:16" ht="15" hidden="1" customHeight="1">
      <c r="L1200" s="58">
        <f t="shared" si="123"/>
        <v>47432</v>
      </c>
      <c r="M1200" s="59">
        <f t="shared" si="121"/>
        <v>0</v>
      </c>
      <c r="N1200" s="59">
        <f t="shared" ref="N1200:N1263" si="124">IF(ISNUMBER(N1199),N1199-M1200,$E$8)</f>
        <v>100000</v>
      </c>
      <c r="O1200" s="59">
        <f t="shared" si="122"/>
        <v>13.698630136986301</v>
      </c>
      <c r="P1200" s="59">
        <f t="shared" ref="P1200:P1263" si="125">IFERROR(IF(ISNUMBER(N1199),N1199,$E$8)*3%/IF(MOD(YEAR(L1200),4),365,366)*IF(ISBLANK(L1199),(L1200-$F$5),L1200-L1199),0)</f>
        <v>8.2191780821917817</v>
      </c>
    </row>
    <row r="1201" spans="12:16" ht="15" hidden="1" customHeight="1">
      <c r="L1201" s="58">
        <f t="shared" si="123"/>
        <v>47433</v>
      </c>
      <c r="M1201" s="59">
        <f t="shared" si="121"/>
        <v>0</v>
      </c>
      <c r="N1201" s="59">
        <f t="shared" si="124"/>
        <v>100000</v>
      </c>
      <c r="O1201" s="59">
        <f t="shared" si="122"/>
        <v>13.698630136986301</v>
      </c>
      <c r="P1201" s="59">
        <f t="shared" si="125"/>
        <v>8.2191780821917817</v>
      </c>
    </row>
    <row r="1202" spans="12:16" ht="15" hidden="1" customHeight="1">
      <c r="L1202" s="58">
        <f t="shared" si="123"/>
        <v>47434</v>
      </c>
      <c r="M1202" s="59">
        <f t="shared" si="121"/>
        <v>0</v>
      </c>
      <c r="N1202" s="59">
        <f t="shared" si="124"/>
        <v>100000</v>
      </c>
      <c r="O1202" s="59">
        <f t="shared" si="122"/>
        <v>13.698630136986301</v>
      </c>
      <c r="P1202" s="59">
        <f t="shared" si="125"/>
        <v>8.2191780821917817</v>
      </c>
    </row>
    <row r="1203" spans="12:16" ht="15" hidden="1" customHeight="1">
      <c r="L1203" s="58">
        <f t="shared" si="123"/>
        <v>47435</v>
      </c>
      <c r="M1203" s="59">
        <f t="shared" si="121"/>
        <v>0</v>
      </c>
      <c r="N1203" s="59">
        <f t="shared" si="124"/>
        <v>100000</v>
      </c>
      <c r="O1203" s="59">
        <f t="shared" si="122"/>
        <v>13.698630136986301</v>
      </c>
      <c r="P1203" s="59">
        <f t="shared" si="125"/>
        <v>8.2191780821917817</v>
      </c>
    </row>
    <row r="1204" spans="12:16" ht="15" hidden="1" customHeight="1">
      <c r="L1204" s="58">
        <f t="shared" si="123"/>
        <v>47436</v>
      </c>
      <c r="M1204" s="59">
        <f t="shared" si="121"/>
        <v>0</v>
      </c>
      <c r="N1204" s="59">
        <f t="shared" si="124"/>
        <v>100000</v>
      </c>
      <c r="O1204" s="59">
        <f t="shared" si="122"/>
        <v>13.698630136986301</v>
      </c>
      <c r="P1204" s="59">
        <f t="shared" si="125"/>
        <v>8.2191780821917817</v>
      </c>
    </row>
    <row r="1205" spans="12:16" ht="15" hidden="1" customHeight="1">
      <c r="L1205" s="58">
        <f t="shared" si="123"/>
        <v>47437</v>
      </c>
      <c r="M1205" s="59">
        <f t="shared" si="121"/>
        <v>0</v>
      </c>
      <c r="N1205" s="59">
        <f t="shared" si="124"/>
        <v>100000</v>
      </c>
      <c r="O1205" s="59">
        <f t="shared" si="122"/>
        <v>13.698630136986301</v>
      </c>
      <c r="P1205" s="59">
        <f t="shared" si="125"/>
        <v>8.2191780821917817</v>
      </c>
    </row>
    <row r="1206" spans="12:16" ht="15" hidden="1" customHeight="1">
      <c r="L1206" s="58">
        <f t="shared" si="123"/>
        <v>47438</v>
      </c>
      <c r="M1206" s="59">
        <f t="shared" si="121"/>
        <v>0</v>
      </c>
      <c r="N1206" s="59">
        <f t="shared" si="124"/>
        <v>100000</v>
      </c>
      <c r="O1206" s="59">
        <f t="shared" si="122"/>
        <v>13.698630136986301</v>
      </c>
      <c r="P1206" s="59">
        <f t="shared" si="125"/>
        <v>8.2191780821917817</v>
      </c>
    </row>
    <row r="1207" spans="12:16" ht="15" hidden="1" customHeight="1">
      <c r="L1207" s="58">
        <f t="shared" si="123"/>
        <v>47439</v>
      </c>
      <c r="M1207" s="59">
        <f t="shared" si="121"/>
        <v>0</v>
      </c>
      <c r="N1207" s="59">
        <f t="shared" si="124"/>
        <v>100000</v>
      </c>
      <c r="O1207" s="59">
        <f t="shared" si="122"/>
        <v>13.698630136986301</v>
      </c>
      <c r="P1207" s="59">
        <f t="shared" si="125"/>
        <v>8.2191780821917817</v>
      </c>
    </row>
    <row r="1208" spans="12:16" ht="15" hidden="1" customHeight="1">
      <c r="L1208" s="58">
        <f t="shared" si="123"/>
        <v>47440</v>
      </c>
      <c r="M1208" s="59">
        <f t="shared" si="121"/>
        <v>0</v>
      </c>
      <c r="N1208" s="59">
        <f t="shared" si="124"/>
        <v>100000</v>
      </c>
      <c r="O1208" s="59">
        <f t="shared" si="122"/>
        <v>13.698630136986301</v>
      </c>
      <c r="P1208" s="59">
        <f t="shared" si="125"/>
        <v>8.2191780821917817</v>
      </c>
    </row>
    <row r="1209" spans="12:16" ht="15" hidden="1" customHeight="1">
      <c r="L1209" s="58">
        <f t="shared" si="123"/>
        <v>47441</v>
      </c>
      <c r="M1209" s="59">
        <f t="shared" si="121"/>
        <v>0</v>
      </c>
      <c r="N1209" s="59">
        <f t="shared" si="124"/>
        <v>100000</v>
      </c>
      <c r="O1209" s="59">
        <f t="shared" si="122"/>
        <v>13.698630136986301</v>
      </c>
      <c r="P1209" s="59">
        <f t="shared" si="125"/>
        <v>8.2191780821917817</v>
      </c>
    </row>
    <row r="1210" spans="12:16" ht="15" hidden="1" customHeight="1">
      <c r="L1210" s="58">
        <f t="shared" si="123"/>
        <v>47442</v>
      </c>
      <c r="M1210" s="59">
        <f t="shared" si="121"/>
        <v>0</v>
      </c>
      <c r="N1210" s="59">
        <f t="shared" si="124"/>
        <v>100000</v>
      </c>
      <c r="O1210" s="59">
        <f t="shared" si="122"/>
        <v>13.698630136986301</v>
      </c>
      <c r="P1210" s="59">
        <f t="shared" si="125"/>
        <v>8.2191780821917817</v>
      </c>
    </row>
    <row r="1211" spans="12:16" ht="15" hidden="1" customHeight="1">
      <c r="L1211" s="58">
        <f t="shared" si="123"/>
        <v>47443</v>
      </c>
      <c r="M1211" s="59">
        <f t="shared" si="121"/>
        <v>0</v>
      </c>
      <c r="N1211" s="59">
        <f t="shared" si="124"/>
        <v>100000</v>
      </c>
      <c r="O1211" s="59">
        <f t="shared" si="122"/>
        <v>13.698630136986301</v>
      </c>
      <c r="P1211" s="59">
        <f t="shared" si="125"/>
        <v>8.2191780821917817</v>
      </c>
    </row>
    <row r="1212" spans="12:16" ht="15" hidden="1" customHeight="1">
      <c r="L1212" s="58">
        <f t="shared" si="123"/>
        <v>47444</v>
      </c>
      <c r="M1212" s="59">
        <f t="shared" si="121"/>
        <v>0</v>
      </c>
      <c r="N1212" s="59">
        <f t="shared" si="124"/>
        <v>100000</v>
      </c>
      <c r="O1212" s="59">
        <f t="shared" si="122"/>
        <v>13.698630136986301</v>
      </c>
      <c r="P1212" s="59">
        <f t="shared" si="125"/>
        <v>8.2191780821917817</v>
      </c>
    </row>
    <row r="1213" spans="12:16" ht="15" hidden="1" customHeight="1">
      <c r="L1213" s="58">
        <f t="shared" si="123"/>
        <v>47445</v>
      </c>
      <c r="M1213" s="59">
        <f t="shared" si="121"/>
        <v>0</v>
      </c>
      <c r="N1213" s="59">
        <f t="shared" si="124"/>
        <v>100000</v>
      </c>
      <c r="O1213" s="59">
        <f t="shared" si="122"/>
        <v>13.698630136986301</v>
      </c>
      <c r="P1213" s="59">
        <f t="shared" si="125"/>
        <v>8.2191780821917817</v>
      </c>
    </row>
    <row r="1214" spans="12:16" ht="15" hidden="1" customHeight="1">
      <c r="L1214" s="58">
        <f t="shared" si="123"/>
        <v>47446</v>
      </c>
      <c r="M1214" s="59">
        <f t="shared" si="121"/>
        <v>0</v>
      </c>
      <c r="N1214" s="59">
        <f t="shared" si="124"/>
        <v>100000</v>
      </c>
      <c r="O1214" s="59">
        <f t="shared" si="122"/>
        <v>13.698630136986301</v>
      </c>
      <c r="P1214" s="59">
        <f t="shared" si="125"/>
        <v>8.2191780821917817</v>
      </c>
    </row>
    <row r="1215" spans="12:16" ht="15" hidden="1" customHeight="1">
      <c r="L1215" s="58">
        <f t="shared" si="123"/>
        <v>47447</v>
      </c>
      <c r="M1215" s="59">
        <f t="shared" si="121"/>
        <v>0</v>
      </c>
      <c r="N1215" s="59">
        <f t="shared" si="124"/>
        <v>100000</v>
      </c>
      <c r="O1215" s="59">
        <f t="shared" si="122"/>
        <v>13.698630136986301</v>
      </c>
      <c r="P1215" s="59">
        <f t="shared" si="125"/>
        <v>8.2191780821917817</v>
      </c>
    </row>
    <row r="1216" spans="12:16" ht="15" hidden="1" customHeight="1">
      <c r="L1216" s="58">
        <f t="shared" si="123"/>
        <v>47448</v>
      </c>
      <c r="M1216" s="59">
        <f t="shared" si="121"/>
        <v>0</v>
      </c>
      <c r="N1216" s="59">
        <f t="shared" si="124"/>
        <v>100000</v>
      </c>
      <c r="O1216" s="59">
        <f t="shared" si="122"/>
        <v>13.698630136986301</v>
      </c>
      <c r="P1216" s="59">
        <f t="shared" si="125"/>
        <v>8.2191780821917817</v>
      </c>
    </row>
    <row r="1217" spans="12:16" ht="15" hidden="1" customHeight="1">
      <c r="L1217" s="58">
        <f t="shared" si="123"/>
        <v>47449</v>
      </c>
      <c r="M1217" s="59">
        <f t="shared" si="121"/>
        <v>0</v>
      </c>
      <c r="N1217" s="59">
        <f t="shared" si="124"/>
        <v>100000</v>
      </c>
      <c r="O1217" s="59">
        <f t="shared" si="122"/>
        <v>13.698630136986301</v>
      </c>
      <c r="P1217" s="59">
        <f t="shared" si="125"/>
        <v>8.2191780821917817</v>
      </c>
    </row>
    <row r="1218" spans="12:16" ht="15" hidden="1" customHeight="1">
      <c r="L1218" s="58">
        <f t="shared" si="123"/>
        <v>47450</v>
      </c>
      <c r="M1218" s="59">
        <f t="shared" si="121"/>
        <v>0</v>
      </c>
      <c r="N1218" s="59">
        <f t="shared" si="124"/>
        <v>100000</v>
      </c>
      <c r="O1218" s="59">
        <f t="shared" si="122"/>
        <v>13.698630136986301</v>
      </c>
      <c r="P1218" s="59">
        <f t="shared" si="125"/>
        <v>8.2191780821917817</v>
      </c>
    </row>
    <row r="1219" spans="12:16" ht="15" hidden="1" customHeight="1">
      <c r="L1219" s="58">
        <f t="shared" si="123"/>
        <v>47451</v>
      </c>
      <c r="M1219" s="59">
        <f t="shared" si="121"/>
        <v>0</v>
      </c>
      <c r="N1219" s="59">
        <f t="shared" si="124"/>
        <v>100000</v>
      </c>
      <c r="O1219" s="59">
        <f t="shared" si="122"/>
        <v>13.698630136986301</v>
      </c>
      <c r="P1219" s="59">
        <f t="shared" si="125"/>
        <v>8.2191780821917817</v>
      </c>
    </row>
    <row r="1220" spans="12:16" ht="15" hidden="1" customHeight="1">
      <c r="L1220" s="58">
        <f t="shared" si="123"/>
        <v>47452</v>
      </c>
      <c r="M1220" s="59">
        <f t="shared" si="121"/>
        <v>0</v>
      </c>
      <c r="N1220" s="59">
        <f t="shared" si="124"/>
        <v>100000</v>
      </c>
      <c r="O1220" s="59">
        <f t="shared" si="122"/>
        <v>13.698630136986301</v>
      </c>
      <c r="P1220" s="59">
        <f t="shared" si="125"/>
        <v>8.2191780821917817</v>
      </c>
    </row>
    <row r="1221" spans="12:16" ht="15" hidden="1" customHeight="1">
      <c r="L1221" s="58">
        <f t="shared" si="123"/>
        <v>47453</v>
      </c>
      <c r="M1221" s="59">
        <f t="shared" si="121"/>
        <v>0</v>
      </c>
      <c r="N1221" s="59">
        <f t="shared" si="124"/>
        <v>100000</v>
      </c>
      <c r="O1221" s="59">
        <f t="shared" si="122"/>
        <v>13.698630136986301</v>
      </c>
      <c r="P1221" s="59">
        <f t="shared" si="125"/>
        <v>8.2191780821917817</v>
      </c>
    </row>
    <row r="1222" spans="12:16" ht="15" hidden="1" customHeight="1">
      <c r="L1222" s="58">
        <f t="shared" si="123"/>
        <v>47454</v>
      </c>
      <c r="M1222" s="59">
        <f t="shared" si="121"/>
        <v>0</v>
      </c>
      <c r="N1222" s="59">
        <f t="shared" si="124"/>
        <v>100000</v>
      </c>
      <c r="O1222" s="59">
        <f t="shared" si="122"/>
        <v>13.698630136986301</v>
      </c>
      <c r="P1222" s="59">
        <f t="shared" si="125"/>
        <v>8.2191780821917817</v>
      </c>
    </row>
    <row r="1223" spans="12:16" ht="15" hidden="1" customHeight="1">
      <c r="L1223" s="58">
        <f t="shared" si="123"/>
        <v>47455</v>
      </c>
      <c r="M1223" s="59">
        <f t="shared" si="121"/>
        <v>0</v>
      </c>
      <c r="N1223" s="59">
        <f t="shared" si="124"/>
        <v>100000</v>
      </c>
      <c r="O1223" s="59">
        <f t="shared" si="122"/>
        <v>13.698630136986301</v>
      </c>
      <c r="P1223" s="59">
        <f t="shared" si="125"/>
        <v>8.2191780821917817</v>
      </c>
    </row>
    <row r="1224" spans="12:16" ht="15" hidden="1" customHeight="1">
      <c r="L1224" s="58">
        <f t="shared" si="123"/>
        <v>47456</v>
      </c>
      <c r="M1224" s="59">
        <f t="shared" si="121"/>
        <v>0</v>
      </c>
      <c r="N1224" s="59">
        <f t="shared" si="124"/>
        <v>100000</v>
      </c>
      <c r="O1224" s="59">
        <f t="shared" si="122"/>
        <v>13.698630136986301</v>
      </c>
      <c r="P1224" s="59">
        <f t="shared" si="125"/>
        <v>8.2191780821917817</v>
      </c>
    </row>
    <row r="1225" spans="12:16" ht="15" hidden="1" customHeight="1">
      <c r="L1225" s="58">
        <f t="shared" si="123"/>
        <v>47457</v>
      </c>
      <c r="M1225" s="59">
        <f t="shared" si="121"/>
        <v>0</v>
      </c>
      <c r="N1225" s="59">
        <f t="shared" si="124"/>
        <v>100000</v>
      </c>
      <c r="O1225" s="59">
        <f t="shared" si="122"/>
        <v>13.698630136986301</v>
      </c>
      <c r="P1225" s="59">
        <f t="shared" si="125"/>
        <v>8.2191780821917817</v>
      </c>
    </row>
    <row r="1226" spans="12:16" ht="15" hidden="1" customHeight="1">
      <c r="L1226" s="58">
        <f t="shared" si="123"/>
        <v>47458</v>
      </c>
      <c r="M1226" s="59">
        <f t="shared" si="121"/>
        <v>0</v>
      </c>
      <c r="N1226" s="59">
        <f t="shared" si="124"/>
        <v>100000</v>
      </c>
      <c r="O1226" s="59">
        <f t="shared" si="122"/>
        <v>13.698630136986301</v>
      </c>
      <c r="P1226" s="59">
        <f t="shared" si="125"/>
        <v>8.2191780821917817</v>
      </c>
    </row>
    <row r="1227" spans="12:16" ht="15" hidden="1" customHeight="1">
      <c r="L1227" s="58">
        <f t="shared" si="123"/>
        <v>47459</v>
      </c>
      <c r="M1227" s="59">
        <f t="shared" si="121"/>
        <v>0</v>
      </c>
      <c r="N1227" s="59">
        <f t="shared" si="124"/>
        <v>100000</v>
      </c>
      <c r="O1227" s="59">
        <f t="shared" si="122"/>
        <v>13.698630136986301</v>
      </c>
      <c r="P1227" s="59">
        <f t="shared" si="125"/>
        <v>8.2191780821917817</v>
      </c>
    </row>
    <row r="1228" spans="12:16" ht="15" hidden="1" customHeight="1">
      <c r="L1228" s="58">
        <f t="shared" si="123"/>
        <v>47460</v>
      </c>
      <c r="M1228" s="59">
        <f t="shared" si="121"/>
        <v>0</v>
      </c>
      <c r="N1228" s="59">
        <f t="shared" si="124"/>
        <v>100000</v>
      </c>
      <c r="O1228" s="59">
        <f t="shared" si="122"/>
        <v>13.698630136986301</v>
      </c>
      <c r="P1228" s="59">
        <f t="shared" si="125"/>
        <v>8.2191780821917817</v>
      </c>
    </row>
    <row r="1229" spans="12:16" ht="15" hidden="1" customHeight="1">
      <c r="L1229" s="58">
        <f t="shared" si="123"/>
        <v>47461</v>
      </c>
      <c r="M1229" s="59">
        <f t="shared" si="121"/>
        <v>0</v>
      </c>
      <c r="N1229" s="59">
        <f t="shared" si="124"/>
        <v>100000</v>
      </c>
      <c r="O1229" s="59">
        <f t="shared" si="122"/>
        <v>13.698630136986301</v>
      </c>
      <c r="P1229" s="59">
        <f t="shared" si="125"/>
        <v>8.2191780821917817</v>
      </c>
    </row>
    <row r="1230" spans="12:16" ht="15" hidden="1" customHeight="1">
      <c r="L1230" s="58">
        <f t="shared" si="123"/>
        <v>47462</v>
      </c>
      <c r="M1230" s="59">
        <f t="shared" si="121"/>
        <v>0</v>
      </c>
      <c r="N1230" s="59">
        <f t="shared" si="124"/>
        <v>100000</v>
      </c>
      <c r="O1230" s="59">
        <f t="shared" si="122"/>
        <v>13.698630136986301</v>
      </c>
      <c r="P1230" s="59">
        <f t="shared" si="125"/>
        <v>8.2191780821917817</v>
      </c>
    </row>
    <row r="1231" spans="12:16" ht="15" hidden="1" customHeight="1">
      <c r="L1231" s="58">
        <f t="shared" si="123"/>
        <v>47463</v>
      </c>
      <c r="M1231" s="59">
        <f t="shared" si="121"/>
        <v>0</v>
      </c>
      <c r="N1231" s="59">
        <f t="shared" si="124"/>
        <v>100000</v>
      </c>
      <c r="O1231" s="59">
        <f t="shared" si="122"/>
        <v>13.698630136986301</v>
      </c>
      <c r="P1231" s="59">
        <f t="shared" si="125"/>
        <v>8.2191780821917817</v>
      </c>
    </row>
    <row r="1232" spans="12:16" ht="15" hidden="1" customHeight="1">
      <c r="L1232" s="58">
        <f t="shared" si="123"/>
        <v>47464</v>
      </c>
      <c r="M1232" s="59">
        <f t="shared" si="121"/>
        <v>0</v>
      </c>
      <c r="N1232" s="59">
        <f t="shared" si="124"/>
        <v>100000</v>
      </c>
      <c r="O1232" s="59">
        <f t="shared" si="122"/>
        <v>13.698630136986301</v>
      </c>
      <c r="P1232" s="59">
        <f t="shared" si="125"/>
        <v>8.2191780821917817</v>
      </c>
    </row>
    <row r="1233" spans="12:16" ht="15" hidden="1" customHeight="1">
      <c r="L1233" s="58">
        <f t="shared" si="123"/>
        <v>47465</v>
      </c>
      <c r="M1233" s="59">
        <f t="shared" si="121"/>
        <v>0</v>
      </c>
      <c r="N1233" s="59">
        <f t="shared" si="124"/>
        <v>100000</v>
      </c>
      <c r="O1233" s="59">
        <f t="shared" si="122"/>
        <v>13.698630136986301</v>
      </c>
      <c r="P1233" s="59">
        <f t="shared" si="125"/>
        <v>8.2191780821917817</v>
      </c>
    </row>
    <row r="1234" spans="12:16" ht="15" hidden="1" customHeight="1">
      <c r="L1234" s="58">
        <f t="shared" si="123"/>
        <v>47466</v>
      </c>
      <c r="M1234" s="59">
        <f t="shared" si="121"/>
        <v>0</v>
      </c>
      <c r="N1234" s="59">
        <f t="shared" si="124"/>
        <v>100000</v>
      </c>
      <c r="O1234" s="59">
        <f t="shared" si="122"/>
        <v>13.698630136986301</v>
      </c>
      <c r="P1234" s="59">
        <f t="shared" si="125"/>
        <v>8.2191780821917817</v>
      </c>
    </row>
    <row r="1235" spans="12:16" ht="15" hidden="1" customHeight="1">
      <c r="L1235" s="58">
        <f t="shared" si="123"/>
        <v>47467</v>
      </c>
      <c r="M1235" s="59">
        <f t="shared" ref="M1235:M1298" si="126">IFERROR(VLOOKUP(L1235,$B$19:$E$80,4,FALSE),0)</f>
        <v>0</v>
      </c>
      <c r="N1235" s="59">
        <f t="shared" si="124"/>
        <v>100000</v>
      </c>
      <c r="O1235" s="59">
        <f t="shared" ref="O1235:O1298" si="127">IFERROR(IF(ISNUMBER(N1234),N1234,$E$8)*IF(L1235&gt;=$J$8,$E$12,$E$12)/IF(MOD(YEAR(L1235),4),365,366)*IF(ISBLANK(L1234),L1235-$F$5,L1235-L1234),0)</f>
        <v>13.698630136986301</v>
      </c>
      <c r="P1235" s="59">
        <f t="shared" si="125"/>
        <v>8.2191780821917817</v>
      </c>
    </row>
    <row r="1236" spans="12:16" ht="15" hidden="1" customHeight="1">
      <c r="L1236" s="58">
        <f t="shared" si="123"/>
        <v>47468</v>
      </c>
      <c r="M1236" s="59">
        <f t="shared" si="126"/>
        <v>0</v>
      </c>
      <c r="N1236" s="59">
        <f t="shared" si="124"/>
        <v>100000</v>
      </c>
      <c r="O1236" s="59">
        <f t="shared" si="127"/>
        <v>13.698630136986301</v>
      </c>
      <c r="P1236" s="59">
        <f t="shared" si="125"/>
        <v>8.2191780821917817</v>
      </c>
    </row>
    <row r="1237" spans="12:16" ht="15" hidden="1" customHeight="1">
      <c r="L1237" s="58">
        <f t="shared" si="123"/>
        <v>47469</v>
      </c>
      <c r="M1237" s="59">
        <f t="shared" si="126"/>
        <v>0</v>
      </c>
      <c r="N1237" s="59">
        <f t="shared" si="124"/>
        <v>100000</v>
      </c>
      <c r="O1237" s="59">
        <f t="shared" si="127"/>
        <v>13.698630136986301</v>
      </c>
      <c r="P1237" s="59">
        <f t="shared" si="125"/>
        <v>8.2191780821917817</v>
      </c>
    </row>
    <row r="1238" spans="12:16" ht="15" hidden="1" customHeight="1">
      <c r="L1238" s="58">
        <f t="shared" si="123"/>
        <v>47470</v>
      </c>
      <c r="M1238" s="59">
        <f t="shared" si="126"/>
        <v>0</v>
      </c>
      <c r="N1238" s="59">
        <f t="shared" si="124"/>
        <v>100000</v>
      </c>
      <c r="O1238" s="59">
        <f t="shared" si="127"/>
        <v>13.698630136986301</v>
      </c>
      <c r="P1238" s="59">
        <f t="shared" si="125"/>
        <v>8.2191780821917817</v>
      </c>
    </row>
    <row r="1239" spans="12:16" ht="15" hidden="1" customHeight="1">
      <c r="L1239" s="58">
        <f t="shared" si="123"/>
        <v>47471</v>
      </c>
      <c r="M1239" s="59">
        <f t="shared" si="126"/>
        <v>0</v>
      </c>
      <c r="N1239" s="59">
        <f t="shared" si="124"/>
        <v>100000</v>
      </c>
      <c r="O1239" s="59">
        <f t="shared" si="127"/>
        <v>13.698630136986301</v>
      </c>
      <c r="P1239" s="59">
        <f t="shared" si="125"/>
        <v>8.2191780821917817</v>
      </c>
    </row>
    <row r="1240" spans="12:16" ht="15" hidden="1" customHeight="1">
      <c r="L1240" s="58">
        <f t="shared" si="123"/>
        <v>47472</v>
      </c>
      <c r="M1240" s="59">
        <f t="shared" si="126"/>
        <v>0</v>
      </c>
      <c r="N1240" s="59">
        <f t="shared" si="124"/>
        <v>100000</v>
      </c>
      <c r="O1240" s="59">
        <f t="shared" si="127"/>
        <v>13.698630136986301</v>
      </c>
      <c r="P1240" s="59">
        <f t="shared" si="125"/>
        <v>8.2191780821917817</v>
      </c>
    </row>
    <row r="1241" spans="12:16" ht="15" hidden="1" customHeight="1">
      <c r="L1241" s="58">
        <f t="shared" si="123"/>
        <v>47473</v>
      </c>
      <c r="M1241" s="59">
        <f t="shared" si="126"/>
        <v>0</v>
      </c>
      <c r="N1241" s="59">
        <f t="shared" si="124"/>
        <v>100000</v>
      </c>
      <c r="O1241" s="59">
        <f t="shared" si="127"/>
        <v>13.698630136986301</v>
      </c>
      <c r="P1241" s="59">
        <f t="shared" si="125"/>
        <v>8.2191780821917817</v>
      </c>
    </row>
    <row r="1242" spans="12:16" ht="15" hidden="1" customHeight="1">
      <c r="L1242" s="58">
        <f t="shared" si="123"/>
        <v>47474</v>
      </c>
      <c r="M1242" s="59">
        <f t="shared" si="126"/>
        <v>0</v>
      </c>
      <c r="N1242" s="59">
        <f t="shared" si="124"/>
        <v>100000</v>
      </c>
      <c r="O1242" s="59">
        <f t="shared" si="127"/>
        <v>13.698630136986301</v>
      </c>
      <c r="P1242" s="59">
        <f t="shared" si="125"/>
        <v>8.2191780821917817</v>
      </c>
    </row>
    <row r="1243" spans="12:16" ht="15" hidden="1" customHeight="1">
      <c r="L1243" s="58">
        <f t="shared" si="123"/>
        <v>47475</v>
      </c>
      <c r="M1243" s="59">
        <f t="shared" si="126"/>
        <v>0</v>
      </c>
      <c r="N1243" s="59">
        <f t="shared" si="124"/>
        <v>100000</v>
      </c>
      <c r="O1243" s="59">
        <f t="shared" si="127"/>
        <v>13.698630136986301</v>
      </c>
      <c r="P1243" s="59">
        <f t="shared" si="125"/>
        <v>8.2191780821917817</v>
      </c>
    </row>
    <row r="1244" spans="12:16" ht="15" hidden="1" customHeight="1">
      <c r="L1244" s="58">
        <f t="shared" si="123"/>
        <v>47476</v>
      </c>
      <c r="M1244" s="59">
        <f t="shared" si="126"/>
        <v>0</v>
      </c>
      <c r="N1244" s="59">
        <f t="shared" si="124"/>
        <v>100000</v>
      </c>
      <c r="O1244" s="59">
        <f t="shared" si="127"/>
        <v>13.698630136986301</v>
      </c>
      <c r="P1244" s="59">
        <f t="shared" si="125"/>
        <v>8.2191780821917817</v>
      </c>
    </row>
    <row r="1245" spans="12:16" ht="15" hidden="1" customHeight="1">
      <c r="L1245" s="58">
        <f t="shared" si="123"/>
        <v>47477</v>
      </c>
      <c r="M1245" s="59">
        <f t="shared" si="126"/>
        <v>0</v>
      </c>
      <c r="N1245" s="59">
        <f t="shared" si="124"/>
        <v>100000</v>
      </c>
      <c r="O1245" s="59">
        <f t="shared" si="127"/>
        <v>13.698630136986301</v>
      </c>
      <c r="P1245" s="59">
        <f t="shared" si="125"/>
        <v>8.2191780821917817</v>
      </c>
    </row>
    <row r="1246" spans="12:16" ht="15" hidden="1" customHeight="1">
      <c r="L1246" s="58">
        <f t="shared" si="123"/>
        <v>47478</v>
      </c>
      <c r="M1246" s="59">
        <f t="shared" si="126"/>
        <v>0</v>
      </c>
      <c r="N1246" s="59">
        <f t="shared" si="124"/>
        <v>100000</v>
      </c>
      <c r="O1246" s="59">
        <f t="shared" si="127"/>
        <v>13.698630136986301</v>
      </c>
      <c r="P1246" s="59">
        <f t="shared" si="125"/>
        <v>8.2191780821917817</v>
      </c>
    </row>
    <row r="1247" spans="12:16" ht="15" hidden="1" customHeight="1">
      <c r="L1247" s="58">
        <f t="shared" si="123"/>
        <v>47479</v>
      </c>
      <c r="M1247" s="59">
        <f t="shared" si="126"/>
        <v>0</v>
      </c>
      <c r="N1247" s="59">
        <f t="shared" si="124"/>
        <v>100000</v>
      </c>
      <c r="O1247" s="59">
        <f t="shared" si="127"/>
        <v>13.698630136986301</v>
      </c>
      <c r="P1247" s="59">
        <f t="shared" si="125"/>
        <v>8.2191780821917817</v>
      </c>
    </row>
    <row r="1248" spans="12:16" ht="15" hidden="1" customHeight="1">
      <c r="L1248" s="58">
        <f t="shared" si="123"/>
        <v>47480</v>
      </c>
      <c r="M1248" s="59">
        <f t="shared" si="126"/>
        <v>0</v>
      </c>
      <c r="N1248" s="59">
        <f t="shared" si="124"/>
        <v>100000</v>
      </c>
      <c r="O1248" s="59">
        <f t="shared" si="127"/>
        <v>13.698630136986301</v>
      </c>
      <c r="P1248" s="59">
        <f t="shared" si="125"/>
        <v>8.2191780821917817</v>
      </c>
    </row>
    <row r="1249" spans="12:16" ht="15" hidden="1" customHeight="1">
      <c r="L1249" s="58">
        <f t="shared" si="123"/>
        <v>47481</v>
      </c>
      <c r="M1249" s="59">
        <f t="shared" si="126"/>
        <v>0</v>
      </c>
      <c r="N1249" s="59">
        <f t="shared" si="124"/>
        <v>100000</v>
      </c>
      <c r="O1249" s="59">
        <f t="shared" si="127"/>
        <v>13.698630136986301</v>
      </c>
      <c r="P1249" s="59">
        <f t="shared" si="125"/>
        <v>8.2191780821917817</v>
      </c>
    </row>
    <row r="1250" spans="12:16" ht="15" hidden="1" customHeight="1">
      <c r="L1250" s="58">
        <f t="shared" ref="L1250:L1313" si="128">IFERROR(IF(MAX(L1249+1,$F$5+1)&gt;Дата_погашения_Займа,"-",MAX(L1249+1,$F$5+1)),"-")</f>
        <v>47482</v>
      </c>
      <c r="M1250" s="59">
        <f t="shared" si="126"/>
        <v>0</v>
      </c>
      <c r="N1250" s="59">
        <f t="shared" si="124"/>
        <v>100000</v>
      </c>
      <c r="O1250" s="59">
        <f t="shared" si="127"/>
        <v>13.698630136986301</v>
      </c>
      <c r="P1250" s="59">
        <f t="shared" si="125"/>
        <v>8.2191780821917817</v>
      </c>
    </row>
    <row r="1251" spans="12:16" ht="15" hidden="1" customHeight="1">
      <c r="L1251" s="58">
        <f t="shared" si="128"/>
        <v>47483</v>
      </c>
      <c r="M1251" s="59">
        <f t="shared" si="126"/>
        <v>0</v>
      </c>
      <c r="N1251" s="59">
        <f t="shared" si="124"/>
        <v>100000</v>
      </c>
      <c r="O1251" s="59">
        <f t="shared" si="127"/>
        <v>13.698630136986301</v>
      </c>
      <c r="P1251" s="59">
        <f t="shared" si="125"/>
        <v>8.2191780821917817</v>
      </c>
    </row>
    <row r="1252" spans="12:16" ht="15" hidden="1" customHeight="1">
      <c r="L1252" s="58">
        <f t="shared" si="128"/>
        <v>47484</v>
      </c>
      <c r="M1252" s="59">
        <f t="shared" si="126"/>
        <v>0</v>
      </c>
      <c r="N1252" s="59">
        <f t="shared" si="124"/>
        <v>100000</v>
      </c>
      <c r="O1252" s="59">
        <f t="shared" si="127"/>
        <v>13.698630136986301</v>
      </c>
      <c r="P1252" s="59">
        <f t="shared" si="125"/>
        <v>8.2191780821917817</v>
      </c>
    </row>
    <row r="1253" spans="12:16" ht="15" hidden="1" customHeight="1">
      <c r="L1253" s="58">
        <f t="shared" si="128"/>
        <v>47485</v>
      </c>
      <c r="M1253" s="59">
        <f t="shared" si="126"/>
        <v>0</v>
      </c>
      <c r="N1253" s="59">
        <f t="shared" si="124"/>
        <v>100000</v>
      </c>
      <c r="O1253" s="59">
        <f t="shared" si="127"/>
        <v>13.698630136986301</v>
      </c>
      <c r="P1253" s="59">
        <f t="shared" si="125"/>
        <v>8.2191780821917817</v>
      </c>
    </row>
    <row r="1254" spans="12:16" ht="15" hidden="1" customHeight="1">
      <c r="L1254" s="58">
        <f t="shared" si="128"/>
        <v>47486</v>
      </c>
      <c r="M1254" s="59">
        <f t="shared" si="126"/>
        <v>0</v>
      </c>
      <c r="N1254" s="59">
        <f t="shared" si="124"/>
        <v>100000</v>
      </c>
      <c r="O1254" s="59">
        <f t="shared" si="127"/>
        <v>13.698630136986301</v>
      </c>
      <c r="P1254" s="59">
        <f t="shared" si="125"/>
        <v>8.2191780821917817</v>
      </c>
    </row>
    <row r="1255" spans="12:16" ht="15" hidden="1" customHeight="1">
      <c r="L1255" s="58">
        <f t="shared" si="128"/>
        <v>47487</v>
      </c>
      <c r="M1255" s="59">
        <f t="shared" si="126"/>
        <v>0</v>
      </c>
      <c r="N1255" s="59">
        <f t="shared" si="124"/>
        <v>100000</v>
      </c>
      <c r="O1255" s="59">
        <f t="shared" si="127"/>
        <v>13.698630136986301</v>
      </c>
      <c r="P1255" s="59">
        <f t="shared" si="125"/>
        <v>8.2191780821917817</v>
      </c>
    </row>
    <row r="1256" spans="12:16" ht="15" hidden="1" customHeight="1">
      <c r="L1256" s="58">
        <f t="shared" si="128"/>
        <v>47488</v>
      </c>
      <c r="M1256" s="59">
        <f t="shared" si="126"/>
        <v>0</v>
      </c>
      <c r="N1256" s="59">
        <f t="shared" si="124"/>
        <v>100000</v>
      </c>
      <c r="O1256" s="59">
        <f t="shared" si="127"/>
        <v>13.698630136986301</v>
      </c>
      <c r="P1256" s="59">
        <f t="shared" si="125"/>
        <v>8.2191780821917817</v>
      </c>
    </row>
    <row r="1257" spans="12:16" ht="15" hidden="1" customHeight="1">
      <c r="L1257" s="58">
        <f t="shared" si="128"/>
        <v>47489</v>
      </c>
      <c r="M1257" s="59">
        <f t="shared" si="126"/>
        <v>0</v>
      </c>
      <c r="N1257" s="59">
        <f t="shared" si="124"/>
        <v>100000</v>
      </c>
      <c r="O1257" s="59">
        <f t="shared" si="127"/>
        <v>13.698630136986301</v>
      </c>
      <c r="P1257" s="59">
        <f t="shared" si="125"/>
        <v>8.2191780821917817</v>
      </c>
    </row>
    <row r="1258" spans="12:16" ht="15" hidden="1" customHeight="1">
      <c r="L1258" s="58">
        <f t="shared" si="128"/>
        <v>47490</v>
      </c>
      <c r="M1258" s="59">
        <f t="shared" si="126"/>
        <v>0</v>
      </c>
      <c r="N1258" s="59">
        <f t="shared" si="124"/>
        <v>100000</v>
      </c>
      <c r="O1258" s="59">
        <f t="shared" si="127"/>
        <v>13.698630136986301</v>
      </c>
      <c r="P1258" s="59">
        <f t="shared" si="125"/>
        <v>8.2191780821917817</v>
      </c>
    </row>
    <row r="1259" spans="12:16" ht="15" hidden="1" customHeight="1">
      <c r="L1259" s="58">
        <f t="shared" si="128"/>
        <v>47491</v>
      </c>
      <c r="M1259" s="59">
        <f t="shared" si="126"/>
        <v>0</v>
      </c>
      <c r="N1259" s="59">
        <f t="shared" si="124"/>
        <v>100000</v>
      </c>
      <c r="O1259" s="59">
        <f t="shared" si="127"/>
        <v>13.698630136986301</v>
      </c>
      <c r="P1259" s="59">
        <f t="shared" si="125"/>
        <v>8.2191780821917817</v>
      </c>
    </row>
    <row r="1260" spans="12:16" ht="15" hidden="1" customHeight="1">
      <c r="L1260" s="58">
        <f t="shared" si="128"/>
        <v>47492</v>
      </c>
      <c r="M1260" s="59">
        <f t="shared" si="126"/>
        <v>0</v>
      </c>
      <c r="N1260" s="59">
        <f t="shared" si="124"/>
        <v>100000</v>
      </c>
      <c r="O1260" s="59">
        <f t="shared" si="127"/>
        <v>13.698630136986301</v>
      </c>
      <c r="P1260" s="59">
        <f t="shared" si="125"/>
        <v>8.2191780821917817</v>
      </c>
    </row>
    <row r="1261" spans="12:16" ht="15" hidden="1" customHeight="1">
      <c r="L1261" s="58">
        <f t="shared" si="128"/>
        <v>47493</v>
      </c>
      <c r="M1261" s="59">
        <f t="shared" si="126"/>
        <v>0</v>
      </c>
      <c r="N1261" s="59">
        <f t="shared" si="124"/>
        <v>100000</v>
      </c>
      <c r="O1261" s="59">
        <f t="shared" si="127"/>
        <v>13.698630136986301</v>
      </c>
      <c r="P1261" s="59">
        <f t="shared" si="125"/>
        <v>8.2191780821917817</v>
      </c>
    </row>
    <row r="1262" spans="12:16" ht="15" hidden="1" customHeight="1">
      <c r="L1262" s="58">
        <f t="shared" si="128"/>
        <v>47494</v>
      </c>
      <c r="M1262" s="59">
        <f t="shared" si="126"/>
        <v>0</v>
      </c>
      <c r="N1262" s="59">
        <f t="shared" si="124"/>
        <v>100000</v>
      </c>
      <c r="O1262" s="59">
        <f t="shared" si="127"/>
        <v>13.698630136986301</v>
      </c>
      <c r="P1262" s="59">
        <f t="shared" si="125"/>
        <v>8.2191780821917817</v>
      </c>
    </row>
    <row r="1263" spans="12:16" ht="15" hidden="1" customHeight="1">
      <c r="L1263" s="58">
        <f t="shared" si="128"/>
        <v>47495</v>
      </c>
      <c r="M1263" s="59">
        <f t="shared" si="126"/>
        <v>0</v>
      </c>
      <c r="N1263" s="59">
        <f t="shared" si="124"/>
        <v>100000</v>
      </c>
      <c r="O1263" s="59">
        <f t="shared" si="127"/>
        <v>13.698630136986301</v>
      </c>
      <c r="P1263" s="59">
        <f t="shared" si="125"/>
        <v>8.2191780821917817</v>
      </c>
    </row>
    <row r="1264" spans="12:16" ht="15" hidden="1" customHeight="1">
      <c r="L1264" s="58">
        <f t="shared" si="128"/>
        <v>47496</v>
      </c>
      <c r="M1264" s="59">
        <f t="shared" si="126"/>
        <v>0</v>
      </c>
      <c r="N1264" s="59">
        <f t="shared" ref="N1264:N1327" si="129">IF(ISNUMBER(N1263),N1263-M1264,$E$8)</f>
        <v>100000</v>
      </c>
      <c r="O1264" s="59">
        <f t="shared" si="127"/>
        <v>13.698630136986301</v>
      </c>
      <c r="P1264" s="59">
        <f t="shared" ref="P1264:P1327" si="130">IFERROR(IF(ISNUMBER(N1263),N1263,$E$8)*3%/IF(MOD(YEAR(L1264),4),365,366)*IF(ISBLANK(L1263),(L1264-$F$5),L1264-L1263),0)</f>
        <v>8.2191780821917817</v>
      </c>
    </row>
    <row r="1265" spans="12:16" ht="15" hidden="1" customHeight="1">
      <c r="L1265" s="58">
        <f t="shared" si="128"/>
        <v>47497</v>
      </c>
      <c r="M1265" s="59">
        <f t="shared" si="126"/>
        <v>0</v>
      </c>
      <c r="N1265" s="59">
        <f t="shared" si="129"/>
        <v>100000</v>
      </c>
      <c r="O1265" s="59">
        <f t="shared" si="127"/>
        <v>13.698630136986301</v>
      </c>
      <c r="P1265" s="59">
        <f t="shared" si="130"/>
        <v>8.2191780821917817</v>
      </c>
    </row>
    <row r="1266" spans="12:16" ht="15" hidden="1" customHeight="1">
      <c r="L1266" s="58">
        <f t="shared" si="128"/>
        <v>47498</v>
      </c>
      <c r="M1266" s="59">
        <f t="shared" si="126"/>
        <v>12500</v>
      </c>
      <c r="N1266" s="59">
        <f t="shared" si="129"/>
        <v>87500</v>
      </c>
      <c r="O1266" s="59">
        <f t="shared" si="127"/>
        <v>13.698630136986301</v>
      </c>
      <c r="P1266" s="59">
        <f t="shared" si="130"/>
        <v>8.2191780821917817</v>
      </c>
    </row>
    <row r="1267" spans="12:16" ht="15" hidden="1" customHeight="1">
      <c r="L1267" s="58">
        <f t="shared" si="128"/>
        <v>47499</v>
      </c>
      <c r="M1267" s="59">
        <f t="shared" si="126"/>
        <v>0</v>
      </c>
      <c r="N1267" s="59">
        <f t="shared" si="129"/>
        <v>87500</v>
      </c>
      <c r="O1267" s="59">
        <f t="shared" si="127"/>
        <v>11.986301369863014</v>
      </c>
      <c r="P1267" s="59">
        <f t="shared" si="130"/>
        <v>7.1917808219178081</v>
      </c>
    </row>
    <row r="1268" spans="12:16" ht="15" hidden="1" customHeight="1">
      <c r="L1268" s="58">
        <f t="shared" si="128"/>
        <v>47500</v>
      </c>
      <c r="M1268" s="59">
        <f t="shared" si="126"/>
        <v>0</v>
      </c>
      <c r="N1268" s="59">
        <f t="shared" si="129"/>
        <v>87500</v>
      </c>
      <c r="O1268" s="59">
        <f t="shared" si="127"/>
        <v>11.986301369863014</v>
      </c>
      <c r="P1268" s="59">
        <f t="shared" si="130"/>
        <v>7.1917808219178081</v>
      </c>
    </row>
    <row r="1269" spans="12:16" ht="15" hidden="1" customHeight="1">
      <c r="L1269" s="58">
        <f t="shared" si="128"/>
        <v>47501</v>
      </c>
      <c r="M1269" s="59">
        <f t="shared" si="126"/>
        <v>0</v>
      </c>
      <c r="N1269" s="59">
        <f t="shared" si="129"/>
        <v>87500</v>
      </c>
      <c r="O1269" s="59">
        <f t="shared" si="127"/>
        <v>11.986301369863014</v>
      </c>
      <c r="P1269" s="59">
        <f t="shared" si="130"/>
        <v>7.1917808219178081</v>
      </c>
    </row>
    <row r="1270" spans="12:16" ht="15" hidden="1" customHeight="1">
      <c r="L1270" s="58">
        <f t="shared" si="128"/>
        <v>47502</v>
      </c>
      <c r="M1270" s="59">
        <f t="shared" si="126"/>
        <v>0</v>
      </c>
      <c r="N1270" s="59">
        <f t="shared" si="129"/>
        <v>87500</v>
      </c>
      <c r="O1270" s="59">
        <f t="shared" si="127"/>
        <v>11.986301369863014</v>
      </c>
      <c r="P1270" s="59">
        <f t="shared" si="130"/>
        <v>7.1917808219178081</v>
      </c>
    </row>
    <row r="1271" spans="12:16" ht="15" hidden="1" customHeight="1">
      <c r="L1271" s="58">
        <f t="shared" si="128"/>
        <v>47503</v>
      </c>
      <c r="M1271" s="59">
        <f t="shared" si="126"/>
        <v>0</v>
      </c>
      <c r="N1271" s="59">
        <f t="shared" si="129"/>
        <v>87500</v>
      </c>
      <c r="O1271" s="59">
        <f t="shared" si="127"/>
        <v>11.986301369863014</v>
      </c>
      <c r="P1271" s="59">
        <f t="shared" si="130"/>
        <v>7.1917808219178081</v>
      </c>
    </row>
    <row r="1272" spans="12:16" ht="15" hidden="1" customHeight="1">
      <c r="L1272" s="58">
        <f t="shared" si="128"/>
        <v>47504</v>
      </c>
      <c r="M1272" s="59">
        <f t="shared" si="126"/>
        <v>0</v>
      </c>
      <c r="N1272" s="59">
        <f t="shared" si="129"/>
        <v>87500</v>
      </c>
      <c r="O1272" s="59">
        <f t="shared" si="127"/>
        <v>11.986301369863014</v>
      </c>
      <c r="P1272" s="59">
        <f t="shared" si="130"/>
        <v>7.1917808219178081</v>
      </c>
    </row>
    <row r="1273" spans="12:16" ht="15" hidden="1" customHeight="1">
      <c r="L1273" s="58">
        <f t="shared" si="128"/>
        <v>47505</v>
      </c>
      <c r="M1273" s="59">
        <f t="shared" si="126"/>
        <v>0</v>
      </c>
      <c r="N1273" s="59">
        <f t="shared" si="129"/>
        <v>87500</v>
      </c>
      <c r="O1273" s="59">
        <f t="shared" si="127"/>
        <v>11.986301369863014</v>
      </c>
      <c r="P1273" s="59">
        <f t="shared" si="130"/>
        <v>7.1917808219178081</v>
      </c>
    </row>
    <row r="1274" spans="12:16" ht="15" hidden="1" customHeight="1">
      <c r="L1274" s="58">
        <f t="shared" si="128"/>
        <v>47506</v>
      </c>
      <c r="M1274" s="59">
        <f t="shared" si="126"/>
        <v>0</v>
      </c>
      <c r="N1274" s="59">
        <f t="shared" si="129"/>
        <v>87500</v>
      </c>
      <c r="O1274" s="59">
        <f t="shared" si="127"/>
        <v>11.986301369863014</v>
      </c>
      <c r="P1274" s="59">
        <f t="shared" si="130"/>
        <v>7.1917808219178081</v>
      </c>
    </row>
    <row r="1275" spans="12:16" ht="15" hidden="1" customHeight="1">
      <c r="L1275" s="58">
        <f t="shared" si="128"/>
        <v>47507</v>
      </c>
      <c r="M1275" s="59">
        <f t="shared" si="126"/>
        <v>0</v>
      </c>
      <c r="N1275" s="59">
        <f t="shared" si="129"/>
        <v>87500</v>
      </c>
      <c r="O1275" s="59">
        <f t="shared" si="127"/>
        <v>11.986301369863014</v>
      </c>
      <c r="P1275" s="59">
        <f t="shared" si="130"/>
        <v>7.1917808219178081</v>
      </c>
    </row>
    <row r="1276" spans="12:16" ht="15" hidden="1" customHeight="1">
      <c r="L1276" s="58">
        <f t="shared" si="128"/>
        <v>47508</v>
      </c>
      <c r="M1276" s="59">
        <f t="shared" si="126"/>
        <v>0</v>
      </c>
      <c r="N1276" s="59">
        <f t="shared" si="129"/>
        <v>87500</v>
      </c>
      <c r="O1276" s="59">
        <f t="shared" si="127"/>
        <v>11.986301369863014</v>
      </c>
      <c r="P1276" s="59">
        <f t="shared" si="130"/>
        <v>7.1917808219178081</v>
      </c>
    </row>
    <row r="1277" spans="12:16" ht="15" hidden="1" customHeight="1">
      <c r="L1277" s="58">
        <f t="shared" si="128"/>
        <v>47509</v>
      </c>
      <c r="M1277" s="59">
        <f t="shared" si="126"/>
        <v>0</v>
      </c>
      <c r="N1277" s="59">
        <f t="shared" si="129"/>
        <v>87500</v>
      </c>
      <c r="O1277" s="59">
        <f t="shared" si="127"/>
        <v>11.986301369863014</v>
      </c>
      <c r="P1277" s="59">
        <f t="shared" si="130"/>
        <v>7.1917808219178081</v>
      </c>
    </row>
    <row r="1278" spans="12:16" ht="15" hidden="1" customHeight="1">
      <c r="L1278" s="58">
        <f t="shared" si="128"/>
        <v>47510</v>
      </c>
      <c r="M1278" s="59">
        <f t="shared" si="126"/>
        <v>0</v>
      </c>
      <c r="N1278" s="59">
        <f t="shared" si="129"/>
        <v>87500</v>
      </c>
      <c r="O1278" s="59">
        <f t="shared" si="127"/>
        <v>11.986301369863014</v>
      </c>
      <c r="P1278" s="59">
        <f t="shared" si="130"/>
        <v>7.1917808219178081</v>
      </c>
    </row>
    <row r="1279" spans="12:16" ht="15" hidden="1" customHeight="1">
      <c r="L1279" s="58">
        <f t="shared" si="128"/>
        <v>47511</v>
      </c>
      <c r="M1279" s="59">
        <f t="shared" si="126"/>
        <v>0</v>
      </c>
      <c r="N1279" s="59">
        <f t="shared" si="129"/>
        <v>87500</v>
      </c>
      <c r="O1279" s="59">
        <f t="shared" si="127"/>
        <v>11.986301369863014</v>
      </c>
      <c r="P1279" s="59">
        <f t="shared" si="130"/>
        <v>7.1917808219178081</v>
      </c>
    </row>
    <row r="1280" spans="12:16" ht="15" hidden="1" customHeight="1">
      <c r="L1280" s="58">
        <f t="shared" si="128"/>
        <v>47512</v>
      </c>
      <c r="M1280" s="59">
        <f t="shared" si="126"/>
        <v>0</v>
      </c>
      <c r="N1280" s="59">
        <f t="shared" si="129"/>
        <v>87500</v>
      </c>
      <c r="O1280" s="59">
        <f t="shared" si="127"/>
        <v>11.986301369863014</v>
      </c>
      <c r="P1280" s="59">
        <f t="shared" si="130"/>
        <v>7.1917808219178081</v>
      </c>
    </row>
    <row r="1281" spans="12:16" ht="15" hidden="1" customHeight="1">
      <c r="L1281" s="58">
        <f t="shared" si="128"/>
        <v>47513</v>
      </c>
      <c r="M1281" s="59">
        <f t="shared" si="126"/>
        <v>0</v>
      </c>
      <c r="N1281" s="59">
        <f t="shared" si="129"/>
        <v>87500</v>
      </c>
      <c r="O1281" s="59">
        <f t="shared" si="127"/>
        <v>11.986301369863014</v>
      </c>
      <c r="P1281" s="59">
        <f t="shared" si="130"/>
        <v>7.1917808219178081</v>
      </c>
    </row>
    <row r="1282" spans="12:16" ht="15" hidden="1" customHeight="1">
      <c r="L1282" s="58">
        <f t="shared" si="128"/>
        <v>47514</v>
      </c>
      <c r="M1282" s="59">
        <f t="shared" si="126"/>
        <v>0</v>
      </c>
      <c r="N1282" s="59">
        <f t="shared" si="129"/>
        <v>87500</v>
      </c>
      <c r="O1282" s="59">
        <f t="shared" si="127"/>
        <v>11.986301369863014</v>
      </c>
      <c r="P1282" s="59">
        <f t="shared" si="130"/>
        <v>7.1917808219178081</v>
      </c>
    </row>
    <row r="1283" spans="12:16" ht="15" hidden="1" customHeight="1">
      <c r="L1283" s="58">
        <f t="shared" si="128"/>
        <v>47515</v>
      </c>
      <c r="M1283" s="59">
        <f t="shared" si="126"/>
        <v>0</v>
      </c>
      <c r="N1283" s="59">
        <f t="shared" si="129"/>
        <v>87500</v>
      </c>
      <c r="O1283" s="59">
        <f t="shared" si="127"/>
        <v>11.986301369863014</v>
      </c>
      <c r="P1283" s="59">
        <f t="shared" si="130"/>
        <v>7.1917808219178081</v>
      </c>
    </row>
    <row r="1284" spans="12:16" ht="15" hidden="1" customHeight="1">
      <c r="L1284" s="58">
        <f t="shared" si="128"/>
        <v>47516</v>
      </c>
      <c r="M1284" s="59">
        <f t="shared" si="126"/>
        <v>0</v>
      </c>
      <c r="N1284" s="59">
        <f t="shared" si="129"/>
        <v>87500</v>
      </c>
      <c r="O1284" s="59">
        <f t="shared" si="127"/>
        <v>11.986301369863014</v>
      </c>
      <c r="P1284" s="59">
        <f t="shared" si="130"/>
        <v>7.1917808219178081</v>
      </c>
    </row>
    <row r="1285" spans="12:16" ht="15" hidden="1" customHeight="1">
      <c r="L1285" s="58">
        <f t="shared" si="128"/>
        <v>47517</v>
      </c>
      <c r="M1285" s="59">
        <f t="shared" si="126"/>
        <v>0</v>
      </c>
      <c r="N1285" s="59">
        <f t="shared" si="129"/>
        <v>87500</v>
      </c>
      <c r="O1285" s="59">
        <f t="shared" si="127"/>
        <v>11.986301369863014</v>
      </c>
      <c r="P1285" s="59">
        <f t="shared" si="130"/>
        <v>7.1917808219178081</v>
      </c>
    </row>
    <row r="1286" spans="12:16" ht="15" hidden="1" customHeight="1">
      <c r="L1286" s="58">
        <f t="shared" si="128"/>
        <v>47518</v>
      </c>
      <c r="M1286" s="59">
        <f t="shared" si="126"/>
        <v>0</v>
      </c>
      <c r="N1286" s="59">
        <f t="shared" si="129"/>
        <v>87500</v>
      </c>
      <c r="O1286" s="59">
        <f t="shared" si="127"/>
        <v>11.986301369863014</v>
      </c>
      <c r="P1286" s="59">
        <f t="shared" si="130"/>
        <v>7.1917808219178081</v>
      </c>
    </row>
    <row r="1287" spans="12:16" ht="15" hidden="1" customHeight="1">
      <c r="L1287" s="58">
        <f t="shared" si="128"/>
        <v>47519</v>
      </c>
      <c r="M1287" s="59">
        <f t="shared" si="126"/>
        <v>0</v>
      </c>
      <c r="N1287" s="59">
        <f t="shared" si="129"/>
        <v>87500</v>
      </c>
      <c r="O1287" s="59">
        <f t="shared" si="127"/>
        <v>11.986301369863014</v>
      </c>
      <c r="P1287" s="59">
        <f t="shared" si="130"/>
        <v>7.1917808219178081</v>
      </c>
    </row>
    <row r="1288" spans="12:16" ht="15" hidden="1" customHeight="1">
      <c r="L1288" s="58">
        <f t="shared" si="128"/>
        <v>47520</v>
      </c>
      <c r="M1288" s="59">
        <f t="shared" si="126"/>
        <v>0</v>
      </c>
      <c r="N1288" s="59">
        <f t="shared" si="129"/>
        <v>87500</v>
      </c>
      <c r="O1288" s="59">
        <f t="shared" si="127"/>
        <v>11.986301369863014</v>
      </c>
      <c r="P1288" s="59">
        <f t="shared" si="130"/>
        <v>7.1917808219178081</v>
      </c>
    </row>
    <row r="1289" spans="12:16" ht="15" hidden="1" customHeight="1">
      <c r="L1289" s="58">
        <f t="shared" si="128"/>
        <v>47521</v>
      </c>
      <c r="M1289" s="59">
        <f t="shared" si="126"/>
        <v>0</v>
      </c>
      <c r="N1289" s="59">
        <f t="shared" si="129"/>
        <v>87500</v>
      </c>
      <c r="O1289" s="59">
        <f t="shared" si="127"/>
        <v>11.986301369863014</v>
      </c>
      <c r="P1289" s="59">
        <f t="shared" si="130"/>
        <v>7.1917808219178081</v>
      </c>
    </row>
    <row r="1290" spans="12:16" ht="15" hidden="1" customHeight="1">
      <c r="L1290" s="58">
        <f t="shared" si="128"/>
        <v>47522</v>
      </c>
      <c r="M1290" s="59">
        <f t="shared" si="126"/>
        <v>0</v>
      </c>
      <c r="N1290" s="59">
        <f t="shared" si="129"/>
        <v>87500</v>
      </c>
      <c r="O1290" s="59">
        <f t="shared" si="127"/>
        <v>11.986301369863014</v>
      </c>
      <c r="P1290" s="59">
        <f t="shared" si="130"/>
        <v>7.1917808219178081</v>
      </c>
    </row>
    <row r="1291" spans="12:16" ht="15" hidden="1" customHeight="1">
      <c r="L1291" s="58">
        <f t="shared" si="128"/>
        <v>47523</v>
      </c>
      <c r="M1291" s="59">
        <f t="shared" si="126"/>
        <v>0</v>
      </c>
      <c r="N1291" s="59">
        <f t="shared" si="129"/>
        <v>87500</v>
      </c>
      <c r="O1291" s="59">
        <f t="shared" si="127"/>
        <v>11.986301369863014</v>
      </c>
      <c r="P1291" s="59">
        <f t="shared" si="130"/>
        <v>7.1917808219178081</v>
      </c>
    </row>
    <row r="1292" spans="12:16" ht="15" hidden="1" customHeight="1">
      <c r="L1292" s="58">
        <f t="shared" si="128"/>
        <v>47524</v>
      </c>
      <c r="M1292" s="59">
        <f t="shared" si="126"/>
        <v>0</v>
      </c>
      <c r="N1292" s="59">
        <f t="shared" si="129"/>
        <v>87500</v>
      </c>
      <c r="O1292" s="59">
        <f t="shared" si="127"/>
        <v>11.986301369863014</v>
      </c>
      <c r="P1292" s="59">
        <f t="shared" si="130"/>
        <v>7.1917808219178081</v>
      </c>
    </row>
    <row r="1293" spans="12:16" ht="15" hidden="1" customHeight="1">
      <c r="L1293" s="58">
        <f t="shared" si="128"/>
        <v>47525</v>
      </c>
      <c r="M1293" s="59">
        <f t="shared" si="126"/>
        <v>0</v>
      </c>
      <c r="N1293" s="59">
        <f t="shared" si="129"/>
        <v>87500</v>
      </c>
      <c r="O1293" s="59">
        <f t="shared" si="127"/>
        <v>11.986301369863014</v>
      </c>
      <c r="P1293" s="59">
        <f t="shared" si="130"/>
        <v>7.1917808219178081</v>
      </c>
    </row>
    <row r="1294" spans="12:16" ht="15" hidden="1" customHeight="1">
      <c r="L1294" s="58">
        <f t="shared" si="128"/>
        <v>47526</v>
      </c>
      <c r="M1294" s="59">
        <f t="shared" si="126"/>
        <v>0</v>
      </c>
      <c r="N1294" s="59">
        <f t="shared" si="129"/>
        <v>87500</v>
      </c>
      <c r="O1294" s="59">
        <f t="shared" si="127"/>
        <v>11.986301369863014</v>
      </c>
      <c r="P1294" s="59">
        <f t="shared" si="130"/>
        <v>7.1917808219178081</v>
      </c>
    </row>
    <row r="1295" spans="12:16" ht="15" hidden="1" customHeight="1">
      <c r="L1295" s="58">
        <f t="shared" si="128"/>
        <v>47527</v>
      </c>
      <c r="M1295" s="59">
        <f t="shared" si="126"/>
        <v>0</v>
      </c>
      <c r="N1295" s="59">
        <f t="shared" si="129"/>
        <v>87500</v>
      </c>
      <c r="O1295" s="59">
        <f t="shared" si="127"/>
        <v>11.986301369863014</v>
      </c>
      <c r="P1295" s="59">
        <f t="shared" si="130"/>
        <v>7.1917808219178081</v>
      </c>
    </row>
    <row r="1296" spans="12:16" ht="15" hidden="1" customHeight="1">
      <c r="L1296" s="58">
        <f t="shared" si="128"/>
        <v>47528</v>
      </c>
      <c r="M1296" s="59">
        <f t="shared" si="126"/>
        <v>0</v>
      </c>
      <c r="N1296" s="59">
        <f t="shared" si="129"/>
        <v>87500</v>
      </c>
      <c r="O1296" s="59">
        <f t="shared" si="127"/>
        <v>11.986301369863014</v>
      </c>
      <c r="P1296" s="59">
        <f t="shared" si="130"/>
        <v>7.1917808219178081</v>
      </c>
    </row>
    <row r="1297" spans="12:16" ht="15" hidden="1" customHeight="1">
      <c r="L1297" s="58">
        <f t="shared" si="128"/>
        <v>47529</v>
      </c>
      <c r="M1297" s="59">
        <f t="shared" si="126"/>
        <v>0</v>
      </c>
      <c r="N1297" s="59">
        <f t="shared" si="129"/>
        <v>87500</v>
      </c>
      <c r="O1297" s="59">
        <f t="shared" si="127"/>
        <v>11.986301369863014</v>
      </c>
      <c r="P1297" s="59">
        <f t="shared" si="130"/>
        <v>7.1917808219178081</v>
      </c>
    </row>
    <row r="1298" spans="12:16" ht="15" hidden="1" customHeight="1">
      <c r="L1298" s="58">
        <f t="shared" si="128"/>
        <v>47530</v>
      </c>
      <c r="M1298" s="59">
        <f t="shared" si="126"/>
        <v>0</v>
      </c>
      <c r="N1298" s="59">
        <f t="shared" si="129"/>
        <v>87500</v>
      </c>
      <c r="O1298" s="59">
        <f t="shared" si="127"/>
        <v>11.986301369863014</v>
      </c>
      <c r="P1298" s="59">
        <f t="shared" si="130"/>
        <v>7.1917808219178081</v>
      </c>
    </row>
    <row r="1299" spans="12:16" ht="15" hidden="1" customHeight="1">
      <c r="L1299" s="58">
        <f t="shared" si="128"/>
        <v>47531</v>
      </c>
      <c r="M1299" s="59">
        <f t="shared" ref="M1299:M1362" si="131">IFERROR(VLOOKUP(L1299,$B$19:$E$80,4,FALSE),0)</f>
        <v>0</v>
      </c>
      <c r="N1299" s="59">
        <f t="shared" si="129"/>
        <v>87500</v>
      </c>
      <c r="O1299" s="59">
        <f t="shared" ref="O1299:O1362" si="132">IFERROR(IF(ISNUMBER(N1298),N1298,$E$8)*IF(L1299&gt;=$J$8,$E$12,$E$12)/IF(MOD(YEAR(L1299),4),365,366)*IF(ISBLANK(L1298),L1299-$F$5,L1299-L1298),0)</f>
        <v>11.986301369863014</v>
      </c>
      <c r="P1299" s="59">
        <f t="shared" si="130"/>
        <v>7.1917808219178081</v>
      </c>
    </row>
    <row r="1300" spans="12:16" ht="15" hidden="1" customHeight="1">
      <c r="L1300" s="58">
        <f t="shared" si="128"/>
        <v>47532</v>
      </c>
      <c r="M1300" s="59">
        <f t="shared" si="131"/>
        <v>0</v>
      </c>
      <c r="N1300" s="59">
        <f t="shared" si="129"/>
        <v>87500</v>
      </c>
      <c r="O1300" s="59">
        <f t="shared" si="132"/>
        <v>11.986301369863014</v>
      </c>
      <c r="P1300" s="59">
        <f t="shared" si="130"/>
        <v>7.1917808219178081</v>
      </c>
    </row>
    <row r="1301" spans="12:16" ht="15" hidden="1" customHeight="1">
      <c r="L1301" s="58">
        <f t="shared" si="128"/>
        <v>47533</v>
      </c>
      <c r="M1301" s="59">
        <f t="shared" si="131"/>
        <v>0</v>
      </c>
      <c r="N1301" s="59">
        <f t="shared" si="129"/>
        <v>87500</v>
      </c>
      <c r="O1301" s="59">
        <f t="shared" si="132"/>
        <v>11.986301369863014</v>
      </c>
      <c r="P1301" s="59">
        <f t="shared" si="130"/>
        <v>7.1917808219178081</v>
      </c>
    </row>
    <row r="1302" spans="12:16" ht="15" hidden="1" customHeight="1">
      <c r="L1302" s="58">
        <f t="shared" si="128"/>
        <v>47534</v>
      </c>
      <c r="M1302" s="59">
        <f t="shared" si="131"/>
        <v>0</v>
      </c>
      <c r="N1302" s="59">
        <f t="shared" si="129"/>
        <v>87500</v>
      </c>
      <c r="O1302" s="59">
        <f t="shared" si="132"/>
        <v>11.986301369863014</v>
      </c>
      <c r="P1302" s="59">
        <f t="shared" si="130"/>
        <v>7.1917808219178081</v>
      </c>
    </row>
    <row r="1303" spans="12:16" ht="15" hidden="1" customHeight="1">
      <c r="L1303" s="58">
        <f t="shared" si="128"/>
        <v>47535</v>
      </c>
      <c r="M1303" s="59">
        <f t="shared" si="131"/>
        <v>0</v>
      </c>
      <c r="N1303" s="59">
        <f t="shared" si="129"/>
        <v>87500</v>
      </c>
      <c r="O1303" s="59">
        <f t="shared" si="132"/>
        <v>11.986301369863014</v>
      </c>
      <c r="P1303" s="59">
        <f t="shared" si="130"/>
        <v>7.1917808219178081</v>
      </c>
    </row>
    <row r="1304" spans="12:16" ht="15" hidden="1" customHeight="1">
      <c r="L1304" s="58">
        <f t="shared" si="128"/>
        <v>47536</v>
      </c>
      <c r="M1304" s="59">
        <f t="shared" si="131"/>
        <v>0</v>
      </c>
      <c r="N1304" s="59">
        <f t="shared" si="129"/>
        <v>87500</v>
      </c>
      <c r="O1304" s="59">
        <f t="shared" si="132"/>
        <v>11.986301369863014</v>
      </c>
      <c r="P1304" s="59">
        <f t="shared" si="130"/>
        <v>7.1917808219178081</v>
      </c>
    </row>
    <row r="1305" spans="12:16" ht="15" hidden="1" customHeight="1">
      <c r="L1305" s="58">
        <f t="shared" si="128"/>
        <v>47537</v>
      </c>
      <c r="M1305" s="59">
        <f t="shared" si="131"/>
        <v>0</v>
      </c>
      <c r="N1305" s="59">
        <f t="shared" si="129"/>
        <v>87500</v>
      </c>
      <c r="O1305" s="59">
        <f t="shared" si="132"/>
        <v>11.986301369863014</v>
      </c>
      <c r="P1305" s="59">
        <f t="shared" si="130"/>
        <v>7.1917808219178081</v>
      </c>
    </row>
    <row r="1306" spans="12:16" ht="15" hidden="1" customHeight="1">
      <c r="L1306" s="58">
        <f t="shared" si="128"/>
        <v>47538</v>
      </c>
      <c r="M1306" s="59">
        <f t="shared" si="131"/>
        <v>0</v>
      </c>
      <c r="N1306" s="59">
        <f t="shared" si="129"/>
        <v>87500</v>
      </c>
      <c r="O1306" s="59">
        <f t="shared" si="132"/>
        <v>11.986301369863014</v>
      </c>
      <c r="P1306" s="59">
        <f t="shared" si="130"/>
        <v>7.1917808219178081</v>
      </c>
    </row>
    <row r="1307" spans="12:16" ht="15" hidden="1" customHeight="1">
      <c r="L1307" s="58">
        <f t="shared" si="128"/>
        <v>47539</v>
      </c>
      <c r="M1307" s="59">
        <f t="shared" si="131"/>
        <v>0</v>
      </c>
      <c r="N1307" s="59">
        <f t="shared" si="129"/>
        <v>87500</v>
      </c>
      <c r="O1307" s="59">
        <f t="shared" si="132"/>
        <v>11.986301369863014</v>
      </c>
      <c r="P1307" s="59">
        <f t="shared" si="130"/>
        <v>7.1917808219178081</v>
      </c>
    </row>
    <row r="1308" spans="12:16" ht="15" hidden="1" customHeight="1">
      <c r="L1308" s="58">
        <f t="shared" si="128"/>
        <v>47540</v>
      </c>
      <c r="M1308" s="59">
        <f t="shared" si="131"/>
        <v>0</v>
      </c>
      <c r="N1308" s="59">
        <f t="shared" si="129"/>
        <v>87500</v>
      </c>
      <c r="O1308" s="59">
        <f t="shared" si="132"/>
        <v>11.986301369863014</v>
      </c>
      <c r="P1308" s="59">
        <f t="shared" si="130"/>
        <v>7.1917808219178081</v>
      </c>
    </row>
    <row r="1309" spans="12:16" ht="15" hidden="1" customHeight="1">
      <c r="L1309" s="58">
        <f t="shared" si="128"/>
        <v>47541</v>
      </c>
      <c r="M1309" s="59">
        <f t="shared" si="131"/>
        <v>0</v>
      </c>
      <c r="N1309" s="59">
        <f t="shared" si="129"/>
        <v>87500</v>
      </c>
      <c r="O1309" s="59">
        <f t="shared" si="132"/>
        <v>11.986301369863014</v>
      </c>
      <c r="P1309" s="59">
        <f t="shared" si="130"/>
        <v>7.1917808219178081</v>
      </c>
    </row>
    <row r="1310" spans="12:16" ht="15" hidden="1" customHeight="1">
      <c r="L1310" s="58">
        <f t="shared" si="128"/>
        <v>47542</v>
      </c>
      <c r="M1310" s="59">
        <f t="shared" si="131"/>
        <v>0</v>
      </c>
      <c r="N1310" s="59">
        <f t="shared" si="129"/>
        <v>87500</v>
      </c>
      <c r="O1310" s="59">
        <f t="shared" si="132"/>
        <v>11.986301369863014</v>
      </c>
      <c r="P1310" s="59">
        <f t="shared" si="130"/>
        <v>7.1917808219178081</v>
      </c>
    </row>
    <row r="1311" spans="12:16" ht="15" hidden="1" customHeight="1">
      <c r="L1311" s="58">
        <f t="shared" si="128"/>
        <v>47543</v>
      </c>
      <c r="M1311" s="59">
        <f t="shared" si="131"/>
        <v>0</v>
      </c>
      <c r="N1311" s="59">
        <f t="shared" si="129"/>
        <v>87500</v>
      </c>
      <c r="O1311" s="59">
        <f t="shared" si="132"/>
        <v>11.986301369863014</v>
      </c>
      <c r="P1311" s="59">
        <f t="shared" si="130"/>
        <v>7.1917808219178081</v>
      </c>
    </row>
    <row r="1312" spans="12:16" ht="15" hidden="1" customHeight="1">
      <c r="L1312" s="58">
        <f t="shared" si="128"/>
        <v>47544</v>
      </c>
      <c r="M1312" s="59">
        <f t="shared" si="131"/>
        <v>0</v>
      </c>
      <c r="N1312" s="59">
        <f t="shared" si="129"/>
        <v>87500</v>
      </c>
      <c r="O1312" s="59">
        <f t="shared" si="132"/>
        <v>11.986301369863014</v>
      </c>
      <c r="P1312" s="59">
        <f t="shared" si="130"/>
        <v>7.1917808219178081</v>
      </c>
    </row>
    <row r="1313" spans="12:16" ht="15" hidden="1" customHeight="1">
      <c r="L1313" s="58">
        <f t="shared" si="128"/>
        <v>47545</v>
      </c>
      <c r="M1313" s="59">
        <f t="shared" si="131"/>
        <v>0</v>
      </c>
      <c r="N1313" s="59">
        <f t="shared" si="129"/>
        <v>87500</v>
      </c>
      <c r="O1313" s="59">
        <f t="shared" si="132"/>
        <v>11.986301369863014</v>
      </c>
      <c r="P1313" s="59">
        <f t="shared" si="130"/>
        <v>7.1917808219178081</v>
      </c>
    </row>
    <row r="1314" spans="12:16" ht="15" hidden="1" customHeight="1">
      <c r="L1314" s="58">
        <f t="shared" ref="L1314:L1377" si="133">IFERROR(IF(MAX(L1313+1,$F$5+1)&gt;Дата_погашения_Займа,"-",MAX(L1313+1,$F$5+1)),"-")</f>
        <v>47546</v>
      </c>
      <c r="M1314" s="59">
        <f t="shared" si="131"/>
        <v>0</v>
      </c>
      <c r="N1314" s="59">
        <f t="shared" si="129"/>
        <v>87500</v>
      </c>
      <c r="O1314" s="59">
        <f t="shared" si="132"/>
        <v>11.986301369863014</v>
      </c>
      <c r="P1314" s="59">
        <f t="shared" si="130"/>
        <v>7.1917808219178081</v>
      </c>
    </row>
    <row r="1315" spans="12:16" ht="15" hidden="1" customHeight="1">
      <c r="L1315" s="58">
        <f t="shared" si="133"/>
        <v>47547</v>
      </c>
      <c r="M1315" s="59">
        <f t="shared" si="131"/>
        <v>0</v>
      </c>
      <c r="N1315" s="59">
        <f t="shared" si="129"/>
        <v>87500</v>
      </c>
      <c r="O1315" s="59">
        <f t="shared" si="132"/>
        <v>11.986301369863014</v>
      </c>
      <c r="P1315" s="59">
        <f t="shared" si="130"/>
        <v>7.1917808219178081</v>
      </c>
    </row>
    <row r="1316" spans="12:16" ht="15" hidden="1" customHeight="1">
      <c r="L1316" s="58">
        <f t="shared" si="133"/>
        <v>47548</v>
      </c>
      <c r="M1316" s="59">
        <f t="shared" si="131"/>
        <v>0</v>
      </c>
      <c r="N1316" s="59">
        <f t="shared" si="129"/>
        <v>87500</v>
      </c>
      <c r="O1316" s="59">
        <f t="shared" si="132"/>
        <v>11.986301369863014</v>
      </c>
      <c r="P1316" s="59">
        <f t="shared" si="130"/>
        <v>7.1917808219178081</v>
      </c>
    </row>
    <row r="1317" spans="12:16" ht="15" hidden="1" customHeight="1">
      <c r="L1317" s="58">
        <f t="shared" si="133"/>
        <v>47549</v>
      </c>
      <c r="M1317" s="59">
        <f t="shared" si="131"/>
        <v>0</v>
      </c>
      <c r="N1317" s="59">
        <f t="shared" si="129"/>
        <v>87500</v>
      </c>
      <c r="O1317" s="59">
        <f t="shared" si="132"/>
        <v>11.986301369863014</v>
      </c>
      <c r="P1317" s="59">
        <f t="shared" si="130"/>
        <v>7.1917808219178081</v>
      </c>
    </row>
    <row r="1318" spans="12:16" ht="15" hidden="1" customHeight="1">
      <c r="L1318" s="58">
        <f t="shared" si="133"/>
        <v>47550</v>
      </c>
      <c r="M1318" s="59">
        <f t="shared" si="131"/>
        <v>0</v>
      </c>
      <c r="N1318" s="59">
        <f t="shared" si="129"/>
        <v>87500</v>
      </c>
      <c r="O1318" s="59">
        <f t="shared" si="132"/>
        <v>11.986301369863014</v>
      </c>
      <c r="P1318" s="59">
        <f t="shared" si="130"/>
        <v>7.1917808219178081</v>
      </c>
    </row>
    <row r="1319" spans="12:16" ht="15" hidden="1" customHeight="1">
      <c r="L1319" s="58">
        <f t="shared" si="133"/>
        <v>47551</v>
      </c>
      <c r="M1319" s="59">
        <f t="shared" si="131"/>
        <v>0</v>
      </c>
      <c r="N1319" s="59">
        <f t="shared" si="129"/>
        <v>87500</v>
      </c>
      <c r="O1319" s="59">
        <f t="shared" si="132"/>
        <v>11.986301369863014</v>
      </c>
      <c r="P1319" s="59">
        <f t="shared" si="130"/>
        <v>7.1917808219178081</v>
      </c>
    </row>
    <row r="1320" spans="12:16" ht="15" hidden="1" customHeight="1">
      <c r="L1320" s="58">
        <f t="shared" si="133"/>
        <v>47552</v>
      </c>
      <c r="M1320" s="59">
        <f t="shared" si="131"/>
        <v>0</v>
      </c>
      <c r="N1320" s="59">
        <f t="shared" si="129"/>
        <v>87500</v>
      </c>
      <c r="O1320" s="59">
        <f t="shared" si="132"/>
        <v>11.986301369863014</v>
      </c>
      <c r="P1320" s="59">
        <f t="shared" si="130"/>
        <v>7.1917808219178081</v>
      </c>
    </row>
    <row r="1321" spans="12:16" ht="15" hidden="1" customHeight="1">
      <c r="L1321" s="58">
        <f t="shared" si="133"/>
        <v>47553</v>
      </c>
      <c r="M1321" s="59">
        <f t="shared" si="131"/>
        <v>0</v>
      </c>
      <c r="N1321" s="59">
        <f t="shared" si="129"/>
        <v>87500</v>
      </c>
      <c r="O1321" s="59">
        <f t="shared" si="132"/>
        <v>11.986301369863014</v>
      </c>
      <c r="P1321" s="59">
        <f t="shared" si="130"/>
        <v>7.1917808219178081</v>
      </c>
    </row>
    <row r="1322" spans="12:16" ht="15" hidden="1" customHeight="1">
      <c r="L1322" s="58">
        <f t="shared" si="133"/>
        <v>47554</v>
      </c>
      <c r="M1322" s="59">
        <f t="shared" si="131"/>
        <v>0</v>
      </c>
      <c r="N1322" s="59">
        <f t="shared" si="129"/>
        <v>87500</v>
      </c>
      <c r="O1322" s="59">
        <f t="shared" si="132"/>
        <v>11.986301369863014</v>
      </c>
      <c r="P1322" s="59">
        <f t="shared" si="130"/>
        <v>7.1917808219178081</v>
      </c>
    </row>
    <row r="1323" spans="12:16" ht="15" hidden="1" customHeight="1">
      <c r="L1323" s="58">
        <f t="shared" si="133"/>
        <v>47555</v>
      </c>
      <c r="M1323" s="59">
        <f t="shared" si="131"/>
        <v>0</v>
      </c>
      <c r="N1323" s="59">
        <f t="shared" si="129"/>
        <v>87500</v>
      </c>
      <c r="O1323" s="59">
        <f t="shared" si="132"/>
        <v>11.986301369863014</v>
      </c>
      <c r="P1323" s="59">
        <f t="shared" si="130"/>
        <v>7.1917808219178081</v>
      </c>
    </row>
    <row r="1324" spans="12:16" ht="15" hidden="1" customHeight="1">
      <c r="L1324" s="58">
        <f t="shared" si="133"/>
        <v>47556</v>
      </c>
      <c r="M1324" s="59">
        <f t="shared" si="131"/>
        <v>0</v>
      </c>
      <c r="N1324" s="59">
        <f t="shared" si="129"/>
        <v>87500</v>
      </c>
      <c r="O1324" s="59">
        <f t="shared" si="132"/>
        <v>11.986301369863014</v>
      </c>
      <c r="P1324" s="59">
        <f t="shared" si="130"/>
        <v>7.1917808219178081</v>
      </c>
    </row>
    <row r="1325" spans="12:16" ht="15" hidden="1" customHeight="1">
      <c r="L1325" s="58">
        <f t="shared" si="133"/>
        <v>47557</v>
      </c>
      <c r="M1325" s="59">
        <f t="shared" si="131"/>
        <v>0</v>
      </c>
      <c r="N1325" s="59">
        <f t="shared" si="129"/>
        <v>87500</v>
      </c>
      <c r="O1325" s="59">
        <f t="shared" si="132"/>
        <v>11.986301369863014</v>
      </c>
      <c r="P1325" s="59">
        <f t="shared" si="130"/>
        <v>7.1917808219178081</v>
      </c>
    </row>
    <row r="1326" spans="12:16" ht="15" hidden="1" customHeight="1">
      <c r="L1326" s="58">
        <f t="shared" si="133"/>
        <v>47558</v>
      </c>
      <c r="M1326" s="59">
        <f t="shared" si="131"/>
        <v>0</v>
      </c>
      <c r="N1326" s="59">
        <f t="shared" si="129"/>
        <v>87500</v>
      </c>
      <c r="O1326" s="59">
        <f t="shared" si="132"/>
        <v>11.986301369863014</v>
      </c>
      <c r="P1326" s="59">
        <f t="shared" si="130"/>
        <v>7.1917808219178081</v>
      </c>
    </row>
    <row r="1327" spans="12:16" ht="15" hidden="1" customHeight="1">
      <c r="L1327" s="58">
        <f t="shared" si="133"/>
        <v>47559</v>
      </c>
      <c r="M1327" s="59">
        <f t="shared" si="131"/>
        <v>0</v>
      </c>
      <c r="N1327" s="59">
        <f t="shared" si="129"/>
        <v>87500</v>
      </c>
      <c r="O1327" s="59">
        <f t="shared" si="132"/>
        <v>11.986301369863014</v>
      </c>
      <c r="P1327" s="59">
        <f t="shared" si="130"/>
        <v>7.1917808219178081</v>
      </c>
    </row>
    <row r="1328" spans="12:16" ht="15" hidden="1" customHeight="1">
      <c r="L1328" s="58">
        <f t="shared" si="133"/>
        <v>47560</v>
      </c>
      <c r="M1328" s="59">
        <f t="shared" si="131"/>
        <v>0</v>
      </c>
      <c r="N1328" s="59">
        <f t="shared" ref="N1328:N1391" si="134">IF(ISNUMBER(N1327),N1327-M1328,$E$8)</f>
        <v>87500</v>
      </c>
      <c r="O1328" s="59">
        <f t="shared" si="132"/>
        <v>11.986301369863014</v>
      </c>
      <c r="P1328" s="59">
        <f t="shared" ref="P1328:P1391" si="135">IFERROR(IF(ISNUMBER(N1327),N1327,$E$8)*3%/IF(MOD(YEAR(L1328),4),365,366)*IF(ISBLANK(L1327),(L1328-$F$5),L1328-L1327),0)</f>
        <v>7.1917808219178081</v>
      </c>
    </row>
    <row r="1329" spans="12:16" ht="15" hidden="1" customHeight="1">
      <c r="L1329" s="58">
        <f t="shared" si="133"/>
        <v>47561</v>
      </c>
      <c r="M1329" s="59">
        <f t="shared" si="131"/>
        <v>0</v>
      </c>
      <c r="N1329" s="59">
        <f t="shared" si="134"/>
        <v>87500</v>
      </c>
      <c r="O1329" s="59">
        <f t="shared" si="132"/>
        <v>11.986301369863014</v>
      </c>
      <c r="P1329" s="59">
        <f t="shared" si="135"/>
        <v>7.1917808219178081</v>
      </c>
    </row>
    <row r="1330" spans="12:16" ht="15" hidden="1" customHeight="1">
      <c r="L1330" s="58">
        <f t="shared" si="133"/>
        <v>47562</v>
      </c>
      <c r="M1330" s="59">
        <f t="shared" si="131"/>
        <v>0</v>
      </c>
      <c r="N1330" s="59">
        <f t="shared" si="134"/>
        <v>87500</v>
      </c>
      <c r="O1330" s="59">
        <f t="shared" si="132"/>
        <v>11.986301369863014</v>
      </c>
      <c r="P1330" s="59">
        <f t="shared" si="135"/>
        <v>7.1917808219178081</v>
      </c>
    </row>
    <row r="1331" spans="12:16" ht="15" hidden="1" customHeight="1">
      <c r="L1331" s="58">
        <f t="shared" si="133"/>
        <v>47563</v>
      </c>
      <c r="M1331" s="59">
        <f t="shared" si="131"/>
        <v>0</v>
      </c>
      <c r="N1331" s="59">
        <f t="shared" si="134"/>
        <v>87500</v>
      </c>
      <c r="O1331" s="59">
        <f t="shared" si="132"/>
        <v>11.986301369863014</v>
      </c>
      <c r="P1331" s="59">
        <f t="shared" si="135"/>
        <v>7.1917808219178081</v>
      </c>
    </row>
    <row r="1332" spans="12:16" ht="15" hidden="1" customHeight="1">
      <c r="L1332" s="58">
        <f t="shared" si="133"/>
        <v>47564</v>
      </c>
      <c r="M1332" s="59">
        <f t="shared" si="131"/>
        <v>0</v>
      </c>
      <c r="N1332" s="59">
        <f t="shared" si="134"/>
        <v>87500</v>
      </c>
      <c r="O1332" s="59">
        <f t="shared" si="132"/>
        <v>11.986301369863014</v>
      </c>
      <c r="P1332" s="59">
        <f t="shared" si="135"/>
        <v>7.1917808219178081</v>
      </c>
    </row>
    <row r="1333" spans="12:16" ht="15" hidden="1" customHeight="1">
      <c r="L1333" s="58">
        <f t="shared" si="133"/>
        <v>47565</v>
      </c>
      <c r="M1333" s="59">
        <f t="shared" si="131"/>
        <v>0</v>
      </c>
      <c r="N1333" s="59">
        <f t="shared" si="134"/>
        <v>87500</v>
      </c>
      <c r="O1333" s="59">
        <f t="shared" si="132"/>
        <v>11.986301369863014</v>
      </c>
      <c r="P1333" s="59">
        <f t="shared" si="135"/>
        <v>7.1917808219178081</v>
      </c>
    </row>
    <row r="1334" spans="12:16" ht="15" hidden="1" customHeight="1">
      <c r="L1334" s="58">
        <f t="shared" si="133"/>
        <v>47566</v>
      </c>
      <c r="M1334" s="59">
        <f t="shared" si="131"/>
        <v>0</v>
      </c>
      <c r="N1334" s="59">
        <f t="shared" si="134"/>
        <v>87500</v>
      </c>
      <c r="O1334" s="59">
        <f t="shared" si="132"/>
        <v>11.986301369863014</v>
      </c>
      <c r="P1334" s="59">
        <f t="shared" si="135"/>
        <v>7.1917808219178081</v>
      </c>
    </row>
    <row r="1335" spans="12:16" ht="15" hidden="1" customHeight="1">
      <c r="L1335" s="58">
        <f t="shared" si="133"/>
        <v>47567</v>
      </c>
      <c r="M1335" s="59">
        <f t="shared" si="131"/>
        <v>0</v>
      </c>
      <c r="N1335" s="59">
        <f t="shared" si="134"/>
        <v>87500</v>
      </c>
      <c r="O1335" s="59">
        <f t="shared" si="132"/>
        <v>11.986301369863014</v>
      </c>
      <c r="P1335" s="59">
        <f t="shared" si="135"/>
        <v>7.1917808219178081</v>
      </c>
    </row>
    <row r="1336" spans="12:16" ht="15" hidden="1" customHeight="1">
      <c r="L1336" s="58">
        <f t="shared" si="133"/>
        <v>47568</v>
      </c>
      <c r="M1336" s="59">
        <f t="shared" si="131"/>
        <v>0</v>
      </c>
      <c r="N1336" s="59">
        <f t="shared" si="134"/>
        <v>87500</v>
      </c>
      <c r="O1336" s="59">
        <f t="shared" si="132"/>
        <v>11.986301369863014</v>
      </c>
      <c r="P1336" s="59">
        <f t="shared" si="135"/>
        <v>7.1917808219178081</v>
      </c>
    </row>
    <row r="1337" spans="12:16" ht="15" hidden="1" customHeight="1">
      <c r="L1337" s="58">
        <f t="shared" si="133"/>
        <v>47569</v>
      </c>
      <c r="M1337" s="59">
        <f t="shared" si="131"/>
        <v>0</v>
      </c>
      <c r="N1337" s="59">
        <f t="shared" si="134"/>
        <v>87500</v>
      </c>
      <c r="O1337" s="59">
        <f t="shared" si="132"/>
        <v>11.986301369863014</v>
      </c>
      <c r="P1337" s="59">
        <f t="shared" si="135"/>
        <v>7.1917808219178081</v>
      </c>
    </row>
    <row r="1338" spans="12:16" ht="15" hidden="1" customHeight="1">
      <c r="L1338" s="58">
        <f t="shared" si="133"/>
        <v>47570</v>
      </c>
      <c r="M1338" s="59">
        <f t="shared" si="131"/>
        <v>0</v>
      </c>
      <c r="N1338" s="59">
        <f t="shared" si="134"/>
        <v>87500</v>
      </c>
      <c r="O1338" s="59">
        <f t="shared" si="132"/>
        <v>11.986301369863014</v>
      </c>
      <c r="P1338" s="59">
        <f t="shared" si="135"/>
        <v>7.1917808219178081</v>
      </c>
    </row>
    <row r="1339" spans="12:16" ht="15" hidden="1" customHeight="1">
      <c r="L1339" s="58">
        <f t="shared" si="133"/>
        <v>47571</v>
      </c>
      <c r="M1339" s="59">
        <f t="shared" si="131"/>
        <v>0</v>
      </c>
      <c r="N1339" s="59">
        <f t="shared" si="134"/>
        <v>87500</v>
      </c>
      <c r="O1339" s="59">
        <f t="shared" si="132"/>
        <v>11.986301369863014</v>
      </c>
      <c r="P1339" s="59">
        <f t="shared" si="135"/>
        <v>7.1917808219178081</v>
      </c>
    </row>
    <row r="1340" spans="12:16" ht="15" hidden="1" customHeight="1">
      <c r="L1340" s="58">
        <f t="shared" si="133"/>
        <v>47572</v>
      </c>
      <c r="M1340" s="59">
        <f t="shared" si="131"/>
        <v>0</v>
      </c>
      <c r="N1340" s="59">
        <f t="shared" si="134"/>
        <v>87500</v>
      </c>
      <c r="O1340" s="59">
        <f t="shared" si="132"/>
        <v>11.986301369863014</v>
      </c>
      <c r="P1340" s="59">
        <f t="shared" si="135"/>
        <v>7.1917808219178081</v>
      </c>
    </row>
    <row r="1341" spans="12:16" ht="15" hidden="1" customHeight="1">
      <c r="L1341" s="58">
        <f t="shared" si="133"/>
        <v>47573</v>
      </c>
      <c r="M1341" s="59">
        <f t="shared" si="131"/>
        <v>12500</v>
      </c>
      <c r="N1341" s="59">
        <f t="shared" si="134"/>
        <v>75000</v>
      </c>
      <c r="O1341" s="59">
        <f t="shared" si="132"/>
        <v>11.986301369863014</v>
      </c>
      <c r="P1341" s="59">
        <f t="shared" si="135"/>
        <v>7.1917808219178081</v>
      </c>
    </row>
    <row r="1342" spans="12:16" ht="15" hidden="1" customHeight="1">
      <c r="L1342" s="58">
        <f t="shared" si="133"/>
        <v>47574</v>
      </c>
      <c r="M1342" s="59">
        <f t="shared" si="131"/>
        <v>0</v>
      </c>
      <c r="N1342" s="59">
        <f t="shared" si="134"/>
        <v>75000</v>
      </c>
      <c r="O1342" s="59">
        <f t="shared" si="132"/>
        <v>10.273972602739725</v>
      </c>
      <c r="P1342" s="59">
        <f t="shared" si="135"/>
        <v>6.1643835616438354</v>
      </c>
    </row>
    <row r="1343" spans="12:16" ht="15" hidden="1" customHeight="1">
      <c r="L1343" s="58">
        <f t="shared" si="133"/>
        <v>47575</v>
      </c>
      <c r="M1343" s="59">
        <f t="shared" si="131"/>
        <v>0</v>
      </c>
      <c r="N1343" s="59">
        <f t="shared" si="134"/>
        <v>75000</v>
      </c>
      <c r="O1343" s="59">
        <f t="shared" si="132"/>
        <v>10.273972602739725</v>
      </c>
      <c r="P1343" s="59">
        <f t="shared" si="135"/>
        <v>6.1643835616438354</v>
      </c>
    </row>
    <row r="1344" spans="12:16" ht="15" hidden="1" customHeight="1">
      <c r="L1344" s="58">
        <f t="shared" si="133"/>
        <v>47576</v>
      </c>
      <c r="M1344" s="59">
        <f t="shared" si="131"/>
        <v>0</v>
      </c>
      <c r="N1344" s="59">
        <f t="shared" si="134"/>
        <v>75000</v>
      </c>
      <c r="O1344" s="59">
        <f t="shared" si="132"/>
        <v>10.273972602739725</v>
      </c>
      <c r="P1344" s="59">
        <f t="shared" si="135"/>
        <v>6.1643835616438354</v>
      </c>
    </row>
    <row r="1345" spans="12:16" ht="15" hidden="1" customHeight="1">
      <c r="L1345" s="58">
        <f t="shared" si="133"/>
        <v>47577</v>
      </c>
      <c r="M1345" s="59">
        <f t="shared" si="131"/>
        <v>0</v>
      </c>
      <c r="N1345" s="59">
        <f t="shared" si="134"/>
        <v>75000</v>
      </c>
      <c r="O1345" s="59">
        <f t="shared" si="132"/>
        <v>10.273972602739725</v>
      </c>
      <c r="P1345" s="59">
        <f t="shared" si="135"/>
        <v>6.1643835616438354</v>
      </c>
    </row>
    <row r="1346" spans="12:16" ht="15" hidden="1" customHeight="1">
      <c r="L1346" s="58">
        <f t="shared" si="133"/>
        <v>47578</v>
      </c>
      <c r="M1346" s="59">
        <f t="shared" si="131"/>
        <v>0</v>
      </c>
      <c r="N1346" s="59">
        <f t="shared" si="134"/>
        <v>75000</v>
      </c>
      <c r="O1346" s="59">
        <f t="shared" si="132"/>
        <v>10.273972602739725</v>
      </c>
      <c r="P1346" s="59">
        <f t="shared" si="135"/>
        <v>6.1643835616438354</v>
      </c>
    </row>
    <row r="1347" spans="12:16" ht="15" hidden="1" customHeight="1">
      <c r="L1347" s="58">
        <f t="shared" si="133"/>
        <v>47579</v>
      </c>
      <c r="M1347" s="59">
        <f t="shared" si="131"/>
        <v>0</v>
      </c>
      <c r="N1347" s="59">
        <f t="shared" si="134"/>
        <v>75000</v>
      </c>
      <c r="O1347" s="59">
        <f t="shared" si="132"/>
        <v>10.273972602739725</v>
      </c>
      <c r="P1347" s="59">
        <f t="shared" si="135"/>
        <v>6.1643835616438354</v>
      </c>
    </row>
    <row r="1348" spans="12:16" ht="15" hidden="1" customHeight="1">
      <c r="L1348" s="58">
        <f t="shared" si="133"/>
        <v>47580</v>
      </c>
      <c r="M1348" s="59">
        <f t="shared" si="131"/>
        <v>0</v>
      </c>
      <c r="N1348" s="59">
        <f t="shared" si="134"/>
        <v>75000</v>
      </c>
      <c r="O1348" s="59">
        <f t="shared" si="132"/>
        <v>10.273972602739725</v>
      </c>
      <c r="P1348" s="59">
        <f t="shared" si="135"/>
        <v>6.1643835616438354</v>
      </c>
    </row>
    <row r="1349" spans="12:16" ht="15" hidden="1" customHeight="1">
      <c r="L1349" s="58">
        <f t="shared" si="133"/>
        <v>47581</v>
      </c>
      <c r="M1349" s="59">
        <f t="shared" si="131"/>
        <v>0</v>
      </c>
      <c r="N1349" s="59">
        <f t="shared" si="134"/>
        <v>75000</v>
      </c>
      <c r="O1349" s="59">
        <f t="shared" si="132"/>
        <v>10.273972602739725</v>
      </c>
      <c r="P1349" s="59">
        <f t="shared" si="135"/>
        <v>6.1643835616438354</v>
      </c>
    </row>
    <row r="1350" spans="12:16" ht="15" hidden="1" customHeight="1">
      <c r="L1350" s="58">
        <f t="shared" si="133"/>
        <v>47582</v>
      </c>
      <c r="M1350" s="59">
        <f t="shared" si="131"/>
        <v>0</v>
      </c>
      <c r="N1350" s="59">
        <f t="shared" si="134"/>
        <v>75000</v>
      </c>
      <c r="O1350" s="59">
        <f t="shared" si="132"/>
        <v>10.273972602739725</v>
      </c>
      <c r="P1350" s="59">
        <f t="shared" si="135"/>
        <v>6.1643835616438354</v>
      </c>
    </row>
    <row r="1351" spans="12:16" ht="15" hidden="1" customHeight="1">
      <c r="L1351" s="58">
        <f t="shared" si="133"/>
        <v>47583</v>
      </c>
      <c r="M1351" s="59">
        <f t="shared" si="131"/>
        <v>0</v>
      </c>
      <c r="N1351" s="59">
        <f t="shared" si="134"/>
        <v>75000</v>
      </c>
      <c r="O1351" s="59">
        <f t="shared" si="132"/>
        <v>10.273972602739725</v>
      </c>
      <c r="P1351" s="59">
        <f t="shared" si="135"/>
        <v>6.1643835616438354</v>
      </c>
    </row>
    <row r="1352" spans="12:16" ht="15" hidden="1" customHeight="1">
      <c r="L1352" s="58">
        <f t="shared" si="133"/>
        <v>47584</v>
      </c>
      <c r="M1352" s="59">
        <f t="shared" si="131"/>
        <v>0</v>
      </c>
      <c r="N1352" s="59">
        <f t="shared" si="134"/>
        <v>75000</v>
      </c>
      <c r="O1352" s="59">
        <f t="shared" si="132"/>
        <v>10.273972602739725</v>
      </c>
      <c r="P1352" s="59">
        <f t="shared" si="135"/>
        <v>6.1643835616438354</v>
      </c>
    </row>
    <row r="1353" spans="12:16" ht="15" hidden="1" customHeight="1">
      <c r="L1353" s="58">
        <f t="shared" si="133"/>
        <v>47585</v>
      </c>
      <c r="M1353" s="59">
        <f t="shared" si="131"/>
        <v>0</v>
      </c>
      <c r="N1353" s="59">
        <f t="shared" si="134"/>
        <v>75000</v>
      </c>
      <c r="O1353" s="59">
        <f t="shared" si="132"/>
        <v>10.273972602739725</v>
      </c>
      <c r="P1353" s="59">
        <f t="shared" si="135"/>
        <v>6.1643835616438354</v>
      </c>
    </row>
    <row r="1354" spans="12:16" ht="15" hidden="1" customHeight="1">
      <c r="L1354" s="58">
        <f t="shared" si="133"/>
        <v>47586</v>
      </c>
      <c r="M1354" s="59">
        <f t="shared" si="131"/>
        <v>0</v>
      </c>
      <c r="N1354" s="59">
        <f t="shared" si="134"/>
        <v>75000</v>
      </c>
      <c r="O1354" s="59">
        <f t="shared" si="132"/>
        <v>10.273972602739725</v>
      </c>
      <c r="P1354" s="59">
        <f t="shared" si="135"/>
        <v>6.1643835616438354</v>
      </c>
    </row>
    <row r="1355" spans="12:16" ht="15" hidden="1" customHeight="1">
      <c r="L1355" s="58">
        <f t="shared" si="133"/>
        <v>47587</v>
      </c>
      <c r="M1355" s="59">
        <f t="shared" si="131"/>
        <v>0</v>
      </c>
      <c r="N1355" s="59">
        <f t="shared" si="134"/>
        <v>75000</v>
      </c>
      <c r="O1355" s="59">
        <f t="shared" si="132"/>
        <v>10.273972602739725</v>
      </c>
      <c r="P1355" s="59">
        <f t="shared" si="135"/>
        <v>6.1643835616438354</v>
      </c>
    </row>
    <row r="1356" spans="12:16" ht="15" hidden="1" customHeight="1">
      <c r="L1356" s="58">
        <f t="shared" si="133"/>
        <v>47588</v>
      </c>
      <c r="M1356" s="59">
        <f t="shared" si="131"/>
        <v>0</v>
      </c>
      <c r="N1356" s="59">
        <f t="shared" si="134"/>
        <v>75000</v>
      </c>
      <c r="O1356" s="59">
        <f t="shared" si="132"/>
        <v>10.273972602739725</v>
      </c>
      <c r="P1356" s="59">
        <f t="shared" si="135"/>
        <v>6.1643835616438354</v>
      </c>
    </row>
    <row r="1357" spans="12:16" ht="15" hidden="1" customHeight="1">
      <c r="L1357" s="58">
        <f t="shared" si="133"/>
        <v>47589</v>
      </c>
      <c r="M1357" s="59">
        <f t="shared" si="131"/>
        <v>0</v>
      </c>
      <c r="N1357" s="59">
        <f t="shared" si="134"/>
        <v>75000</v>
      </c>
      <c r="O1357" s="59">
        <f t="shared" si="132"/>
        <v>10.273972602739725</v>
      </c>
      <c r="P1357" s="59">
        <f t="shared" si="135"/>
        <v>6.1643835616438354</v>
      </c>
    </row>
    <row r="1358" spans="12:16" ht="15" hidden="1" customHeight="1">
      <c r="L1358" s="58">
        <f t="shared" si="133"/>
        <v>47590</v>
      </c>
      <c r="M1358" s="59">
        <f t="shared" si="131"/>
        <v>0</v>
      </c>
      <c r="N1358" s="59">
        <f t="shared" si="134"/>
        <v>75000</v>
      </c>
      <c r="O1358" s="59">
        <f t="shared" si="132"/>
        <v>10.273972602739725</v>
      </c>
      <c r="P1358" s="59">
        <f t="shared" si="135"/>
        <v>6.1643835616438354</v>
      </c>
    </row>
    <row r="1359" spans="12:16" ht="15" hidden="1" customHeight="1">
      <c r="L1359" s="58">
        <f t="shared" si="133"/>
        <v>47591</v>
      </c>
      <c r="M1359" s="59">
        <f t="shared" si="131"/>
        <v>0</v>
      </c>
      <c r="N1359" s="59">
        <f t="shared" si="134"/>
        <v>75000</v>
      </c>
      <c r="O1359" s="59">
        <f t="shared" si="132"/>
        <v>10.273972602739725</v>
      </c>
      <c r="P1359" s="59">
        <f t="shared" si="135"/>
        <v>6.1643835616438354</v>
      </c>
    </row>
    <row r="1360" spans="12:16" ht="15" hidden="1" customHeight="1">
      <c r="L1360" s="58">
        <f t="shared" si="133"/>
        <v>47592</v>
      </c>
      <c r="M1360" s="59">
        <f t="shared" si="131"/>
        <v>0</v>
      </c>
      <c r="N1360" s="59">
        <f t="shared" si="134"/>
        <v>75000</v>
      </c>
      <c r="O1360" s="59">
        <f t="shared" si="132"/>
        <v>10.273972602739725</v>
      </c>
      <c r="P1360" s="59">
        <f t="shared" si="135"/>
        <v>6.1643835616438354</v>
      </c>
    </row>
    <row r="1361" spans="12:16" ht="15" hidden="1" customHeight="1">
      <c r="L1361" s="58">
        <f t="shared" si="133"/>
        <v>47593</v>
      </c>
      <c r="M1361" s="59">
        <f t="shared" si="131"/>
        <v>0</v>
      </c>
      <c r="N1361" s="59">
        <f t="shared" si="134"/>
        <v>75000</v>
      </c>
      <c r="O1361" s="59">
        <f t="shared" si="132"/>
        <v>10.273972602739725</v>
      </c>
      <c r="P1361" s="59">
        <f t="shared" si="135"/>
        <v>6.1643835616438354</v>
      </c>
    </row>
    <row r="1362" spans="12:16" ht="15" hidden="1" customHeight="1">
      <c r="L1362" s="58">
        <f t="shared" si="133"/>
        <v>47594</v>
      </c>
      <c r="M1362" s="59">
        <f t="shared" si="131"/>
        <v>0</v>
      </c>
      <c r="N1362" s="59">
        <f t="shared" si="134"/>
        <v>75000</v>
      </c>
      <c r="O1362" s="59">
        <f t="shared" si="132"/>
        <v>10.273972602739725</v>
      </c>
      <c r="P1362" s="59">
        <f t="shared" si="135"/>
        <v>6.1643835616438354</v>
      </c>
    </row>
    <row r="1363" spans="12:16" ht="15" hidden="1" customHeight="1">
      <c r="L1363" s="58">
        <f t="shared" si="133"/>
        <v>47595</v>
      </c>
      <c r="M1363" s="59">
        <f t="shared" ref="M1363:M1426" si="136">IFERROR(VLOOKUP(L1363,$B$19:$E$80,4,FALSE),0)</f>
        <v>0</v>
      </c>
      <c r="N1363" s="59">
        <f t="shared" si="134"/>
        <v>75000</v>
      </c>
      <c r="O1363" s="59">
        <f t="shared" ref="O1363:O1426" si="137">IFERROR(IF(ISNUMBER(N1362),N1362,$E$8)*IF(L1363&gt;=$J$8,$E$12,$E$12)/IF(MOD(YEAR(L1363),4),365,366)*IF(ISBLANK(L1362),L1363-$F$5,L1363-L1362),0)</f>
        <v>10.273972602739725</v>
      </c>
      <c r="P1363" s="59">
        <f t="shared" si="135"/>
        <v>6.1643835616438354</v>
      </c>
    </row>
    <row r="1364" spans="12:16" ht="15" hidden="1" customHeight="1">
      <c r="L1364" s="58">
        <f t="shared" si="133"/>
        <v>47596</v>
      </c>
      <c r="M1364" s="59">
        <f t="shared" si="136"/>
        <v>0</v>
      </c>
      <c r="N1364" s="59">
        <f t="shared" si="134"/>
        <v>75000</v>
      </c>
      <c r="O1364" s="59">
        <f t="shared" si="137"/>
        <v>10.273972602739725</v>
      </c>
      <c r="P1364" s="59">
        <f t="shared" si="135"/>
        <v>6.1643835616438354</v>
      </c>
    </row>
    <row r="1365" spans="12:16" ht="15" hidden="1" customHeight="1">
      <c r="L1365" s="58">
        <f t="shared" si="133"/>
        <v>47597</v>
      </c>
      <c r="M1365" s="59">
        <f t="shared" si="136"/>
        <v>0</v>
      </c>
      <c r="N1365" s="59">
        <f t="shared" si="134"/>
        <v>75000</v>
      </c>
      <c r="O1365" s="59">
        <f t="shared" si="137"/>
        <v>10.273972602739725</v>
      </c>
      <c r="P1365" s="59">
        <f t="shared" si="135"/>
        <v>6.1643835616438354</v>
      </c>
    </row>
    <row r="1366" spans="12:16" ht="15" hidden="1" customHeight="1">
      <c r="L1366" s="58">
        <f t="shared" si="133"/>
        <v>47598</v>
      </c>
      <c r="M1366" s="59">
        <f t="shared" si="136"/>
        <v>0</v>
      </c>
      <c r="N1366" s="59">
        <f t="shared" si="134"/>
        <v>75000</v>
      </c>
      <c r="O1366" s="59">
        <f t="shared" si="137"/>
        <v>10.273972602739725</v>
      </c>
      <c r="P1366" s="59">
        <f t="shared" si="135"/>
        <v>6.1643835616438354</v>
      </c>
    </row>
    <row r="1367" spans="12:16" ht="15" hidden="1" customHeight="1">
      <c r="L1367" s="58">
        <f t="shared" si="133"/>
        <v>47599</v>
      </c>
      <c r="M1367" s="59">
        <f t="shared" si="136"/>
        <v>0</v>
      </c>
      <c r="N1367" s="59">
        <f t="shared" si="134"/>
        <v>75000</v>
      </c>
      <c r="O1367" s="59">
        <f t="shared" si="137"/>
        <v>10.273972602739725</v>
      </c>
      <c r="P1367" s="59">
        <f t="shared" si="135"/>
        <v>6.1643835616438354</v>
      </c>
    </row>
    <row r="1368" spans="12:16" ht="15" hidden="1" customHeight="1">
      <c r="L1368" s="58">
        <f t="shared" si="133"/>
        <v>47600</v>
      </c>
      <c r="M1368" s="59">
        <f t="shared" si="136"/>
        <v>0</v>
      </c>
      <c r="N1368" s="59">
        <f t="shared" si="134"/>
        <v>75000</v>
      </c>
      <c r="O1368" s="59">
        <f t="shared" si="137"/>
        <v>10.273972602739725</v>
      </c>
      <c r="P1368" s="59">
        <f t="shared" si="135"/>
        <v>6.1643835616438354</v>
      </c>
    </row>
    <row r="1369" spans="12:16" ht="15" hidden="1" customHeight="1">
      <c r="L1369" s="58">
        <f t="shared" si="133"/>
        <v>47601</v>
      </c>
      <c r="M1369" s="59">
        <f t="shared" si="136"/>
        <v>0</v>
      </c>
      <c r="N1369" s="59">
        <f t="shared" si="134"/>
        <v>75000</v>
      </c>
      <c r="O1369" s="59">
        <f t="shared" si="137"/>
        <v>10.273972602739725</v>
      </c>
      <c r="P1369" s="59">
        <f t="shared" si="135"/>
        <v>6.1643835616438354</v>
      </c>
    </row>
    <row r="1370" spans="12:16" ht="15" hidden="1" customHeight="1">
      <c r="L1370" s="58">
        <f t="shared" si="133"/>
        <v>47602</v>
      </c>
      <c r="M1370" s="59">
        <f t="shared" si="136"/>
        <v>0</v>
      </c>
      <c r="N1370" s="59">
        <f t="shared" si="134"/>
        <v>75000</v>
      </c>
      <c r="O1370" s="59">
        <f t="shared" si="137"/>
        <v>10.273972602739725</v>
      </c>
      <c r="P1370" s="59">
        <f t="shared" si="135"/>
        <v>6.1643835616438354</v>
      </c>
    </row>
    <row r="1371" spans="12:16" ht="15" hidden="1" customHeight="1">
      <c r="L1371" s="58">
        <f t="shared" si="133"/>
        <v>47603</v>
      </c>
      <c r="M1371" s="59">
        <f t="shared" si="136"/>
        <v>0</v>
      </c>
      <c r="N1371" s="59">
        <f t="shared" si="134"/>
        <v>75000</v>
      </c>
      <c r="O1371" s="59">
        <f t="shared" si="137"/>
        <v>10.273972602739725</v>
      </c>
      <c r="P1371" s="59">
        <f t="shared" si="135"/>
        <v>6.1643835616438354</v>
      </c>
    </row>
    <row r="1372" spans="12:16" ht="15" hidden="1" customHeight="1">
      <c r="L1372" s="58">
        <f t="shared" si="133"/>
        <v>47604</v>
      </c>
      <c r="M1372" s="59">
        <f t="shared" si="136"/>
        <v>0</v>
      </c>
      <c r="N1372" s="59">
        <f t="shared" si="134"/>
        <v>75000</v>
      </c>
      <c r="O1372" s="59">
        <f t="shared" si="137"/>
        <v>10.273972602739725</v>
      </c>
      <c r="P1372" s="59">
        <f t="shared" si="135"/>
        <v>6.1643835616438354</v>
      </c>
    </row>
    <row r="1373" spans="12:16" ht="15" hidden="1" customHeight="1">
      <c r="L1373" s="58">
        <f t="shared" si="133"/>
        <v>47605</v>
      </c>
      <c r="M1373" s="59">
        <f t="shared" si="136"/>
        <v>0</v>
      </c>
      <c r="N1373" s="59">
        <f t="shared" si="134"/>
        <v>75000</v>
      </c>
      <c r="O1373" s="59">
        <f t="shared" si="137"/>
        <v>10.273972602739725</v>
      </c>
      <c r="P1373" s="59">
        <f t="shared" si="135"/>
        <v>6.1643835616438354</v>
      </c>
    </row>
    <row r="1374" spans="12:16" ht="15" hidden="1" customHeight="1">
      <c r="L1374" s="58">
        <f t="shared" si="133"/>
        <v>47606</v>
      </c>
      <c r="M1374" s="59">
        <f t="shared" si="136"/>
        <v>0</v>
      </c>
      <c r="N1374" s="59">
        <f t="shared" si="134"/>
        <v>75000</v>
      </c>
      <c r="O1374" s="59">
        <f t="shared" si="137"/>
        <v>10.273972602739725</v>
      </c>
      <c r="P1374" s="59">
        <f t="shared" si="135"/>
        <v>6.1643835616438354</v>
      </c>
    </row>
    <row r="1375" spans="12:16" ht="15" hidden="1" customHeight="1">
      <c r="L1375" s="58">
        <f t="shared" si="133"/>
        <v>47607</v>
      </c>
      <c r="M1375" s="59">
        <f t="shared" si="136"/>
        <v>0</v>
      </c>
      <c r="N1375" s="59">
        <f t="shared" si="134"/>
        <v>75000</v>
      </c>
      <c r="O1375" s="59">
        <f t="shared" si="137"/>
        <v>10.273972602739725</v>
      </c>
      <c r="P1375" s="59">
        <f t="shared" si="135"/>
        <v>6.1643835616438354</v>
      </c>
    </row>
    <row r="1376" spans="12:16" ht="15" hidden="1" customHeight="1">
      <c r="L1376" s="58">
        <f t="shared" si="133"/>
        <v>47608</v>
      </c>
      <c r="M1376" s="59">
        <f t="shared" si="136"/>
        <v>0</v>
      </c>
      <c r="N1376" s="59">
        <f t="shared" si="134"/>
        <v>75000</v>
      </c>
      <c r="O1376" s="59">
        <f t="shared" si="137"/>
        <v>10.273972602739725</v>
      </c>
      <c r="P1376" s="59">
        <f t="shared" si="135"/>
        <v>6.1643835616438354</v>
      </c>
    </row>
    <row r="1377" spans="12:16" ht="15" hidden="1" customHeight="1">
      <c r="L1377" s="58">
        <f t="shared" si="133"/>
        <v>47609</v>
      </c>
      <c r="M1377" s="59">
        <f t="shared" si="136"/>
        <v>0</v>
      </c>
      <c r="N1377" s="59">
        <f t="shared" si="134"/>
        <v>75000</v>
      </c>
      <c r="O1377" s="59">
        <f t="shared" si="137"/>
        <v>10.273972602739725</v>
      </c>
      <c r="P1377" s="59">
        <f t="shared" si="135"/>
        <v>6.1643835616438354</v>
      </c>
    </row>
    <row r="1378" spans="12:16" ht="15" hidden="1" customHeight="1">
      <c r="L1378" s="58">
        <f t="shared" ref="L1378:L1441" si="138">IFERROR(IF(MAX(L1377+1,$F$5+1)&gt;Дата_погашения_Займа,"-",MAX(L1377+1,$F$5+1)),"-")</f>
        <v>47610</v>
      </c>
      <c r="M1378" s="59">
        <f t="shared" si="136"/>
        <v>0</v>
      </c>
      <c r="N1378" s="59">
        <f t="shared" si="134"/>
        <v>75000</v>
      </c>
      <c r="O1378" s="59">
        <f t="shared" si="137"/>
        <v>10.273972602739725</v>
      </c>
      <c r="P1378" s="59">
        <f t="shared" si="135"/>
        <v>6.1643835616438354</v>
      </c>
    </row>
    <row r="1379" spans="12:16" ht="15" hidden="1" customHeight="1">
      <c r="L1379" s="58">
        <f t="shared" si="138"/>
        <v>47611</v>
      </c>
      <c r="M1379" s="59">
        <f t="shared" si="136"/>
        <v>0</v>
      </c>
      <c r="N1379" s="59">
        <f t="shared" si="134"/>
        <v>75000</v>
      </c>
      <c r="O1379" s="59">
        <f t="shared" si="137"/>
        <v>10.273972602739725</v>
      </c>
      <c r="P1379" s="59">
        <f t="shared" si="135"/>
        <v>6.1643835616438354</v>
      </c>
    </row>
    <row r="1380" spans="12:16" ht="15" hidden="1" customHeight="1">
      <c r="L1380" s="58">
        <f t="shared" si="138"/>
        <v>47612</v>
      </c>
      <c r="M1380" s="59">
        <f t="shared" si="136"/>
        <v>0</v>
      </c>
      <c r="N1380" s="59">
        <f t="shared" si="134"/>
        <v>75000</v>
      </c>
      <c r="O1380" s="59">
        <f t="shared" si="137"/>
        <v>10.273972602739725</v>
      </c>
      <c r="P1380" s="59">
        <f t="shared" si="135"/>
        <v>6.1643835616438354</v>
      </c>
    </row>
    <row r="1381" spans="12:16" ht="15" hidden="1" customHeight="1">
      <c r="L1381" s="58">
        <f t="shared" si="138"/>
        <v>47613</v>
      </c>
      <c r="M1381" s="59">
        <f t="shared" si="136"/>
        <v>0</v>
      </c>
      <c r="N1381" s="59">
        <f t="shared" si="134"/>
        <v>75000</v>
      </c>
      <c r="O1381" s="59">
        <f t="shared" si="137"/>
        <v>10.273972602739725</v>
      </c>
      <c r="P1381" s="59">
        <f t="shared" si="135"/>
        <v>6.1643835616438354</v>
      </c>
    </row>
    <row r="1382" spans="12:16" ht="15" hidden="1" customHeight="1">
      <c r="L1382" s="58">
        <f t="shared" si="138"/>
        <v>47614</v>
      </c>
      <c r="M1382" s="59">
        <f t="shared" si="136"/>
        <v>0</v>
      </c>
      <c r="N1382" s="59">
        <f t="shared" si="134"/>
        <v>75000</v>
      </c>
      <c r="O1382" s="59">
        <f t="shared" si="137"/>
        <v>10.273972602739725</v>
      </c>
      <c r="P1382" s="59">
        <f t="shared" si="135"/>
        <v>6.1643835616438354</v>
      </c>
    </row>
    <row r="1383" spans="12:16" ht="15" hidden="1" customHeight="1">
      <c r="L1383" s="58">
        <f t="shared" si="138"/>
        <v>47615</v>
      </c>
      <c r="M1383" s="59">
        <f t="shared" si="136"/>
        <v>0</v>
      </c>
      <c r="N1383" s="59">
        <f t="shared" si="134"/>
        <v>75000</v>
      </c>
      <c r="O1383" s="59">
        <f t="shared" si="137"/>
        <v>10.273972602739725</v>
      </c>
      <c r="P1383" s="59">
        <f t="shared" si="135"/>
        <v>6.1643835616438354</v>
      </c>
    </row>
    <row r="1384" spans="12:16" ht="15" hidden="1" customHeight="1">
      <c r="L1384" s="58">
        <f t="shared" si="138"/>
        <v>47616</v>
      </c>
      <c r="M1384" s="59">
        <f t="shared" si="136"/>
        <v>0</v>
      </c>
      <c r="N1384" s="59">
        <f t="shared" si="134"/>
        <v>75000</v>
      </c>
      <c r="O1384" s="59">
        <f t="shared" si="137"/>
        <v>10.273972602739725</v>
      </c>
      <c r="P1384" s="59">
        <f t="shared" si="135"/>
        <v>6.1643835616438354</v>
      </c>
    </row>
    <row r="1385" spans="12:16" ht="15" hidden="1" customHeight="1">
      <c r="L1385" s="58">
        <f t="shared" si="138"/>
        <v>47617</v>
      </c>
      <c r="M1385" s="59">
        <f t="shared" si="136"/>
        <v>0</v>
      </c>
      <c r="N1385" s="59">
        <f t="shared" si="134"/>
        <v>75000</v>
      </c>
      <c r="O1385" s="59">
        <f t="shared" si="137"/>
        <v>10.273972602739725</v>
      </c>
      <c r="P1385" s="59">
        <f t="shared" si="135"/>
        <v>6.1643835616438354</v>
      </c>
    </row>
    <row r="1386" spans="12:16" ht="15" hidden="1" customHeight="1">
      <c r="L1386" s="58">
        <f t="shared" si="138"/>
        <v>47618</v>
      </c>
      <c r="M1386" s="59">
        <f t="shared" si="136"/>
        <v>0</v>
      </c>
      <c r="N1386" s="59">
        <f t="shared" si="134"/>
        <v>75000</v>
      </c>
      <c r="O1386" s="59">
        <f t="shared" si="137"/>
        <v>10.273972602739725</v>
      </c>
      <c r="P1386" s="59">
        <f t="shared" si="135"/>
        <v>6.1643835616438354</v>
      </c>
    </row>
    <row r="1387" spans="12:16" ht="15" hidden="1" customHeight="1">
      <c r="L1387" s="58">
        <f t="shared" si="138"/>
        <v>47619</v>
      </c>
      <c r="M1387" s="59">
        <f t="shared" si="136"/>
        <v>0</v>
      </c>
      <c r="N1387" s="59">
        <f t="shared" si="134"/>
        <v>75000</v>
      </c>
      <c r="O1387" s="59">
        <f t="shared" si="137"/>
        <v>10.273972602739725</v>
      </c>
      <c r="P1387" s="59">
        <f t="shared" si="135"/>
        <v>6.1643835616438354</v>
      </c>
    </row>
    <row r="1388" spans="12:16" ht="15" hidden="1" customHeight="1">
      <c r="L1388" s="58">
        <f t="shared" si="138"/>
        <v>47620</v>
      </c>
      <c r="M1388" s="59">
        <f t="shared" si="136"/>
        <v>0</v>
      </c>
      <c r="N1388" s="59">
        <f t="shared" si="134"/>
        <v>75000</v>
      </c>
      <c r="O1388" s="59">
        <f t="shared" si="137"/>
        <v>10.273972602739725</v>
      </c>
      <c r="P1388" s="59">
        <f t="shared" si="135"/>
        <v>6.1643835616438354</v>
      </c>
    </row>
    <row r="1389" spans="12:16" ht="15" hidden="1" customHeight="1">
      <c r="L1389" s="58">
        <f t="shared" si="138"/>
        <v>47621</v>
      </c>
      <c r="M1389" s="59">
        <f t="shared" si="136"/>
        <v>0</v>
      </c>
      <c r="N1389" s="59">
        <f t="shared" si="134"/>
        <v>75000</v>
      </c>
      <c r="O1389" s="59">
        <f t="shared" si="137"/>
        <v>10.273972602739725</v>
      </c>
      <c r="P1389" s="59">
        <f t="shared" si="135"/>
        <v>6.1643835616438354</v>
      </c>
    </row>
    <row r="1390" spans="12:16" ht="15" hidden="1" customHeight="1">
      <c r="L1390" s="58">
        <f t="shared" si="138"/>
        <v>47622</v>
      </c>
      <c r="M1390" s="59">
        <f t="shared" si="136"/>
        <v>0</v>
      </c>
      <c r="N1390" s="59">
        <f t="shared" si="134"/>
        <v>75000</v>
      </c>
      <c r="O1390" s="59">
        <f t="shared" si="137"/>
        <v>10.273972602739725</v>
      </c>
      <c r="P1390" s="59">
        <f t="shared" si="135"/>
        <v>6.1643835616438354</v>
      </c>
    </row>
    <row r="1391" spans="12:16" ht="15" hidden="1" customHeight="1">
      <c r="L1391" s="58">
        <f t="shared" si="138"/>
        <v>47623</v>
      </c>
      <c r="M1391" s="59">
        <f t="shared" si="136"/>
        <v>0</v>
      </c>
      <c r="N1391" s="59">
        <f t="shared" si="134"/>
        <v>75000</v>
      </c>
      <c r="O1391" s="59">
        <f t="shared" si="137"/>
        <v>10.273972602739725</v>
      </c>
      <c r="P1391" s="59">
        <f t="shared" si="135"/>
        <v>6.1643835616438354</v>
      </c>
    </row>
    <row r="1392" spans="12:16" ht="15" hidden="1" customHeight="1">
      <c r="L1392" s="58">
        <f t="shared" si="138"/>
        <v>47624</v>
      </c>
      <c r="M1392" s="59">
        <f t="shared" si="136"/>
        <v>0</v>
      </c>
      <c r="N1392" s="59">
        <f t="shared" ref="N1392:N1455" si="139">IF(ISNUMBER(N1391),N1391-M1392,$E$8)</f>
        <v>75000</v>
      </c>
      <c r="O1392" s="59">
        <f t="shared" si="137"/>
        <v>10.273972602739725</v>
      </c>
      <c r="P1392" s="59">
        <f t="shared" ref="P1392:P1455" si="140">IFERROR(IF(ISNUMBER(N1391),N1391,$E$8)*3%/IF(MOD(YEAR(L1392),4),365,366)*IF(ISBLANK(L1391),(L1392-$F$5),L1392-L1391),0)</f>
        <v>6.1643835616438354</v>
      </c>
    </row>
    <row r="1393" spans="12:16" ht="15" hidden="1" customHeight="1">
      <c r="L1393" s="58">
        <f t="shared" si="138"/>
        <v>47625</v>
      </c>
      <c r="M1393" s="59">
        <f t="shared" si="136"/>
        <v>0</v>
      </c>
      <c r="N1393" s="59">
        <f t="shared" si="139"/>
        <v>75000</v>
      </c>
      <c r="O1393" s="59">
        <f t="shared" si="137"/>
        <v>10.273972602739725</v>
      </c>
      <c r="P1393" s="59">
        <f t="shared" si="140"/>
        <v>6.1643835616438354</v>
      </c>
    </row>
    <row r="1394" spans="12:16" ht="15" hidden="1" customHeight="1">
      <c r="L1394" s="58">
        <f t="shared" si="138"/>
        <v>47626</v>
      </c>
      <c r="M1394" s="59">
        <f t="shared" si="136"/>
        <v>0</v>
      </c>
      <c r="N1394" s="59">
        <f t="shared" si="139"/>
        <v>75000</v>
      </c>
      <c r="O1394" s="59">
        <f t="shared" si="137"/>
        <v>10.273972602739725</v>
      </c>
      <c r="P1394" s="59">
        <f t="shared" si="140"/>
        <v>6.1643835616438354</v>
      </c>
    </row>
    <row r="1395" spans="12:16" ht="15" hidden="1" customHeight="1">
      <c r="L1395" s="58">
        <f t="shared" si="138"/>
        <v>47627</v>
      </c>
      <c r="M1395" s="59">
        <f t="shared" si="136"/>
        <v>0</v>
      </c>
      <c r="N1395" s="59">
        <f t="shared" si="139"/>
        <v>75000</v>
      </c>
      <c r="O1395" s="59">
        <f t="shared" si="137"/>
        <v>10.273972602739725</v>
      </c>
      <c r="P1395" s="59">
        <f t="shared" si="140"/>
        <v>6.1643835616438354</v>
      </c>
    </row>
    <row r="1396" spans="12:16" ht="15" hidden="1" customHeight="1">
      <c r="L1396" s="58">
        <f t="shared" si="138"/>
        <v>47628</v>
      </c>
      <c r="M1396" s="59">
        <f t="shared" si="136"/>
        <v>0</v>
      </c>
      <c r="N1396" s="59">
        <f t="shared" si="139"/>
        <v>75000</v>
      </c>
      <c r="O1396" s="59">
        <f t="shared" si="137"/>
        <v>10.273972602739725</v>
      </c>
      <c r="P1396" s="59">
        <f t="shared" si="140"/>
        <v>6.1643835616438354</v>
      </c>
    </row>
    <row r="1397" spans="12:16" ht="15" hidden="1" customHeight="1">
      <c r="L1397" s="58">
        <f t="shared" si="138"/>
        <v>47629</v>
      </c>
      <c r="M1397" s="59">
        <f t="shared" si="136"/>
        <v>0</v>
      </c>
      <c r="N1397" s="59">
        <f t="shared" si="139"/>
        <v>75000</v>
      </c>
      <c r="O1397" s="59">
        <f t="shared" si="137"/>
        <v>10.273972602739725</v>
      </c>
      <c r="P1397" s="59">
        <f t="shared" si="140"/>
        <v>6.1643835616438354</v>
      </c>
    </row>
    <row r="1398" spans="12:16" ht="15" hidden="1" customHeight="1">
      <c r="L1398" s="58">
        <f t="shared" si="138"/>
        <v>47630</v>
      </c>
      <c r="M1398" s="59">
        <f t="shared" si="136"/>
        <v>0</v>
      </c>
      <c r="N1398" s="59">
        <f t="shared" si="139"/>
        <v>75000</v>
      </c>
      <c r="O1398" s="59">
        <f t="shared" si="137"/>
        <v>10.273972602739725</v>
      </c>
      <c r="P1398" s="59">
        <f t="shared" si="140"/>
        <v>6.1643835616438354</v>
      </c>
    </row>
    <row r="1399" spans="12:16" ht="15" hidden="1" customHeight="1">
      <c r="L1399" s="58">
        <f t="shared" si="138"/>
        <v>47631</v>
      </c>
      <c r="M1399" s="59">
        <f t="shared" si="136"/>
        <v>0</v>
      </c>
      <c r="N1399" s="59">
        <f t="shared" si="139"/>
        <v>75000</v>
      </c>
      <c r="O1399" s="59">
        <f t="shared" si="137"/>
        <v>10.273972602739725</v>
      </c>
      <c r="P1399" s="59">
        <f t="shared" si="140"/>
        <v>6.1643835616438354</v>
      </c>
    </row>
    <row r="1400" spans="12:16" ht="15" hidden="1" customHeight="1">
      <c r="L1400" s="58">
        <f t="shared" si="138"/>
        <v>47632</v>
      </c>
      <c r="M1400" s="59">
        <f t="shared" si="136"/>
        <v>0</v>
      </c>
      <c r="N1400" s="59">
        <f t="shared" si="139"/>
        <v>75000</v>
      </c>
      <c r="O1400" s="59">
        <f t="shared" si="137"/>
        <v>10.273972602739725</v>
      </c>
      <c r="P1400" s="59">
        <f t="shared" si="140"/>
        <v>6.1643835616438354</v>
      </c>
    </row>
    <row r="1401" spans="12:16" ht="15" hidden="1" customHeight="1">
      <c r="L1401" s="58">
        <f t="shared" si="138"/>
        <v>47633</v>
      </c>
      <c r="M1401" s="59">
        <f t="shared" si="136"/>
        <v>0</v>
      </c>
      <c r="N1401" s="59">
        <f t="shared" si="139"/>
        <v>75000</v>
      </c>
      <c r="O1401" s="59">
        <f t="shared" si="137"/>
        <v>10.273972602739725</v>
      </c>
      <c r="P1401" s="59">
        <f t="shared" si="140"/>
        <v>6.1643835616438354</v>
      </c>
    </row>
    <row r="1402" spans="12:16" ht="15" hidden="1" customHeight="1">
      <c r="L1402" s="58">
        <f t="shared" si="138"/>
        <v>47634</v>
      </c>
      <c r="M1402" s="59">
        <f t="shared" si="136"/>
        <v>0</v>
      </c>
      <c r="N1402" s="59">
        <f t="shared" si="139"/>
        <v>75000</v>
      </c>
      <c r="O1402" s="59">
        <f t="shared" si="137"/>
        <v>10.273972602739725</v>
      </c>
      <c r="P1402" s="59">
        <f t="shared" si="140"/>
        <v>6.1643835616438354</v>
      </c>
    </row>
    <row r="1403" spans="12:16" ht="15" hidden="1" customHeight="1">
      <c r="L1403" s="58">
        <f t="shared" si="138"/>
        <v>47635</v>
      </c>
      <c r="M1403" s="59">
        <f t="shared" si="136"/>
        <v>0</v>
      </c>
      <c r="N1403" s="59">
        <f t="shared" si="139"/>
        <v>75000</v>
      </c>
      <c r="O1403" s="59">
        <f t="shared" si="137"/>
        <v>10.273972602739725</v>
      </c>
      <c r="P1403" s="59">
        <f t="shared" si="140"/>
        <v>6.1643835616438354</v>
      </c>
    </row>
    <row r="1404" spans="12:16" ht="15" hidden="1" customHeight="1">
      <c r="L1404" s="58">
        <f t="shared" si="138"/>
        <v>47636</v>
      </c>
      <c r="M1404" s="59">
        <f t="shared" si="136"/>
        <v>0</v>
      </c>
      <c r="N1404" s="59">
        <f t="shared" si="139"/>
        <v>75000</v>
      </c>
      <c r="O1404" s="59">
        <f t="shared" si="137"/>
        <v>10.273972602739725</v>
      </c>
      <c r="P1404" s="59">
        <f t="shared" si="140"/>
        <v>6.1643835616438354</v>
      </c>
    </row>
    <row r="1405" spans="12:16" ht="15" hidden="1" customHeight="1">
      <c r="L1405" s="58">
        <f t="shared" si="138"/>
        <v>47637</v>
      </c>
      <c r="M1405" s="59">
        <f t="shared" si="136"/>
        <v>0</v>
      </c>
      <c r="N1405" s="59">
        <f t="shared" si="139"/>
        <v>75000</v>
      </c>
      <c r="O1405" s="59">
        <f t="shared" si="137"/>
        <v>10.273972602739725</v>
      </c>
      <c r="P1405" s="59">
        <f t="shared" si="140"/>
        <v>6.1643835616438354</v>
      </c>
    </row>
    <row r="1406" spans="12:16" ht="15" hidden="1" customHeight="1">
      <c r="L1406" s="58">
        <f t="shared" si="138"/>
        <v>47638</v>
      </c>
      <c r="M1406" s="59">
        <f t="shared" si="136"/>
        <v>0</v>
      </c>
      <c r="N1406" s="59">
        <f t="shared" si="139"/>
        <v>75000</v>
      </c>
      <c r="O1406" s="59">
        <f t="shared" si="137"/>
        <v>10.273972602739725</v>
      </c>
      <c r="P1406" s="59">
        <f t="shared" si="140"/>
        <v>6.1643835616438354</v>
      </c>
    </row>
    <row r="1407" spans="12:16" ht="15" hidden="1" customHeight="1">
      <c r="L1407" s="58">
        <f t="shared" si="138"/>
        <v>47639</v>
      </c>
      <c r="M1407" s="59">
        <f t="shared" si="136"/>
        <v>0</v>
      </c>
      <c r="N1407" s="59">
        <f t="shared" si="139"/>
        <v>75000</v>
      </c>
      <c r="O1407" s="59">
        <f t="shared" si="137"/>
        <v>10.273972602739725</v>
      </c>
      <c r="P1407" s="59">
        <f t="shared" si="140"/>
        <v>6.1643835616438354</v>
      </c>
    </row>
    <row r="1408" spans="12:16" ht="15" hidden="1" customHeight="1">
      <c r="L1408" s="58">
        <f t="shared" si="138"/>
        <v>47640</v>
      </c>
      <c r="M1408" s="59">
        <f t="shared" si="136"/>
        <v>0</v>
      </c>
      <c r="N1408" s="59">
        <f t="shared" si="139"/>
        <v>75000</v>
      </c>
      <c r="O1408" s="59">
        <f t="shared" si="137"/>
        <v>10.273972602739725</v>
      </c>
      <c r="P1408" s="59">
        <f t="shared" si="140"/>
        <v>6.1643835616438354</v>
      </c>
    </row>
    <row r="1409" spans="12:16" ht="15" hidden="1" customHeight="1">
      <c r="L1409" s="58">
        <f t="shared" si="138"/>
        <v>47641</v>
      </c>
      <c r="M1409" s="59">
        <f t="shared" si="136"/>
        <v>0</v>
      </c>
      <c r="N1409" s="59">
        <f t="shared" si="139"/>
        <v>75000</v>
      </c>
      <c r="O1409" s="59">
        <f t="shared" si="137"/>
        <v>10.273972602739725</v>
      </c>
      <c r="P1409" s="59">
        <f t="shared" si="140"/>
        <v>6.1643835616438354</v>
      </c>
    </row>
    <row r="1410" spans="12:16" ht="15" hidden="1" customHeight="1">
      <c r="L1410" s="58">
        <f t="shared" si="138"/>
        <v>47642</v>
      </c>
      <c r="M1410" s="59">
        <f t="shared" si="136"/>
        <v>0</v>
      </c>
      <c r="N1410" s="59">
        <f t="shared" si="139"/>
        <v>75000</v>
      </c>
      <c r="O1410" s="59">
        <f t="shared" si="137"/>
        <v>10.273972602739725</v>
      </c>
      <c r="P1410" s="59">
        <f t="shared" si="140"/>
        <v>6.1643835616438354</v>
      </c>
    </row>
    <row r="1411" spans="12:16" ht="15" hidden="1" customHeight="1">
      <c r="L1411" s="58">
        <f t="shared" si="138"/>
        <v>47643</v>
      </c>
      <c r="M1411" s="59">
        <f t="shared" si="136"/>
        <v>0</v>
      </c>
      <c r="N1411" s="59">
        <f t="shared" si="139"/>
        <v>75000</v>
      </c>
      <c r="O1411" s="59">
        <f t="shared" si="137"/>
        <v>10.273972602739725</v>
      </c>
      <c r="P1411" s="59">
        <f t="shared" si="140"/>
        <v>6.1643835616438354</v>
      </c>
    </row>
    <row r="1412" spans="12:16" ht="15" hidden="1" customHeight="1">
      <c r="L1412" s="58">
        <f t="shared" si="138"/>
        <v>47644</v>
      </c>
      <c r="M1412" s="59">
        <f t="shared" si="136"/>
        <v>0</v>
      </c>
      <c r="N1412" s="59">
        <f t="shared" si="139"/>
        <v>75000</v>
      </c>
      <c r="O1412" s="59">
        <f t="shared" si="137"/>
        <v>10.273972602739725</v>
      </c>
      <c r="P1412" s="59">
        <f t="shared" si="140"/>
        <v>6.1643835616438354</v>
      </c>
    </row>
    <row r="1413" spans="12:16" ht="15" hidden="1" customHeight="1">
      <c r="L1413" s="58">
        <f t="shared" si="138"/>
        <v>47645</v>
      </c>
      <c r="M1413" s="59">
        <f t="shared" si="136"/>
        <v>0</v>
      </c>
      <c r="N1413" s="59">
        <f t="shared" si="139"/>
        <v>75000</v>
      </c>
      <c r="O1413" s="59">
        <f t="shared" si="137"/>
        <v>10.273972602739725</v>
      </c>
      <c r="P1413" s="59">
        <f t="shared" si="140"/>
        <v>6.1643835616438354</v>
      </c>
    </row>
    <row r="1414" spans="12:16" ht="15" hidden="1" customHeight="1">
      <c r="L1414" s="58">
        <f t="shared" si="138"/>
        <v>47646</v>
      </c>
      <c r="M1414" s="59">
        <f t="shared" si="136"/>
        <v>0</v>
      </c>
      <c r="N1414" s="59">
        <f t="shared" si="139"/>
        <v>75000</v>
      </c>
      <c r="O1414" s="59">
        <f t="shared" si="137"/>
        <v>10.273972602739725</v>
      </c>
      <c r="P1414" s="59">
        <f t="shared" si="140"/>
        <v>6.1643835616438354</v>
      </c>
    </row>
    <row r="1415" spans="12:16" ht="15" hidden="1" customHeight="1">
      <c r="L1415" s="58">
        <f t="shared" si="138"/>
        <v>47647</v>
      </c>
      <c r="M1415" s="59">
        <f t="shared" si="136"/>
        <v>0</v>
      </c>
      <c r="N1415" s="59">
        <f t="shared" si="139"/>
        <v>75000</v>
      </c>
      <c r="O1415" s="59">
        <f t="shared" si="137"/>
        <v>10.273972602739725</v>
      </c>
      <c r="P1415" s="59">
        <f t="shared" si="140"/>
        <v>6.1643835616438354</v>
      </c>
    </row>
    <row r="1416" spans="12:16" ht="15" hidden="1" customHeight="1">
      <c r="L1416" s="58">
        <f t="shared" si="138"/>
        <v>47648</v>
      </c>
      <c r="M1416" s="59">
        <f t="shared" si="136"/>
        <v>0</v>
      </c>
      <c r="N1416" s="59">
        <f t="shared" si="139"/>
        <v>75000</v>
      </c>
      <c r="O1416" s="59">
        <f t="shared" si="137"/>
        <v>10.273972602739725</v>
      </c>
      <c r="P1416" s="59">
        <f t="shared" si="140"/>
        <v>6.1643835616438354</v>
      </c>
    </row>
    <row r="1417" spans="12:16" ht="15" hidden="1" customHeight="1">
      <c r="L1417" s="58">
        <f t="shared" si="138"/>
        <v>47649</v>
      </c>
      <c r="M1417" s="59">
        <f t="shared" si="136"/>
        <v>0</v>
      </c>
      <c r="N1417" s="59">
        <f t="shared" si="139"/>
        <v>75000</v>
      </c>
      <c r="O1417" s="59">
        <f t="shared" si="137"/>
        <v>10.273972602739725</v>
      </c>
      <c r="P1417" s="59">
        <f t="shared" si="140"/>
        <v>6.1643835616438354</v>
      </c>
    </row>
    <row r="1418" spans="12:16" ht="15" hidden="1" customHeight="1">
      <c r="L1418" s="58">
        <f t="shared" si="138"/>
        <v>47650</v>
      </c>
      <c r="M1418" s="59">
        <f t="shared" si="136"/>
        <v>0</v>
      </c>
      <c r="N1418" s="59">
        <f t="shared" si="139"/>
        <v>75000</v>
      </c>
      <c r="O1418" s="59">
        <f t="shared" si="137"/>
        <v>10.273972602739725</v>
      </c>
      <c r="P1418" s="59">
        <f t="shared" si="140"/>
        <v>6.1643835616438354</v>
      </c>
    </row>
    <row r="1419" spans="12:16" ht="15" hidden="1" customHeight="1">
      <c r="L1419" s="58">
        <f t="shared" si="138"/>
        <v>47651</v>
      </c>
      <c r="M1419" s="59">
        <f t="shared" si="136"/>
        <v>0</v>
      </c>
      <c r="N1419" s="59">
        <f t="shared" si="139"/>
        <v>75000</v>
      </c>
      <c r="O1419" s="59">
        <f t="shared" si="137"/>
        <v>10.273972602739725</v>
      </c>
      <c r="P1419" s="59">
        <f t="shared" si="140"/>
        <v>6.1643835616438354</v>
      </c>
    </row>
    <row r="1420" spans="12:16" ht="15" hidden="1" customHeight="1">
      <c r="L1420" s="58">
        <f t="shared" si="138"/>
        <v>47652</v>
      </c>
      <c r="M1420" s="59">
        <f t="shared" si="136"/>
        <v>0</v>
      </c>
      <c r="N1420" s="59">
        <f t="shared" si="139"/>
        <v>75000</v>
      </c>
      <c r="O1420" s="59">
        <f t="shared" si="137"/>
        <v>10.273972602739725</v>
      </c>
      <c r="P1420" s="59">
        <f t="shared" si="140"/>
        <v>6.1643835616438354</v>
      </c>
    </row>
    <row r="1421" spans="12:16" ht="15" hidden="1" customHeight="1">
      <c r="L1421" s="58">
        <f t="shared" si="138"/>
        <v>47653</v>
      </c>
      <c r="M1421" s="59">
        <f t="shared" si="136"/>
        <v>0</v>
      </c>
      <c r="N1421" s="59">
        <f t="shared" si="139"/>
        <v>75000</v>
      </c>
      <c r="O1421" s="59">
        <f t="shared" si="137"/>
        <v>10.273972602739725</v>
      </c>
      <c r="P1421" s="59">
        <f t="shared" si="140"/>
        <v>6.1643835616438354</v>
      </c>
    </row>
    <row r="1422" spans="12:16" ht="15" hidden="1" customHeight="1">
      <c r="L1422" s="58">
        <f t="shared" si="138"/>
        <v>47654</v>
      </c>
      <c r="M1422" s="59">
        <f t="shared" si="136"/>
        <v>0</v>
      </c>
      <c r="N1422" s="59">
        <f t="shared" si="139"/>
        <v>75000</v>
      </c>
      <c r="O1422" s="59">
        <f t="shared" si="137"/>
        <v>10.273972602739725</v>
      </c>
      <c r="P1422" s="59">
        <f t="shared" si="140"/>
        <v>6.1643835616438354</v>
      </c>
    </row>
    <row r="1423" spans="12:16" ht="15" hidden="1" customHeight="1">
      <c r="L1423" s="58">
        <f t="shared" si="138"/>
        <v>47655</v>
      </c>
      <c r="M1423" s="59">
        <f t="shared" si="136"/>
        <v>0</v>
      </c>
      <c r="N1423" s="59">
        <f t="shared" si="139"/>
        <v>75000</v>
      </c>
      <c r="O1423" s="59">
        <f t="shared" si="137"/>
        <v>10.273972602739725</v>
      </c>
      <c r="P1423" s="59">
        <f t="shared" si="140"/>
        <v>6.1643835616438354</v>
      </c>
    </row>
    <row r="1424" spans="12:16" ht="15" hidden="1" customHeight="1">
      <c r="L1424" s="58">
        <f t="shared" si="138"/>
        <v>47656</v>
      </c>
      <c r="M1424" s="59">
        <f t="shared" si="136"/>
        <v>0</v>
      </c>
      <c r="N1424" s="59">
        <f t="shared" si="139"/>
        <v>75000</v>
      </c>
      <c r="O1424" s="59">
        <f t="shared" si="137"/>
        <v>10.273972602739725</v>
      </c>
      <c r="P1424" s="59">
        <f t="shared" si="140"/>
        <v>6.1643835616438354</v>
      </c>
    </row>
    <row r="1425" spans="12:16" ht="15" hidden="1" customHeight="1">
      <c r="L1425" s="58">
        <f t="shared" si="138"/>
        <v>47657</v>
      </c>
      <c r="M1425" s="59">
        <f t="shared" si="136"/>
        <v>0</v>
      </c>
      <c r="N1425" s="59">
        <f t="shared" si="139"/>
        <v>75000</v>
      </c>
      <c r="O1425" s="59">
        <f t="shared" si="137"/>
        <v>10.273972602739725</v>
      </c>
      <c r="P1425" s="59">
        <f t="shared" si="140"/>
        <v>6.1643835616438354</v>
      </c>
    </row>
    <row r="1426" spans="12:16" ht="15" hidden="1" customHeight="1">
      <c r="L1426" s="58">
        <f t="shared" si="138"/>
        <v>47658</v>
      </c>
      <c r="M1426" s="59">
        <f t="shared" si="136"/>
        <v>0</v>
      </c>
      <c r="N1426" s="59">
        <f t="shared" si="139"/>
        <v>75000</v>
      </c>
      <c r="O1426" s="59">
        <f t="shared" si="137"/>
        <v>10.273972602739725</v>
      </c>
      <c r="P1426" s="59">
        <f t="shared" si="140"/>
        <v>6.1643835616438354</v>
      </c>
    </row>
    <row r="1427" spans="12:16" ht="15" hidden="1" customHeight="1">
      <c r="L1427" s="58">
        <f t="shared" si="138"/>
        <v>47659</v>
      </c>
      <c r="M1427" s="59">
        <f t="shared" ref="M1427:M1490" si="141">IFERROR(VLOOKUP(L1427,$B$19:$E$80,4,FALSE),0)</f>
        <v>0</v>
      </c>
      <c r="N1427" s="59">
        <f t="shared" si="139"/>
        <v>75000</v>
      </c>
      <c r="O1427" s="59">
        <f t="shared" ref="O1427:O1490" si="142">IFERROR(IF(ISNUMBER(N1426),N1426,$E$8)*IF(L1427&gt;=$J$8,$E$12,$E$12)/IF(MOD(YEAR(L1427),4),365,366)*IF(ISBLANK(L1426),L1427-$F$5,L1427-L1426),0)</f>
        <v>10.273972602739725</v>
      </c>
      <c r="P1427" s="59">
        <f t="shared" si="140"/>
        <v>6.1643835616438354</v>
      </c>
    </row>
    <row r="1428" spans="12:16" ht="15" hidden="1" customHeight="1">
      <c r="L1428" s="58">
        <f t="shared" si="138"/>
        <v>47660</v>
      </c>
      <c r="M1428" s="59">
        <f t="shared" si="141"/>
        <v>0</v>
      </c>
      <c r="N1428" s="59">
        <f t="shared" si="139"/>
        <v>75000</v>
      </c>
      <c r="O1428" s="59">
        <f t="shared" si="142"/>
        <v>10.273972602739725</v>
      </c>
      <c r="P1428" s="59">
        <f t="shared" si="140"/>
        <v>6.1643835616438354</v>
      </c>
    </row>
    <row r="1429" spans="12:16" ht="15" hidden="1" customHeight="1">
      <c r="L1429" s="58">
        <f t="shared" si="138"/>
        <v>47661</v>
      </c>
      <c r="M1429" s="59">
        <f t="shared" si="141"/>
        <v>0</v>
      </c>
      <c r="N1429" s="59">
        <f t="shared" si="139"/>
        <v>75000</v>
      </c>
      <c r="O1429" s="59">
        <f t="shared" si="142"/>
        <v>10.273972602739725</v>
      </c>
      <c r="P1429" s="59">
        <f t="shared" si="140"/>
        <v>6.1643835616438354</v>
      </c>
    </row>
    <row r="1430" spans="12:16" ht="15" hidden="1" customHeight="1">
      <c r="L1430" s="58">
        <f t="shared" si="138"/>
        <v>47662</v>
      </c>
      <c r="M1430" s="59">
        <f t="shared" si="141"/>
        <v>0</v>
      </c>
      <c r="N1430" s="59">
        <f t="shared" si="139"/>
        <v>75000</v>
      </c>
      <c r="O1430" s="59">
        <f t="shared" si="142"/>
        <v>10.273972602739725</v>
      </c>
      <c r="P1430" s="59">
        <f t="shared" si="140"/>
        <v>6.1643835616438354</v>
      </c>
    </row>
    <row r="1431" spans="12:16" ht="15" hidden="1" customHeight="1">
      <c r="L1431" s="58">
        <f t="shared" si="138"/>
        <v>47663</v>
      </c>
      <c r="M1431" s="59">
        <f t="shared" si="141"/>
        <v>0</v>
      </c>
      <c r="N1431" s="59">
        <f t="shared" si="139"/>
        <v>75000</v>
      </c>
      <c r="O1431" s="59">
        <f t="shared" si="142"/>
        <v>10.273972602739725</v>
      </c>
      <c r="P1431" s="59">
        <f t="shared" si="140"/>
        <v>6.1643835616438354</v>
      </c>
    </row>
    <row r="1432" spans="12:16" ht="15" hidden="1" customHeight="1">
      <c r="L1432" s="58">
        <f t="shared" si="138"/>
        <v>47664</v>
      </c>
      <c r="M1432" s="59">
        <f t="shared" si="141"/>
        <v>12500</v>
      </c>
      <c r="N1432" s="59">
        <f t="shared" si="139"/>
        <v>62500</v>
      </c>
      <c r="O1432" s="59">
        <f t="shared" si="142"/>
        <v>10.273972602739725</v>
      </c>
      <c r="P1432" s="59">
        <f t="shared" si="140"/>
        <v>6.1643835616438354</v>
      </c>
    </row>
    <row r="1433" spans="12:16" ht="15" hidden="1" customHeight="1">
      <c r="L1433" s="58">
        <f t="shared" si="138"/>
        <v>47665</v>
      </c>
      <c r="M1433" s="59">
        <f t="shared" si="141"/>
        <v>0</v>
      </c>
      <c r="N1433" s="59">
        <f t="shared" si="139"/>
        <v>62500</v>
      </c>
      <c r="O1433" s="59">
        <f t="shared" si="142"/>
        <v>8.5616438356164384</v>
      </c>
      <c r="P1433" s="59">
        <f t="shared" si="140"/>
        <v>5.1369863013698627</v>
      </c>
    </row>
    <row r="1434" spans="12:16" ht="15" hidden="1" customHeight="1">
      <c r="L1434" s="58">
        <f t="shared" si="138"/>
        <v>47666</v>
      </c>
      <c r="M1434" s="59">
        <f t="shared" si="141"/>
        <v>0</v>
      </c>
      <c r="N1434" s="59">
        <f t="shared" si="139"/>
        <v>62500</v>
      </c>
      <c r="O1434" s="59">
        <f t="shared" si="142"/>
        <v>8.5616438356164384</v>
      </c>
      <c r="P1434" s="59">
        <f t="shared" si="140"/>
        <v>5.1369863013698627</v>
      </c>
    </row>
    <row r="1435" spans="12:16" ht="15" hidden="1" customHeight="1">
      <c r="L1435" s="58">
        <f t="shared" si="138"/>
        <v>47667</v>
      </c>
      <c r="M1435" s="59">
        <f t="shared" si="141"/>
        <v>0</v>
      </c>
      <c r="N1435" s="59">
        <f t="shared" si="139"/>
        <v>62500</v>
      </c>
      <c r="O1435" s="59">
        <f t="shared" si="142"/>
        <v>8.5616438356164384</v>
      </c>
      <c r="P1435" s="59">
        <f t="shared" si="140"/>
        <v>5.1369863013698627</v>
      </c>
    </row>
    <row r="1436" spans="12:16" ht="15" hidden="1" customHeight="1">
      <c r="L1436" s="58">
        <f t="shared" si="138"/>
        <v>47668</v>
      </c>
      <c r="M1436" s="59">
        <f t="shared" si="141"/>
        <v>0</v>
      </c>
      <c r="N1436" s="59">
        <f t="shared" si="139"/>
        <v>62500</v>
      </c>
      <c r="O1436" s="59">
        <f t="shared" si="142"/>
        <v>8.5616438356164384</v>
      </c>
      <c r="P1436" s="59">
        <f t="shared" si="140"/>
        <v>5.1369863013698627</v>
      </c>
    </row>
    <row r="1437" spans="12:16" ht="15" hidden="1" customHeight="1">
      <c r="L1437" s="58">
        <f t="shared" si="138"/>
        <v>47669</v>
      </c>
      <c r="M1437" s="59">
        <f t="shared" si="141"/>
        <v>0</v>
      </c>
      <c r="N1437" s="59">
        <f t="shared" si="139"/>
        <v>62500</v>
      </c>
      <c r="O1437" s="59">
        <f t="shared" si="142"/>
        <v>8.5616438356164384</v>
      </c>
      <c r="P1437" s="59">
        <f t="shared" si="140"/>
        <v>5.1369863013698627</v>
      </c>
    </row>
    <row r="1438" spans="12:16" ht="15" hidden="1" customHeight="1">
      <c r="L1438" s="58">
        <f t="shared" si="138"/>
        <v>47670</v>
      </c>
      <c r="M1438" s="59">
        <f t="shared" si="141"/>
        <v>0</v>
      </c>
      <c r="N1438" s="59">
        <f t="shared" si="139"/>
        <v>62500</v>
      </c>
      <c r="O1438" s="59">
        <f t="shared" si="142"/>
        <v>8.5616438356164384</v>
      </c>
      <c r="P1438" s="59">
        <f t="shared" si="140"/>
        <v>5.1369863013698627</v>
      </c>
    </row>
    <row r="1439" spans="12:16" ht="15" hidden="1" customHeight="1">
      <c r="L1439" s="58">
        <f t="shared" si="138"/>
        <v>47671</v>
      </c>
      <c r="M1439" s="59">
        <f t="shared" si="141"/>
        <v>0</v>
      </c>
      <c r="N1439" s="59">
        <f t="shared" si="139"/>
        <v>62500</v>
      </c>
      <c r="O1439" s="59">
        <f t="shared" si="142"/>
        <v>8.5616438356164384</v>
      </c>
      <c r="P1439" s="59">
        <f t="shared" si="140"/>
        <v>5.1369863013698627</v>
      </c>
    </row>
    <row r="1440" spans="12:16" ht="15" hidden="1" customHeight="1">
      <c r="L1440" s="58">
        <f t="shared" si="138"/>
        <v>47672</v>
      </c>
      <c r="M1440" s="59">
        <f t="shared" si="141"/>
        <v>0</v>
      </c>
      <c r="N1440" s="59">
        <f t="shared" si="139"/>
        <v>62500</v>
      </c>
      <c r="O1440" s="59">
        <f t="shared" si="142"/>
        <v>8.5616438356164384</v>
      </c>
      <c r="P1440" s="59">
        <f t="shared" si="140"/>
        <v>5.1369863013698627</v>
      </c>
    </row>
    <row r="1441" spans="12:16" ht="15" hidden="1" customHeight="1">
      <c r="L1441" s="58">
        <f t="shared" si="138"/>
        <v>47673</v>
      </c>
      <c r="M1441" s="59">
        <f t="shared" si="141"/>
        <v>0</v>
      </c>
      <c r="N1441" s="59">
        <f t="shared" si="139"/>
        <v>62500</v>
      </c>
      <c r="O1441" s="59">
        <f t="shared" si="142"/>
        <v>8.5616438356164384</v>
      </c>
      <c r="P1441" s="59">
        <f t="shared" si="140"/>
        <v>5.1369863013698627</v>
      </c>
    </row>
    <row r="1442" spans="12:16" ht="15" hidden="1" customHeight="1">
      <c r="L1442" s="58">
        <f t="shared" ref="L1442:L1505" si="143">IFERROR(IF(MAX(L1441+1,$F$5+1)&gt;Дата_погашения_Займа,"-",MAX(L1441+1,$F$5+1)),"-")</f>
        <v>47674</v>
      </c>
      <c r="M1442" s="59">
        <f t="shared" si="141"/>
        <v>0</v>
      </c>
      <c r="N1442" s="59">
        <f t="shared" si="139"/>
        <v>62500</v>
      </c>
      <c r="O1442" s="59">
        <f t="shared" si="142"/>
        <v>8.5616438356164384</v>
      </c>
      <c r="P1442" s="59">
        <f t="shared" si="140"/>
        <v>5.1369863013698627</v>
      </c>
    </row>
    <row r="1443" spans="12:16" ht="15" hidden="1" customHeight="1">
      <c r="L1443" s="58">
        <f t="shared" si="143"/>
        <v>47675</v>
      </c>
      <c r="M1443" s="59">
        <f t="shared" si="141"/>
        <v>0</v>
      </c>
      <c r="N1443" s="59">
        <f t="shared" si="139"/>
        <v>62500</v>
      </c>
      <c r="O1443" s="59">
        <f t="shared" si="142"/>
        <v>8.5616438356164384</v>
      </c>
      <c r="P1443" s="59">
        <f t="shared" si="140"/>
        <v>5.1369863013698627</v>
      </c>
    </row>
    <row r="1444" spans="12:16" ht="15" hidden="1" customHeight="1">
      <c r="L1444" s="58">
        <f t="shared" si="143"/>
        <v>47676</v>
      </c>
      <c r="M1444" s="59">
        <f t="shared" si="141"/>
        <v>0</v>
      </c>
      <c r="N1444" s="59">
        <f t="shared" si="139"/>
        <v>62500</v>
      </c>
      <c r="O1444" s="59">
        <f t="shared" si="142"/>
        <v>8.5616438356164384</v>
      </c>
      <c r="P1444" s="59">
        <f t="shared" si="140"/>
        <v>5.1369863013698627</v>
      </c>
    </row>
    <row r="1445" spans="12:16" ht="15" hidden="1" customHeight="1">
      <c r="L1445" s="58">
        <f t="shared" si="143"/>
        <v>47677</v>
      </c>
      <c r="M1445" s="59">
        <f t="shared" si="141"/>
        <v>0</v>
      </c>
      <c r="N1445" s="59">
        <f t="shared" si="139"/>
        <v>62500</v>
      </c>
      <c r="O1445" s="59">
        <f t="shared" si="142"/>
        <v>8.5616438356164384</v>
      </c>
      <c r="P1445" s="59">
        <f t="shared" si="140"/>
        <v>5.1369863013698627</v>
      </c>
    </row>
    <row r="1446" spans="12:16" ht="15" hidden="1" customHeight="1">
      <c r="L1446" s="58">
        <f t="shared" si="143"/>
        <v>47678</v>
      </c>
      <c r="M1446" s="59">
        <f t="shared" si="141"/>
        <v>0</v>
      </c>
      <c r="N1446" s="59">
        <f t="shared" si="139"/>
        <v>62500</v>
      </c>
      <c r="O1446" s="59">
        <f t="shared" si="142"/>
        <v>8.5616438356164384</v>
      </c>
      <c r="P1446" s="59">
        <f t="shared" si="140"/>
        <v>5.1369863013698627</v>
      </c>
    </row>
    <row r="1447" spans="12:16" ht="15" hidden="1" customHeight="1">
      <c r="L1447" s="58">
        <f t="shared" si="143"/>
        <v>47679</v>
      </c>
      <c r="M1447" s="59">
        <f t="shared" si="141"/>
        <v>0</v>
      </c>
      <c r="N1447" s="59">
        <f t="shared" si="139"/>
        <v>62500</v>
      </c>
      <c r="O1447" s="59">
        <f t="shared" si="142"/>
        <v>8.5616438356164384</v>
      </c>
      <c r="P1447" s="59">
        <f t="shared" si="140"/>
        <v>5.1369863013698627</v>
      </c>
    </row>
    <row r="1448" spans="12:16" ht="15" hidden="1" customHeight="1">
      <c r="L1448" s="58">
        <f t="shared" si="143"/>
        <v>47680</v>
      </c>
      <c r="M1448" s="59">
        <f t="shared" si="141"/>
        <v>0</v>
      </c>
      <c r="N1448" s="59">
        <f t="shared" si="139"/>
        <v>62500</v>
      </c>
      <c r="O1448" s="59">
        <f t="shared" si="142"/>
        <v>8.5616438356164384</v>
      </c>
      <c r="P1448" s="59">
        <f t="shared" si="140"/>
        <v>5.1369863013698627</v>
      </c>
    </row>
    <row r="1449" spans="12:16" ht="15" hidden="1" customHeight="1">
      <c r="L1449" s="58">
        <f t="shared" si="143"/>
        <v>47681</v>
      </c>
      <c r="M1449" s="59">
        <f t="shared" si="141"/>
        <v>0</v>
      </c>
      <c r="N1449" s="59">
        <f t="shared" si="139"/>
        <v>62500</v>
      </c>
      <c r="O1449" s="59">
        <f t="shared" si="142"/>
        <v>8.5616438356164384</v>
      </c>
      <c r="P1449" s="59">
        <f t="shared" si="140"/>
        <v>5.1369863013698627</v>
      </c>
    </row>
    <row r="1450" spans="12:16" ht="15" hidden="1" customHeight="1">
      <c r="L1450" s="58">
        <f t="shared" si="143"/>
        <v>47682</v>
      </c>
      <c r="M1450" s="59">
        <f t="shared" si="141"/>
        <v>0</v>
      </c>
      <c r="N1450" s="59">
        <f t="shared" si="139"/>
        <v>62500</v>
      </c>
      <c r="O1450" s="59">
        <f t="shared" si="142"/>
        <v>8.5616438356164384</v>
      </c>
      <c r="P1450" s="59">
        <f t="shared" si="140"/>
        <v>5.1369863013698627</v>
      </c>
    </row>
    <row r="1451" spans="12:16" ht="15" hidden="1" customHeight="1">
      <c r="L1451" s="58">
        <f t="shared" si="143"/>
        <v>47683</v>
      </c>
      <c r="M1451" s="59">
        <f t="shared" si="141"/>
        <v>0</v>
      </c>
      <c r="N1451" s="59">
        <f t="shared" si="139"/>
        <v>62500</v>
      </c>
      <c r="O1451" s="59">
        <f t="shared" si="142"/>
        <v>8.5616438356164384</v>
      </c>
      <c r="P1451" s="59">
        <f t="shared" si="140"/>
        <v>5.1369863013698627</v>
      </c>
    </row>
    <row r="1452" spans="12:16" ht="15" hidden="1" customHeight="1">
      <c r="L1452" s="58">
        <f t="shared" si="143"/>
        <v>47684</v>
      </c>
      <c r="M1452" s="59">
        <f t="shared" si="141"/>
        <v>0</v>
      </c>
      <c r="N1452" s="59">
        <f t="shared" si="139"/>
        <v>62500</v>
      </c>
      <c r="O1452" s="59">
        <f t="shared" si="142"/>
        <v>8.5616438356164384</v>
      </c>
      <c r="P1452" s="59">
        <f t="shared" si="140"/>
        <v>5.1369863013698627</v>
      </c>
    </row>
    <row r="1453" spans="12:16" ht="15" hidden="1" customHeight="1">
      <c r="L1453" s="58">
        <f t="shared" si="143"/>
        <v>47685</v>
      </c>
      <c r="M1453" s="59">
        <f t="shared" si="141"/>
        <v>0</v>
      </c>
      <c r="N1453" s="59">
        <f t="shared" si="139"/>
        <v>62500</v>
      </c>
      <c r="O1453" s="59">
        <f t="shared" si="142"/>
        <v>8.5616438356164384</v>
      </c>
      <c r="P1453" s="59">
        <f t="shared" si="140"/>
        <v>5.1369863013698627</v>
      </c>
    </row>
    <row r="1454" spans="12:16" ht="15" hidden="1" customHeight="1">
      <c r="L1454" s="58">
        <f t="shared" si="143"/>
        <v>47686</v>
      </c>
      <c r="M1454" s="59">
        <f t="shared" si="141"/>
        <v>0</v>
      </c>
      <c r="N1454" s="59">
        <f t="shared" si="139"/>
        <v>62500</v>
      </c>
      <c r="O1454" s="59">
        <f t="shared" si="142"/>
        <v>8.5616438356164384</v>
      </c>
      <c r="P1454" s="59">
        <f t="shared" si="140"/>
        <v>5.1369863013698627</v>
      </c>
    </row>
    <row r="1455" spans="12:16" ht="15" hidden="1" customHeight="1">
      <c r="L1455" s="58">
        <f t="shared" si="143"/>
        <v>47687</v>
      </c>
      <c r="M1455" s="59">
        <f t="shared" si="141"/>
        <v>0</v>
      </c>
      <c r="N1455" s="59">
        <f t="shared" si="139"/>
        <v>62500</v>
      </c>
      <c r="O1455" s="59">
        <f t="shared" si="142"/>
        <v>8.5616438356164384</v>
      </c>
      <c r="P1455" s="59">
        <f t="shared" si="140"/>
        <v>5.1369863013698627</v>
      </c>
    </row>
    <row r="1456" spans="12:16" ht="15" hidden="1" customHeight="1">
      <c r="L1456" s="58">
        <f t="shared" si="143"/>
        <v>47688</v>
      </c>
      <c r="M1456" s="59">
        <f t="shared" si="141"/>
        <v>0</v>
      </c>
      <c r="N1456" s="59">
        <f t="shared" ref="N1456:N1519" si="144">IF(ISNUMBER(N1455),N1455-M1456,$E$8)</f>
        <v>62500</v>
      </c>
      <c r="O1456" s="59">
        <f t="shared" si="142"/>
        <v>8.5616438356164384</v>
      </c>
      <c r="P1456" s="59">
        <f t="shared" ref="P1456:P1519" si="145">IFERROR(IF(ISNUMBER(N1455),N1455,$E$8)*3%/IF(MOD(YEAR(L1456),4),365,366)*IF(ISBLANK(L1455),(L1456-$F$5),L1456-L1455),0)</f>
        <v>5.1369863013698627</v>
      </c>
    </row>
    <row r="1457" spans="12:16" ht="15" hidden="1" customHeight="1">
      <c r="L1457" s="58">
        <f t="shared" si="143"/>
        <v>47689</v>
      </c>
      <c r="M1457" s="59">
        <f t="shared" si="141"/>
        <v>0</v>
      </c>
      <c r="N1457" s="59">
        <f t="shared" si="144"/>
        <v>62500</v>
      </c>
      <c r="O1457" s="59">
        <f t="shared" si="142"/>
        <v>8.5616438356164384</v>
      </c>
      <c r="P1457" s="59">
        <f t="shared" si="145"/>
        <v>5.1369863013698627</v>
      </c>
    </row>
    <row r="1458" spans="12:16" ht="15" hidden="1" customHeight="1">
      <c r="L1458" s="58">
        <f t="shared" si="143"/>
        <v>47690</v>
      </c>
      <c r="M1458" s="59">
        <f t="shared" si="141"/>
        <v>0</v>
      </c>
      <c r="N1458" s="59">
        <f t="shared" si="144"/>
        <v>62500</v>
      </c>
      <c r="O1458" s="59">
        <f t="shared" si="142"/>
        <v>8.5616438356164384</v>
      </c>
      <c r="P1458" s="59">
        <f t="shared" si="145"/>
        <v>5.1369863013698627</v>
      </c>
    </row>
    <row r="1459" spans="12:16" ht="15" hidden="1" customHeight="1">
      <c r="L1459" s="58">
        <f t="shared" si="143"/>
        <v>47691</v>
      </c>
      <c r="M1459" s="59">
        <f t="shared" si="141"/>
        <v>0</v>
      </c>
      <c r="N1459" s="59">
        <f t="shared" si="144"/>
        <v>62500</v>
      </c>
      <c r="O1459" s="59">
        <f t="shared" si="142"/>
        <v>8.5616438356164384</v>
      </c>
      <c r="P1459" s="59">
        <f t="shared" si="145"/>
        <v>5.1369863013698627</v>
      </c>
    </row>
    <row r="1460" spans="12:16" ht="15" hidden="1" customHeight="1">
      <c r="L1460" s="58">
        <f t="shared" si="143"/>
        <v>47692</v>
      </c>
      <c r="M1460" s="59">
        <f t="shared" si="141"/>
        <v>0</v>
      </c>
      <c r="N1460" s="59">
        <f t="shared" si="144"/>
        <v>62500</v>
      </c>
      <c r="O1460" s="59">
        <f t="shared" si="142"/>
        <v>8.5616438356164384</v>
      </c>
      <c r="P1460" s="59">
        <f t="shared" si="145"/>
        <v>5.1369863013698627</v>
      </c>
    </row>
    <row r="1461" spans="12:16" ht="15" hidden="1" customHeight="1">
      <c r="L1461" s="58">
        <f t="shared" si="143"/>
        <v>47693</v>
      </c>
      <c r="M1461" s="59">
        <f t="shared" si="141"/>
        <v>0</v>
      </c>
      <c r="N1461" s="59">
        <f t="shared" si="144"/>
        <v>62500</v>
      </c>
      <c r="O1461" s="59">
        <f t="shared" si="142"/>
        <v>8.5616438356164384</v>
      </c>
      <c r="P1461" s="59">
        <f t="shared" si="145"/>
        <v>5.1369863013698627</v>
      </c>
    </row>
    <row r="1462" spans="12:16" ht="15" hidden="1" customHeight="1">
      <c r="L1462" s="58">
        <f t="shared" si="143"/>
        <v>47694</v>
      </c>
      <c r="M1462" s="59">
        <f t="shared" si="141"/>
        <v>0</v>
      </c>
      <c r="N1462" s="59">
        <f t="shared" si="144"/>
        <v>62500</v>
      </c>
      <c r="O1462" s="59">
        <f t="shared" si="142"/>
        <v>8.5616438356164384</v>
      </c>
      <c r="P1462" s="59">
        <f t="shared" si="145"/>
        <v>5.1369863013698627</v>
      </c>
    </row>
    <row r="1463" spans="12:16" ht="15" hidden="1" customHeight="1">
      <c r="L1463" s="58">
        <f t="shared" si="143"/>
        <v>47695</v>
      </c>
      <c r="M1463" s="59">
        <f t="shared" si="141"/>
        <v>0</v>
      </c>
      <c r="N1463" s="59">
        <f t="shared" si="144"/>
        <v>62500</v>
      </c>
      <c r="O1463" s="59">
        <f t="shared" si="142"/>
        <v>8.5616438356164384</v>
      </c>
      <c r="P1463" s="59">
        <f t="shared" si="145"/>
        <v>5.1369863013698627</v>
      </c>
    </row>
    <row r="1464" spans="12:16" ht="15" hidden="1" customHeight="1">
      <c r="L1464" s="58">
        <f t="shared" si="143"/>
        <v>47696</v>
      </c>
      <c r="M1464" s="59">
        <f t="shared" si="141"/>
        <v>0</v>
      </c>
      <c r="N1464" s="59">
        <f t="shared" si="144"/>
        <v>62500</v>
      </c>
      <c r="O1464" s="59">
        <f t="shared" si="142"/>
        <v>8.5616438356164384</v>
      </c>
      <c r="P1464" s="59">
        <f t="shared" si="145"/>
        <v>5.1369863013698627</v>
      </c>
    </row>
    <row r="1465" spans="12:16" ht="15" hidden="1" customHeight="1">
      <c r="L1465" s="58">
        <f t="shared" si="143"/>
        <v>47697</v>
      </c>
      <c r="M1465" s="59">
        <f t="shared" si="141"/>
        <v>0</v>
      </c>
      <c r="N1465" s="59">
        <f t="shared" si="144"/>
        <v>62500</v>
      </c>
      <c r="O1465" s="59">
        <f t="shared" si="142"/>
        <v>8.5616438356164384</v>
      </c>
      <c r="P1465" s="59">
        <f t="shared" si="145"/>
        <v>5.1369863013698627</v>
      </c>
    </row>
    <row r="1466" spans="12:16" ht="15" hidden="1" customHeight="1">
      <c r="L1466" s="58">
        <f t="shared" si="143"/>
        <v>47698</v>
      </c>
      <c r="M1466" s="59">
        <f t="shared" si="141"/>
        <v>0</v>
      </c>
      <c r="N1466" s="59">
        <f t="shared" si="144"/>
        <v>62500</v>
      </c>
      <c r="O1466" s="59">
        <f t="shared" si="142"/>
        <v>8.5616438356164384</v>
      </c>
      <c r="P1466" s="59">
        <f t="shared" si="145"/>
        <v>5.1369863013698627</v>
      </c>
    </row>
    <row r="1467" spans="12:16" ht="15" hidden="1" customHeight="1">
      <c r="L1467" s="58">
        <f t="shared" si="143"/>
        <v>47699</v>
      </c>
      <c r="M1467" s="59">
        <f t="shared" si="141"/>
        <v>0</v>
      </c>
      <c r="N1467" s="59">
        <f t="shared" si="144"/>
        <v>62500</v>
      </c>
      <c r="O1467" s="59">
        <f t="shared" si="142"/>
        <v>8.5616438356164384</v>
      </c>
      <c r="P1467" s="59">
        <f t="shared" si="145"/>
        <v>5.1369863013698627</v>
      </c>
    </row>
    <row r="1468" spans="12:16" ht="15" hidden="1" customHeight="1">
      <c r="L1468" s="58">
        <f t="shared" si="143"/>
        <v>47700</v>
      </c>
      <c r="M1468" s="59">
        <f t="shared" si="141"/>
        <v>0</v>
      </c>
      <c r="N1468" s="59">
        <f t="shared" si="144"/>
        <v>62500</v>
      </c>
      <c r="O1468" s="59">
        <f t="shared" si="142"/>
        <v>8.5616438356164384</v>
      </c>
      <c r="P1468" s="59">
        <f t="shared" si="145"/>
        <v>5.1369863013698627</v>
      </c>
    </row>
    <row r="1469" spans="12:16" ht="15" hidden="1" customHeight="1">
      <c r="L1469" s="58">
        <f t="shared" si="143"/>
        <v>47701</v>
      </c>
      <c r="M1469" s="59">
        <f t="shared" si="141"/>
        <v>0</v>
      </c>
      <c r="N1469" s="59">
        <f t="shared" si="144"/>
        <v>62500</v>
      </c>
      <c r="O1469" s="59">
        <f t="shared" si="142"/>
        <v>8.5616438356164384</v>
      </c>
      <c r="P1469" s="59">
        <f t="shared" si="145"/>
        <v>5.1369863013698627</v>
      </c>
    </row>
    <row r="1470" spans="12:16" ht="15" hidden="1" customHeight="1">
      <c r="L1470" s="58">
        <f t="shared" si="143"/>
        <v>47702</v>
      </c>
      <c r="M1470" s="59">
        <f t="shared" si="141"/>
        <v>0</v>
      </c>
      <c r="N1470" s="59">
        <f t="shared" si="144"/>
        <v>62500</v>
      </c>
      <c r="O1470" s="59">
        <f t="shared" si="142"/>
        <v>8.5616438356164384</v>
      </c>
      <c r="P1470" s="59">
        <f t="shared" si="145"/>
        <v>5.1369863013698627</v>
      </c>
    </row>
    <row r="1471" spans="12:16" ht="15" hidden="1" customHeight="1">
      <c r="L1471" s="58">
        <f t="shared" si="143"/>
        <v>47703</v>
      </c>
      <c r="M1471" s="59">
        <f t="shared" si="141"/>
        <v>0</v>
      </c>
      <c r="N1471" s="59">
        <f t="shared" si="144"/>
        <v>62500</v>
      </c>
      <c r="O1471" s="59">
        <f t="shared" si="142"/>
        <v>8.5616438356164384</v>
      </c>
      <c r="P1471" s="59">
        <f t="shared" si="145"/>
        <v>5.1369863013698627</v>
      </c>
    </row>
    <row r="1472" spans="12:16" ht="15" hidden="1" customHeight="1">
      <c r="L1472" s="58">
        <f t="shared" si="143"/>
        <v>47704</v>
      </c>
      <c r="M1472" s="59">
        <f t="shared" si="141"/>
        <v>0</v>
      </c>
      <c r="N1472" s="59">
        <f t="shared" si="144"/>
        <v>62500</v>
      </c>
      <c r="O1472" s="59">
        <f t="shared" si="142"/>
        <v>8.5616438356164384</v>
      </c>
      <c r="P1472" s="59">
        <f t="shared" si="145"/>
        <v>5.1369863013698627</v>
      </c>
    </row>
    <row r="1473" spans="12:16" ht="15" hidden="1" customHeight="1">
      <c r="L1473" s="58">
        <f t="shared" si="143"/>
        <v>47705</v>
      </c>
      <c r="M1473" s="59">
        <f t="shared" si="141"/>
        <v>0</v>
      </c>
      <c r="N1473" s="59">
        <f t="shared" si="144"/>
        <v>62500</v>
      </c>
      <c r="O1473" s="59">
        <f t="shared" si="142"/>
        <v>8.5616438356164384</v>
      </c>
      <c r="P1473" s="59">
        <f t="shared" si="145"/>
        <v>5.1369863013698627</v>
      </c>
    </row>
    <row r="1474" spans="12:16" ht="15" hidden="1" customHeight="1">
      <c r="L1474" s="58">
        <f t="shared" si="143"/>
        <v>47706</v>
      </c>
      <c r="M1474" s="59">
        <f t="shared" si="141"/>
        <v>0</v>
      </c>
      <c r="N1474" s="59">
        <f t="shared" si="144"/>
        <v>62500</v>
      </c>
      <c r="O1474" s="59">
        <f t="shared" si="142"/>
        <v>8.5616438356164384</v>
      </c>
      <c r="P1474" s="59">
        <f t="shared" si="145"/>
        <v>5.1369863013698627</v>
      </c>
    </row>
    <row r="1475" spans="12:16" ht="15" hidden="1" customHeight="1">
      <c r="L1475" s="58">
        <f t="shared" si="143"/>
        <v>47707</v>
      </c>
      <c r="M1475" s="59">
        <f t="shared" si="141"/>
        <v>0</v>
      </c>
      <c r="N1475" s="59">
        <f t="shared" si="144"/>
        <v>62500</v>
      </c>
      <c r="O1475" s="59">
        <f t="shared" si="142"/>
        <v>8.5616438356164384</v>
      </c>
      <c r="P1475" s="59">
        <f t="shared" si="145"/>
        <v>5.1369863013698627</v>
      </c>
    </row>
    <row r="1476" spans="12:16" ht="15" hidden="1" customHeight="1">
      <c r="L1476" s="58">
        <f t="shared" si="143"/>
        <v>47708</v>
      </c>
      <c r="M1476" s="59">
        <f t="shared" si="141"/>
        <v>0</v>
      </c>
      <c r="N1476" s="59">
        <f t="shared" si="144"/>
        <v>62500</v>
      </c>
      <c r="O1476" s="59">
        <f t="shared" si="142"/>
        <v>8.5616438356164384</v>
      </c>
      <c r="P1476" s="59">
        <f t="shared" si="145"/>
        <v>5.1369863013698627</v>
      </c>
    </row>
    <row r="1477" spans="12:16" ht="15" hidden="1" customHeight="1">
      <c r="L1477" s="58">
        <f t="shared" si="143"/>
        <v>47709</v>
      </c>
      <c r="M1477" s="59">
        <f t="shared" si="141"/>
        <v>0</v>
      </c>
      <c r="N1477" s="59">
        <f t="shared" si="144"/>
        <v>62500</v>
      </c>
      <c r="O1477" s="59">
        <f t="shared" si="142"/>
        <v>8.5616438356164384</v>
      </c>
      <c r="P1477" s="59">
        <f t="shared" si="145"/>
        <v>5.1369863013698627</v>
      </c>
    </row>
    <row r="1478" spans="12:16" ht="15" hidden="1" customHeight="1">
      <c r="L1478" s="58">
        <f t="shared" si="143"/>
        <v>47710</v>
      </c>
      <c r="M1478" s="59">
        <f t="shared" si="141"/>
        <v>0</v>
      </c>
      <c r="N1478" s="59">
        <f t="shared" si="144"/>
        <v>62500</v>
      </c>
      <c r="O1478" s="59">
        <f t="shared" si="142"/>
        <v>8.5616438356164384</v>
      </c>
      <c r="P1478" s="59">
        <f t="shared" si="145"/>
        <v>5.1369863013698627</v>
      </c>
    </row>
    <row r="1479" spans="12:16" ht="15" hidden="1" customHeight="1">
      <c r="L1479" s="58">
        <f t="shared" si="143"/>
        <v>47711</v>
      </c>
      <c r="M1479" s="59">
        <f t="shared" si="141"/>
        <v>0</v>
      </c>
      <c r="N1479" s="59">
        <f t="shared" si="144"/>
        <v>62500</v>
      </c>
      <c r="O1479" s="59">
        <f t="shared" si="142"/>
        <v>8.5616438356164384</v>
      </c>
      <c r="P1479" s="59">
        <f t="shared" si="145"/>
        <v>5.1369863013698627</v>
      </c>
    </row>
    <row r="1480" spans="12:16" ht="15" hidden="1" customHeight="1">
      <c r="L1480" s="58">
        <f t="shared" si="143"/>
        <v>47712</v>
      </c>
      <c r="M1480" s="59">
        <f t="shared" si="141"/>
        <v>0</v>
      </c>
      <c r="N1480" s="59">
        <f t="shared" si="144"/>
        <v>62500</v>
      </c>
      <c r="O1480" s="59">
        <f t="shared" si="142"/>
        <v>8.5616438356164384</v>
      </c>
      <c r="P1480" s="59">
        <f t="shared" si="145"/>
        <v>5.1369863013698627</v>
      </c>
    </row>
    <row r="1481" spans="12:16" ht="15" hidden="1" customHeight="1">
      <c r="L1481" s="58">
        <f t="shared" si="143"/>
        <v>47713</v>
      </c>
      <c r="M1481" s="59">
        <f t="shared" si="141"/>
        <v>0</v>
      </c>
      <c r="N1481" s="59">
        <f t="shared" si="144"/>
        <v>62500</v>
      </c>
      <c r="O1481" s="59">
        <f t="shared" si="142"/>
        <v>8.5616438356164384</v>
      </c>
      <c r="P1481" s="59">
        <f t="shared" si="145"/>
        <v>5.1369863013698627</v>
      </c>
    </row>
    <row r="1482" spans="12:16" ht="15" hidden="1" customHeight="1">
      <c r="L1482" s="58">
        <f t="shared" si="143"/>
        <v>47714</v>
      </c>
      <c r="M1482" s="59">
        <f t="shared" si="141"/>
        <v>0</v>
      </c>
      <c r="N1482" s="59">
        <f t="shared" si="144"/>
        <v>62500</v>
      </c>
      <c r="O1482" s="59">
        <f t="shared" si="142"/>
        <v>8.5616438356164384</v>
      </c>
      <c r="P1482" s="59">
        <f t="shared" si="145"/>
        <v>5.1369863013698627</v>
      </c>
    </row>
    <row r="1483" spans="12:16" ht="15" hidden="1" customHeight="1">
      <c r="L1483" s="58">
        <f t="shared" si="143"/>
        <v>47715</v>
      </c>
      <c r="M1483" s="59">
        <f t="shared" si="141"/>
        <v>0</v>
      </c>
      <c r="N1483" s="59">
        <f t="shared" si="144"/>
        <v>62500</v>
      </c>
      <c r="O1483" s="59">
        <f t="shared" si="142"/>
        <v>8.5616438356164384</v>
      </c>
      <c r="P1483" s="59">
        <f t="shared" si="145"/>
        <v>5.1369863013698627</v>
      </c>
    </row>
    <row r="1484" spans="12:16" ht="15" hidden="1" customHeight="1">
      <c r="L1484" s="58">
        <f t="shared" si="143"/>
        <v>47716</v>
      </c>
      <c r="M1484" s="59">
        <f t="shared" si="141"/>
        <v>0</v>
      </c>
      <c r="N1484" s="59">
        <f t="shared" si="144"/>
        <v>62500</v>
      </c>
      <c r="O1484" s="59">
        <f t="shared" si="142"/>
        <v>8.5616438356164384</v>
      </c>
      <c r="P1484" s="59">
        <f t="shared" si="145"/>
        <v>5.1369863013698627</v>
      </c>
    </row>
    <row r="1485" spans="12:16" ht="15" hidden="1" customHeight="1">
      <c r="L1485" s="58">
        <f t="shared" si="143"/>
        <v>47717</v>
      </c>
      <c r="M1485" s="59">
        <f t="shared" si="141"/>
        <v>0</v>
      </c>
      <c r="N1485" s="59">
        <f t="shared" si="144"/>
        <v>62500</v>
      </c>
      <c r="O1485" s="59">
        <f t="shared" si="142"/>
        <v>8.5616438356164384</v>
      </c>
      <c r="P1485" s="59">
        <f t="shared" si="145"/>
        <v>5.1369863013698627</v>
      </c>
    </row>
    <row r="1486" spans="12:16" ht="15" hidden="1" customHeight="1">
      <c r="L1486" s="58">
        <f t="shared" si="143"/>
        <v>47718</v>
      </c>
      <c r="M1486" s="59">
        <f t="shared" si="141"/>
        <v>0</v>
      </c>
      <c r="N1486" s="59">
        <f t="shared" si="144"/>
        <v>62500</v>
      </c>
      <c r="O1486" s="59">
        <f t="shared" si="142"/>
        <v>8.5616438356164384</v>
      </c>
      <c r="P1486" s="59">
        <f t="shared" si="145"/>
        <v>5.1369863013698627</v>
      </c>
    </row>
    <row r="1487" spans="12:16" ht="15" hidden="1" customHeight="1">
      <c r="L1487" s="58">
        <f t="shared" si="143"/>
        <v>47719</v>
      </c>
      <c r="M1487" s="59">
        <f t="shared" si="141"/>
        <v>0</v>
      </c>
      <c r="N1487" s="59">
        <f t="shared" si="144"/>
        <v>62500</v>
      </c>
      <c r="O1487" s="59">
        <f t="shared" si="142"/>
        <v>8.5616438356164384</v>
      </c>
      <c r="P1487" s="59">
        <f t="shared" si="145"/>
        <v>5.1369863013698627</v>
      </c>
    </row>
    <row r="1488" spans="12:16" ht="15" hidden="1" customHeight="1">
      <c r="L1488" s="58">
        <f t="shared" si="143"/>
        <v>47720</v>
      </c>
      <c r="M1488" s="59">
        <f t="shared" si="141"/>
        <v>0</v>
      </c>
      <c r="N1488" s="59">
        <f t="shared" si="144"/>
        <v>62500</v>
      </c>
      <c r="O1488" s="59">
        <f t="shared" si="142"/>
        <v>8.5616438356164384</v>
      </c>
      <c r="P1488" s="59">
        <f t="shared" si="145"/>
        <v>5.1369863013698627</v>
      </c>
    </row>
    <row r="1489" spans="12:16" ht="15" hidden="1" customHeight="1">
      <c r="L1489" s="58">
        <f t="shared" si="143"/>
        <v>47721</v>
      </c>
      <c r="M1489" s="59">
        <f t="shared" si="141"/>
        <v>0</v>
      </c>
      <c r="N1489" s="59">
        <f t="shared" si="144"/>
        <v>62500</v>
      </c>
      <c r="O1489" s="59">
        <f t="shared" si="142"/>
        <v>8.5616438356164384</v>
      </c>
      <c r="P1489" s="59">
        <f t="shared" si="145"/>
        <v>5.1369863013698627</v>
      </c>
    </row>
    <row r="1490" spans="12:16" ht="15" hidden="1" customHeight="1">
      <c r="L1490" s="58">
        <f t="shared" si="143"/>
        <v>47722</v>
      </c>
      <c r="M1490" s="59">
        <f t="shared" si="141"/>
        <v>0</v>
      </c>
      <c r="N1490" s="59">
        <f t="shared" si="144"/>
        <v>62500</v>
      </c>
      <c r="O1490" s="59">
        <f t="shared" si="142"/>
        <v>8.5616438356164384</v>
      </c>
      <c r="P1490" s="59">
        <f t="shared" si="145"/>
        <v>5.1369863013698627</v>
      </c>
    </row>
    <row r="1491" spans="12:16" ht="15" hidden="1" customHeight="1">
      <c r="L1491" s="58">
        <f t="shared" si="143"/>
        <v>47723</v>
      </c>
      <c r="M1491" s="59">
        <f t="shared" ref="M1491:M1554" si="146">IFERROR(VLOOKUP(L1491,$B$19:$E$80,4,FALSE),0)</f>
        <v>0</v>
      </c>
      <c r="N1491" s="59">
        <f t="shared" si="144"/>
        <v>62500</v>
      </c>
      <c r="O1491" s="59">
        <f t="shared" ref="O1491:O1554" si="147">IFERROR(IF(ISNUMBER(N1490),N1490,$E$8)*IF(L1491&gt;=$J$8,$E$12,$E$12)/IF(MOD(YEAR(L1491),4),365,366)*IF(ISBLANK(L1490),L1491-$F$5,L1491-L1490),0)</f>
        <v>8.5616438356164384</v>
      </c>
      <c r="P1491" s="59">
        <f t="shared" si="145"/>
        <v>5.1369863013698627</v>
      </c>
    </row>
    <row r="1492" spans="12:16" ht="15" hidden="1" customHeight="1">
      <c r="L1492" s="58">
        <f t="shared" si="143"/>
        <v>47724</v>
      </c>
      <c r="M1492" s="59">
        <f t="shared" si="146"/>
        <v>0</v>
      </c>
      <c r="N1492" s="59">
        <f t="shared" si="144"/>
        <v>62500</v>
      </c>
      <c r="O1492" s="59">
        <f t="shared" si="147"/>
        <v>8.5616438356164384</v>
      </c>
      <c r="P1492" s="59">
        <f t="shared" si="145"/>
        <v>5.1369863013698627</v>
      </c>
    </row>
    <row r="1493" spans="12:16" ht="15" hidden="1" customHeight="1">
      <c r="L1493" s="58">
        <f t="shared" si="143"/>
        <v>47725</v>
      </c>
      <c r="M1493" s="59">
        <f t="shared" si="146"/>
        <v>0</v>
      </c>
      <c r="N1493" s="59">
        <f t="shared" si="144"/>
        <v>62500</v>
      </c>
      <c r="O1493" s="59">
        <f t="shared" si="147"/>
        <v>8.5616438356164384</v>
      </c>
      <c r="P1493" s="59">
        <f t="shared" si="145"/>
        <v>5.1369863013698627</v>
      </c>
    </row>
    <row r="1494" spans="12:16" ht="15" hidden="1" customHeight="1">
      <c r="L1494" s="58">
        <f t="shared" si="143"/>
        <v>47726</v>
      </c>
      <c r="M1494" s="59">
        <f t="shared" si="146"/>
        <v>0</v>
      </c>
      <c r="N1494" s="59">
        <f t="shared" si="144"/>
        <v>62500</v>
      </c>
      <c r="O1494" s="59">
        <f t="shared" si="147"/>
        <v>8.5616438356164384</v>
      </c>
      <c r="P1494" s="59">
        <f t="shared" si="145"/>
        <v>5.1369863013698627</v>
      </c>
    </row>
    <row r="1495" spans="12:16" ht="15" hidden="1" customHeight="1">
      <c r="L1495" s="58">
        <f t="shared" si="143"/>
        <v>47727</v>
      </c>
      <c r="M1495" s="59">
        <f t="shared" si="146"/>
        <v>0</v>
      </c>
      <c r="N1495" s="59">
        <f t="shared" si="144"/>
        <v>62500</v>
      </c>
      <c r="O1495" s="59">
        <f t="shared" si="147"/>
        <v>8.5616438356164384</v>
      </c>
      <c r="P1495" s="59">
        <f t="shared" si="145"/>
        <v>5.1369863013698627</v>
      </c>
    </row>
    <row r="1496" spans="12:16" ht="15" hidden="1" customHeight="1">
      <c r="L1496" s="58">
        <f t="shared" si="143"/>
        <v>47728</v>
      </c>
      <c r="M1496" s="59">
        <f t="shared" si="146"/>
        <v>0</v>
      </c>
      <c r="N1496" s="59">
        <f t="shared" si="144"/>
        <v>62500</v>
      </c>
      <c r="O1496" s="59">
        <f t="shared" si="147"/>
        <v>8.5616438356164384</v>
      </c>
      <c r="P1496" s="59">
        <f t="shared" si="145"/>
        <v>5.1369863013698627</v>
      </c>
    </row>
    <row r="1497" spans="12:16" ht="15" hidden="1" customHeight="1">
      <c r="L1497" s="58">
        <f t="shared" si="143"/>
        <v>47729</v>
      </c>
      <c r="M1497" s="59">
        <f t="shared" si="146"/>
        <v>0</v>
      </c>
      <c r="N1497" s="59">
        <f t="shared" si="144"/>
        <v>62500</v>
      </c>
      <c r="O1497" s="59">
        <f t="shared" si="147"/>
        <v>8.5616438356164384</v>
      </c>
      <c r="P1497" s="59">
        <f t="shared" si="145"/>
        <v>5.1369863013698627</v>
      </c>
    </row>
    <row r="1498" spans="12:16" ht="15" hidden="1" customHeight="1">
      <c r="L1498" s="58">
        <f t="shared" si="143"/>
        <v>47730</v>
      </c>
      <c r="M1498" s="59">
        <f t="shared" si="146"/>
        <v>0</v>
      </c>
      <c r="N1498" s="59">
        <f t="shared" si="144"/>
        <v>62500</v>
      </c>
      <c r="O1498" s="59">
        <f t="shared" si="147"/>
        <v>8.5616438356164384</v>
      </c>
      <c r="P1498" s="59">
        <f t="shared" si="145"/>
        <v>5.1369863013698627</v>
      </c>
    </row>
    <row r="1499" spans="12:16" ht="15" hidden="1" customHeight="1">
      <c r="L1499" s="58">
        <f t="shared" si="143"/>
        <v>47731</v>
      </c>
      <c r="M1499" s="59">
        <f t="shared" si="146"/>
        <v>0</v>
      </c>
      <c r="N1499" s="59">
        <f t="shared" si="144"/>
        <v>62500</v>
      </c>
      <c r="O1499" s="59">
        <f t="shared" si="147"/>
        <v>8.5616438356164384</v>
      </c>
      <c r="P1499" s="59">
        <f t="shared" si="145"/>
        <v>5.1369863013698627</v>
      </c>
    </row>
    <row r="1500" spans="12:16" ht="15" hidden="1" customHeight="1">
      <c r="L1500" s="58">
        <f t="shared" si="143"/>
        <v>47732</v>
      </c>
      <c r="M1500" s="59">
        <f t="shared" si="146"/>
        <v>0</v>
      </c>
      <c r="N1500" s="59">
        <f t="shared" si="144"/>
        <v>62500</v>
      </c>
      <c r="O1500" s="59">
        <f t="shared" si="147"/>
        <v>8.5616438356164384</v>
      </c>
      <c r="P1500" s="59">
        <f t="shared" si="145"/>
        <v>5.1369863013698627</v>
      </c>
    </row>
    <row r="1501" spans="12:16" ht="15" hidden="1" customHeight="1">
      <c r="L1501" s="58">
        <f t="shared" si="143"/>
        <v>47733</v>
      </c>
      <c r="M1501" s="59">
        <f t="shared" si="146"/>
        <v>0</v>
      </c>
      <c r="N1501" s="59">
        <f t="shared" si="144"/>
        <v>62500</v>
      </c>
      <c r="O1501" s="59">
        <f t="shared" si="147"/>
        <v>8.5616438356164384</v>
      </c>
      <c r="P1501" s="59">
        <f t="shared" si="145"/>
        <v>5.1369863013698627</v>
      </c>
    </row>
    <row r="1502" spans="12:16" ht="15" hidden="1" customHeight="1">
      <c r="L1502" s="58">
        <f t="shared" si="143"/>
        <v>47734</v>
      </c>
      <c r="M1502" s="59">
        <f t="shared" si="146"/>
        <v>0</v>
      </c>
      <c r="N1502" s="59">
        <f t="shared" si="144"/>
        <v>62500</v>
      </c>
      <c r="O1502" s="59">
        <f t="shared" si="147"/>
        <v>8.5616438356164384</v>
      </c>
      <c r="P1502" s="59">
        <f t="shared" si="145"/>
        <v>5.1369863013698627</v>
      </c>
    </row>
    <row r="1503" spans="12:16" ht="15" hidden="1" customHeight="1">
      <c r="L1503" s="58">
        <f t="shared" si="143"/>
        <v>47735</v>
      </c>
      <c r="M1503" s="59">
        <f t="shared" si="146"/>
        <v>0</v>
      </c>
      <c r="N1503" s="59">
        <f t="shared" si="144"/>
        <v>62500</v>
      </c>
      <c r="O1503" s="59">
        <f t="shared" si="147"/>
        <v>8.5616438356164384</v>
      </c>
      <c r="P1503" s="59">
        <f t="shared" si="145"/>
        <v>5.1369863013698627</v>
      </c>
    </row>
    <row r="1504" spans="12:16" ht="15" hidden="1" customHeight="1">
      <c r="L1504" s="58">
        <f t="shared" si="143"/>
        <v>47736</v>
      </c>
      <c r="M1504" s="59">
        <f t="shared" si="146"/>
        <v>0</v>
      </c>
      <c r="N1504" s="59">
        <f t="shared" si="144"/>
        <v>62500</v>
      </c>
      <c r="O1504" s="59">
        <f t="shared" si="147"/>
        <v>8.5616438356164384</v>
      </c>
      <c r="P1504" s="59">
        <f t="shared" si="145"/>
        <v>5.1369863013698627</v>
      </c>
    </row>
    <row r="1505" spans="12:16" ht="15" hidden="1" customHeight="1">
      <c r="L1505" s="58">
        <f t="shared" si="143"/>
        <v>47737</v>
      </c>
      <c r="M1505" s="59">
        <f t="shared" si="146"/>
        <v>0</v>
      </c>
      <c r="N1505" s="59">
        <f t="shared" si="144"/>
        <v>62500</v>
      </c>
      <c r="O1505" s="59">
        <f t="shared" si="147"/>
        <v>8.5616438356164384</v>
      </c>
      <c r="P1505" s="59">
        <f t="shared" si="145"/>
        <v>5.1369863013698627</v>
      </c>
    </row>
    <row r="1506" spans="12:16" ht="15" hidden="1" customHeight="1">
      <c r="L1506" s="58">
        <f t="shared" ref="L1506:L1569" si="148">IFERROR(IF(MAX(L1505+1,$F$5+1)&gt;Дата_погашения_Займа,"-",MAX(L1505+1,$F$5+1)),"-")</f>
        <v>47738</v>
      </c>
      <c r="M1506" s="59">
        <f t="shared" si="146"/>
        <v>0</v>
      </c>
      <c r="N1506" s="59">
        <f t="shared" si="144"/>
        <v>62500</v>
      </c>
      <c r="O1506" s="59">
        <f t="shared" si="147"/>
        <v>8.5616438356164384</v>
      </c>
      <c r="P1506" s="59">
        <f t="shared" si="145"/>
        <v>5.1369863013698627</v>
      </c>
    </row>
    <row r="1507" spans="12:16" ht="15" hidden="1" customHeight="1">
      <c r="L1507" s="58">
        <f t="shared" si="148"/>
        <v>47739</v>
      </c>
      <c r="M1507" s="59">
        <f t="shared" si="146"/>
        <v>0</v>
      </c>
      <c r="N1507" s="59">
        <f t="shared" si="144"/>
        <v>62500</v>
      </c>
      <c r="O1507" s="59">
        <f t="shared" si="147"/>
        <v>8.5616438356164384</v>
      </c>
      <c r="P1507" s="59">
        <f t="shared" si="145"/>
        <v>5.1369863013698627</v>
      </c>
    </row>
    <row r="1508" spans="12:16" ht="15" hidden="1" customHeight="1">
      <c r="L1508" s="58">
        <f t="shared" si="148"/>
        <v>47740</v>
      </c>
      <c r="M1508" s="59">
        <f t="shared" si="146"/>
        <v>0</v>
      </c>
      <c r="N1508" s="59">
        <f t="shared" si="144"/>
        <v>62500</v>
      </c>
      <c r="O1508" s="59">
        <f t="shared" si="147"/>
        <v>8.5616438356164384</v>
      </c>
      <c r="P1508" s="59">
        <f t="shared" si="145"/>
        <v>5.1369863013698627</v>
      </c>
    </row>
    <row r="1509" spans="12:16" ht="15" hidden="1" customHeight="1">
      <c r="L1509" s="58">
        <f t="shared" si="148"/>
        <v>47741</v>
      </c>
      <c r="M1509" s="59">
        <f t="shared" si="146"/>
        <v>0</v>
      </c>
      <c r="N1509" s="59">
        <f t="shared" si="144"/>
        <v>62500</v>
      </c>
      <c r="O1509" s="59">
        <f t="shared" si="147"/>
        <v>8.5616438356164384</v>
      </c>
      <c r="P1509" s="59">
        <f t="shared" si="145"/>
        <v>5.1369863013698627</v>
      </c>
    </row>
    <row r="1510" spans="12:16" ht="15" hidden="1" customHeight="1">
      <c r="L1510" s="58">
        <f t="shared" si="148"/>
        <v>47742</v>
      </c>
      <c r="M1510" s="59">
        <f t="shared" si="146"/>
        <v>0</v>
      </c>
      <c r="N1510" s="59">
        <f t="shared" si="144"/>
        <v>62500</v>
      </c>
      <c r="O1510" s="59">
        <f t="shared" si="147"/>
        <v>8.5616438356164384</v>
      </c>
      <c r="P1510" s="59">
        <f t="shared" si="145"/>
        <v>5.1369863013698627</v>
      </c>
    </row>
    <row r="1511" spans="12:16" ht="15" hidden="1" customHeight="1">
      <c r="L1511" s="58">
        <f t="shared" si="148"/>
        <v>47743</v>
      </c>
      <c r="M1511" s="59">
        <f t="shared" si="146"/>
        <v>0</v>
      </c>
      <c r="N1511" s="59">
        <f t="shared" si="144"/>
        <v>62500</v>
      </c>
      <c r="O1511" s="59">
        <f t="shared" si="147"/>
        <v>8.5616438356164384</v>
      </c>
      <c r="P1511" s="59">
        <f t="shared" si="145"/>
        <v>5.1369863013698627</v>
      </c>
    </row>
    <row r="1512" spans="12:16" ht="15" hidden="1" customHeight="1">
      <c r="L1512" s="58">
        <f t="shared" si="148"/>
        <v>47744</v>
      </c>
      <c r="M1512" s="59">
        <f t="shared" si="146"/>
        <v>0</v>
      </c>
      <c r="N1512" s="59">
        <f t="shared" si="144"/>
        <v>62500</v>
      </c>
      <c r="O1512" s="59">
        <f t="shared" si="147"/>
        <v>8.5616438356164384</v>
      </c>
      <c r="P1512" s="59">
        <f t="shared" si="145"/>
        <v>5.1369863013698627</v>
      </c>
    </row>
    <row r="1513" spans="12:16" ht="15" hidden="1" customHeight="1">
      <c r="L1513" s="58">
        <f t="shared" si="148"/>
        <v>47745</v>
      </c>
      <c r="M1513" s="59">
        <f t="shared" si="146"/>
        <v>0</v>
      </c>
      <c r="N1513" s="59">
        <f t="shared" si="144"/>
        <v>62500</v>
      </c>
      <c r="O1513" s="59">
        <f t="shared" si="147"/>
        <v>8.5616438356164384</v>
      </c>
      <c r="P1513" s="59">
        <f t="shared" si="145"/>
        <v>5.1369863013698627</v>
      </c>
    </row>
    <row r="1514" spans="12:16" ht="15" hidden="1" customHeight="1">
      <c r="L1514" s="58">
        <f t="shared" si="148"/>
        <v>47746</v>
      </c>
      <c r="M1514" s="59">
        <f t="shared" si="146"/>
        <v>0</v>
      </c>
      <c r="N1514" s="59">
        <f t="shared" si="144"/>
        <v>62500</v>
      </c>
      <c r="O1514" s="59">
        <f t="shared" si="147"/>
        <v>8.5616438356164384</v>
      </c>
      <c r="P1514" s="59">
        <f t="shared" si="145"/>
        <v>5.1369863013698627</v>
      </c>
    </row>
    <row r="1515" spans="12:16" ht="15" hidden="1" customHeight="1">
      <c r="L1515" s="58">
        <f t="shared" si="148"/>
        <v>47747</v>
      </c>
      <c r="M1515" s="59">
        <f t="shared" si="146"/>
        <v>0</v>
      </c>
      <c r="N1515" s="59">
        <f t="shared" si="144"/>
        <v>62500</v>
      </c>
      <c r="O1515" s="59">
        <f t="shared" si="147"/>
        <v>8.5616438356164384</v>
      </c>
      <c r="P1515" s="59">
        <f t="shared" si="145"/>
        <v>5.1369863013698627</v>
      </c>
    </row>
    <row r="1516" spans="12:16" ht="15" hidden="1" customHeight="1">
      <c r="L1516" s="58">
        <f t="shared" si="148"/>
        <v>47748</v>
      </c>
      <c r="M1516" s="59">
        <f t="shared" si="146"/>
        <v>0</v>
      </c>
      <c r="N1516" s="59">
        <f t="shared" si="144"/>
        <v>62500</v>
      </c>
      <c r="O1516" s="59">
        <f t="shared" si="147"/>
        <v>8.5616438356164384</v>
      </c>
      <c r="P1516" s="59">
        <f t="shared" si="145"/>
        <v>5.1369863013698627</v>
      </c>
    </row>
    <row r="1517" spans="12:16" ht="15" hidden="1" customHeight="1">
      <c r="L1517" s="58">
        <f t="shared" si="148"/>
        <v>47749</v>
      </c>
      <c r="M1517" s="59">
        <f t="shared" si="146"/>
        <v>0</v>
      </c>
      <c r="N1517" s="59">
        <f t="shared" si="144"/>
        <v>62500</v>
      </c>
      <c r="O1517" s="59">
        <f t="shared" si="147"/>
        <v>8.5616438356164384</v>
      </c>
      <c r="P1517" s="59">
        <f t="shared" si="145"/>
        <v>5.1369863013698627</v>
      </c>
    </row>
    <row r="1518" spans="12:16" ht="15" hidden="1" customHeight="1">
      <c r="L1518" s="58">
        <f t="shared" si="148"/>
        <v>47750</v>
      </c>
      <c r="M1518" s="59">
        <f t="shared" si="146"/>
        <v>0</v>
      </c>
      <c r="N1518" s="59">
        <f t="shared" si="144"/>
        <v>62500</v>
      </c>
      <c r="O1518" s="59">
        <f t="shared" si="147"/>
        <v>8.5616438356164384</v>
      </c>
      <c r="P1518" s="59">
        <f t="shared" si="145"/>
        <v>5.1369863013698627</v>
      </c>
    </row>
    <row r="1519" spans="12:16" ht="15" hidden="1" customHeight="1">
      <c r="L1519" s="58">
        <f t="shared" si="148"/>
        <v>47751</v>
      </c>
      <c r="M1519" s="59">
        <f t="shared" si="146"/>
        <v>0</v>
      </c>
      <c r="N1519" s="59">
        <f t="shared" si="144"/>
        <v>62500</v>
      </c>
      <c r="O1519" s="59">
        <f t="shared" si="147"/>
        <v>8.5616438356164384</v>
      </c>
      <c r="P1519" s="59">
        <f t="shared" si="145"/>
        <v>5.1369863013698627</v>
      </c>
    </row>
    <row r="1520" spans="12:16" ht="15" hidden="1" customHeight="1">
      <c r="L1520" s="58">
        <f t="shared" si="148"/>
        <v>47752</v>
      </c>
      <c r="M1520" s="59">
        <f t="shared" si="146"/>
        <v>0</v>
      </c>
      <c r="N1520" s="59">
        <f t="shared" ref="N1520:N1583" si="149">IF(ISNUMBER(N1519),N1519-M1520,$E$8)</f>
        <v>62500</v>
      </c>
      <c r="O1520" s="59">
        <f t="shared" si="147"/>
        <v>8.5616438356164384</v>
      </c>
      <c r="P1520" s="59">
        <f t="shared" ref="P1520:P1583" si="150">IFERROR(IF(ISNUMBER(N1519),N1519,$E$8)*3%/IF(MOD(YEAR(L1520),4),365,366)*IF(ISBLANK(L1519),(L1520-$F$5),L1520-L1519),0)</f>
        <v>5.1369863013698627</v>
      </c>
    </row>
    <row r="1521" spans="12:16" ht="15" hidden="1" customHeight="1">
      <c r="L1521" s="58">
        <f t="shared" si="148"/>
        <v>47753</v>
      </c>
      <c r="M1521" s="59">
        <f t="shared" si="146"/>
        <v>0</v>
      </c>
      <c r="N1521" s="59">
        <f t="shared" si="149"/>
        <v>62500</v>
      </c>
      <c r="O1521" s="59">
        <f t="shared" si="147"/>
        <v>8.5616438356164384</v>
      </c>
      <c r="P1521" s="59">
        <f t="shared" si="150"/>
        <v>5.1369863013698627</v>
      </c>
    </row>
    <row r="1522" spans="12:16" ht="15" hidden="1" customHeight="1">
      <c r="L1522" s="58">
        <f t="shared" si="148"/>
        <v>47754</v>
      </c>
      <c r="M1522" s="59">
        <f t="shared" si="146"/>
        <v>0</v>
      </c>
      <c r="N1522" s="59">
        <f t="shared" si="149"/>
        <v>62500</v>
      </c>
      <c r="O1522" s="59">
        <f t="shared" si="147"/>
        <v>8.5616438356164384</v>
      </c>
      <c r="P1522" s="59">
        <f t="shared" si="150"/>
        <v>5.1369863013698627</v>
      </c>
    </row>
    <row r="1523" spans="12:16" ht="15" hidden="1" customHeight="1">
      <c r="L1523" s="58">
        <f t="shared" si="148"/>
        <v>47755</v>
      </c>
      <c r="M1523" s="59">
        <f t="shared" si="146"/>
        <v>0</v>
      </c>
      <c r="N1523" s="59">
        <f t="shared" si="149"/>
        <v>62500</v>
      </c>
      <c r="O1523" s="59">
        <f t="shared" si="147"/>
        <v>8.5616438356164384</v>
      </c>
      <c r="P1523" s="59">
        <f t="shared" si="150"/>
        <v>5.1369863013698627</v>
      </c>
    </row>
    <row r="1524" spans="12:16" ht="15" hidden="1" customHeight="1">
      <c r="L1524" s="58">
        <f t="shared" si="148"/>
        <v>47756</v>
      </c>
      <c r="M1524" s="59">
        <f t="shared" si="146"/>
        <v>12500</v>
      </c>
      <c r="N1524" s="59">
        <f t="shared" si="149"/>
        <v>50000</v>
      </c>
      <c r="O1524" s="59">
        <f t="shared" si="147"/>
        <v>8.5616438356164384</v>
      </c>
      <c r="P1524" s="59">
        <f t="shared" si="150"/>
        <v>5.1369863013698627</v>
      </c>
    </row>
    <row r="1525" spans="12:16" ht="15" hidden="1" customHeight="1">
      <c r="L1525" s="58">
        <f t="shared" si="148"/>
        <v>47757</v>
      </c>
      <c r="M1525" s="59">
        <f t="shared" si="146"/>
        <v>0</v>
      </c>
      <c r="N1525" s="59">
        <f t="shared" si="149"/>
        <v>50000</v>
      </c>
      <c r="O1525" s="59">
        <f t="shared" si="147"/>
        <v>6.8493150684931505</v>
      </c>
      <c r="P1525" s="59">
        <f t="shared" si="150"/>
        <v>4.1095890410958908</v>
      </c>
    </row>
    <row r="1526" spans="12:16" ht="15" hidden="1" customHeight="1">
      <c r="L1526" s="58">
        <f t="shared" si="148"/>
        <v>47758</v>
      </c>
      <c r="M1526" s="59">
        <f t="shared" si="146"/>
        <v>0</v>
      </c>
      <c r="N1526" s="59">
        <f t="shared" si="149"/>
        <v>50000</v>
      </c>
      <c r="O1526" s="59">
        <f t="shared" si="147"/>
        <v>6.8493150684931505</v>
      </c>
      <c r="P1526" s="59">
        <f t="shared" si="150"/>
        <v>4.1095890410958908</v>
      </c>
    </row>
    <row r="1527" spans="12:16" ht="15" hidden="1" customHeight="1">
      <c r="L1527" s="58">
        <f t="shared" si="148"/>
        <v>47759</v>
      </c>
      <c r="M1527" s="59">
        <f t="shared" si="146"/>
        <v>0</v>
      </c>
      <c r="N1527" s="59">
        <f t="shared" si="149"/>
        <v>50000</v>
      </c>
      <c r="O1527" s="59">
        <f t="shared" si="147"/>
        <v>6.8493150684931505</v>
      </c>
      <c r="P1527" s="59">
        <f t="shared" si="150"/>
        <v>4.1095890410958908</v>
      </c>
    </row>
    <row r="1528" spans="12:16" ht="15" hidden="1" customHeight="1">
      <c r="L1528" s="58">
        <f t="shared" si="148"/>
        <v>47760</v>
      </c>
      <c r="M1528" s="59">
        <f t="shared" si="146"/>
        <v>0</v>
      </c>
      <c r="N1528" s="59">
        <f t="shared" si="149"/>
        <v>50000</v>
      </c>
      <c r="O1528" s="59">
        <f t="shared" si="147"/>
        <v>6.8493150684931505</v>
      </c>
      <c r="P1528" s="59">
        <f t="shared" si="150"/>
        <v>4.1095890410958908</v>
      </c>
    </row>
    <row r="1529" spans="12:16" ht="15" hidden="1" customHeight="1">
      <c r="L1529" s="58">
        <f t="shared" si="148"/>
        <v>47761</v>
      </c>
      <c r="M1529" s="59">
        <f t="shared" si="146"/>
        <v>0</v>
      </c>
      <c r="N1529" s="59">
        <f t="shared" si="149"/>
        <v>50000</v>
      </c>
      <c r="O1529" s="59">
        <f t="shared" si="147"/>
        <v>6.8493150684931505</v>
      </c>
      <c r="P1529" s="59">
        <f t="shared" si="150"/>
        <v>4.1095890410958908</v>
      </c>
    </row>
    <row r="1530" spans="12:16" ht="15" hidden="1" customHeight="1">
      <c r="L1530" s="58">
        <f t="shared" si="148"/>
        <v>47762</v>
      </c>
      <c r="M1530" s="59">
        <f t="shared" si="146"/>
        <v>0</v>
      </c>
      <c r="N1530" s="59">
        <f t="shared" si="149"/>
        <v>50000</v>
      </c>
      <c r="O1530" s="59">
        <f t="shared" si="147"/>
        <v>6.8493150684931505</v>
      </c>
      <c r="P1530" s="59">
        <f t="shared" si="150"/>
        <v>4.1095890410958908</v>
      </c>
    </row>
    <row r="1531" spans="12:16" ht="15" hidden="1" customHeight="1">
      <c r="L1531" s="58">
        <f t="shared" si="148"/>
        <v>47763</v>
      </c>
      <c r="M1531" s="59">
        <f t="shared" si="146"/>
        <v>0</v>
      </c>
      <c r="N1531" s="59">
        <f t="shared" si="149"/>
        <v>50000</v>
      </c>
      <c r="O1531" s="59">
        <f t="shared" si="147"/>
        <v>6.8493150684931505</v>
      </c>
      <c r="P1531" s="59">
        <f t="shared" si="150"/>
        <v>4.1095890410958908</v>
      </c>
    </row>
    <row r="1532" spans="12:16" ht="15" hidden="1" customHeight="1">
      <c r="L1532" s="58">
        <f t="shared" si="148"/>
        <v>47764</v>
      </c>
      <c r="M1532" s="59">
        <f t="shared" si="146"/>
        <v>0</v>
      </c>
      <c r="N1532" s="59">
        <f t="shared" si="149"/>
        <v>50000</v>
      </c>
      <c r="O1532" s="59">
        <f t="shared" si="147"/>
        <v>6.8493150684931505</v>
      </c>
      <c r="P1532" s="59">
        <f t="shared" si="150"/>
        <v>4.1095890410958908</v>
      </c>
    </row>
    <row r="1533" spans="12:16" ht="15" hidden="1" customHeight="1">
      <c r="L1533" s="58">
        <f t="shared" si="148"/>
        <v>47765</v>
      </c>
      <c r="M1533" s="59">
        <f t="shared" si="146"/>
        <v>0</v>
      </c>
      <c r="N1533" s="59">
        <f t="shared" si="149"/>
        <v>50000</v>
      </c>
      <c r="O1533" s="59">
        <f t="shared" si="147"/>
        <v>6.8493150684931505</v>
      </c>
      <c r="P1533" s="59">
        <f t="shared" si="150"/>
        <v>4.1095890410958908</v>
      </c>
    </row>
    <row r="1534" spans="12:16" ht="15" hidden="1" customHeight="1">
      <c r="L1534" s="58">
        <f t="shared" si="148"/>
        <v>47766</v>
      </c>
      <c r="M1534" s="59">
        <f t="shared" si="146"/>
        <v>0</v>
      </c>
      <c r="N1534" s="59">
        <f t="shared" si="149"/>
        <v>50000</v>
      </c>
      <c r="O1534" s="59">
        <f t="shared" si="147"/>
        <v>6.8493150684931505</v>
      </c>
      <c r="P1534" s="59">
        <f t="shared" si="150"/>
        <v>4.1095890410958908</v>
      </c>
    </row>
    <row r="1535" spans="12:16" ht="15" hidden="1" customHeight="1">
      <c r="L1535" s="58">
        <f t="shared" si="148"/>
        <v>47767</v>
      </c>
      <c r="M1535" s="59">
        <f t="shared" si="146"/>
        <v>0</v>
      </c>
      <c r="N1535" s="59">
        <f t="shared" si="149"/>
        <v>50000</v>
      </c>
      <c r="O1535" s="59">
        <f t="shared" si="147"/>
        <v>6.8493150684931505</v>
      </c>
      <c r="P1535" s="59">
        <f t="shared" si="150"/>
        <v>4.1095890410958908</v>
      </c>
    </row>
    <row r="1536" spans="12:16" ht="15" hidden="1" customHeight="1">
      <c r="L1536" s="58">
        <f t="shared" si="148"/>
        <v>47768</v>
      </c>
      <c r="M1536" s="59">
        <f t="shared" si="146"/>
        <v>0</v>
      </c>
      <c r="N1536" s="59">
        <f t="shared" si="149"/>
        <v>50000</v>
      </c>
      <c r="O1536" s="59">
        <f t="shared" si="147"/>
        <v>6.8493150684931505</v>
      </c>
      <c r="P1536" s="59">
        <f t="shared" si="150"/>
        <v>4.1095890410958908</v>
      </c>
    </row>
    <row r="1537" spans="12:16" ht="15" hidden="1" customHeight="1">
      <c r="L1537" s="58">
        <f t="shared" si="148"/>
        <v>47769</v>
      </c>
      <c r="M1537" s="59">
        <f t="shared" si="146"/>
        <v>0</v>
      </c>
      <c r="N1537" s="59">
        <f t="shared" si="149"/>
        <v>50000</v>
      </c>
      <c r="O1537" s="59">
        <f t="shared" si="147"/>
        <v>6.8493150684931505</v>
      </c>
      <c r="P1537" s="59">
        <f t="shared" si="150"/>
        <v>4.1095890410958908</v>
      </c>
    </row>
    <row r="1538" spans="12:16" ht="15" hidden="1" customHeight="1">
      <c r="L1538" s="58">
        <f t="shared" si="148"/>
        <v>47770</v>
      </c>
      <c r="M1538" s="59">
        <f t="shared" si="146"/>
        <v>0</v>
      </c>
      <c r="N1538" s="59">
        <f t="shared" si="149"/>
        <v>50000</v>
      </c>
      <c r="O1538" s="59">
        <f t="shared" si="147"/>
        <v>6.8493150684931505</v>
      </c>
      <c r="P1538" s="59">
        <f t="shared" si="150"/>
        <v>4.1095890410958908</v>
      </c>
    </row>
    <row r="1539" spans="12:16" ht="15" hidden="1" customHeight="1">
      <c r="L1539" s="58">
        <f t="shared" si="148"/>
        <v>47771</v>
      </c>
      <c r="M1539" s="59">
        <f t="shared" si="146"/>
        <v>0</v>
      </c>
      <c r="N1539" s="59">
        <f t="shared" si="149"/>
        <v>50000</v>
      </c>
      <c r="O1539" s="59">
        <f t="shared" si="147"/>
        <v>6.8493150684931505</v>
      </c>
      <c r="P1539" s="59">
        <f t="shared" si="150"/>
        <v>4.1095890410958908</v>
      </c>
    </row>
    <row r="1540" spans="12:16" ht="15" hidden="1" customHeight="1">
      <c r="L1540" s="58">
        <f t="shared" si="148"/>
        <v>47772</v>
      </c>
      <c r="M1540" s="59">
        <f t="shared" si="146"/>
        <v>0</v>
      </c>
      <c r="N1540" s="59">
        <f t="shared" si="149"/>
        <v>50000</v>
      </c>
      <c r="O1540" s="59">
        <f t="shared" si="147"/>
        <v>6.8493150684931505</v>
      </c>
      <c r="P1540" s="59">
        <f t="shared" si="150"/>
        <v>4.1095890410958908</v>
      </c>
    </row>
    <row r="1541" spans="12:16" ht="15" hidden="1" customHeight="1">
      <c r="L1541" s="58">
        <f t="shared" si="148"/>
        <v>47773</v>
      </c>
      <c r="M1541" s="59">
        <f t="shared" si="146"/>
        <v>0</v>
      </c>
      <c r="N1541" s="59">
        <f t="shared" si="149"/>
        <v>50000</v>
      </c>
      <c r="O1541" s="59">
        <f t="shared" si="147"/>
        <v>6.8493150684931505</v>
      </c>
      <c r="P1541" s="59">
        <f t="shared" si="150"/>
        <v>4.1095890410958908</v>
      </c>
    </row>
    <row r="1542" spans="12:16" ht="15" hidden="1" customHeight="1">
      <c r="L1542" s="58">
        <f t="shared" si="148"/>
        <v>47774</v>
      </c>
      <c r="M1542" s="59">
        <f t="shared" si="146"/>
        <v>0</v>
      </c>
      <c r="N1542" s="59">
        <f t="shared" si="149"/>
        <v>50000</v>
      </c>
      <c r="O1542" s="59">
        <f t="shared" si="147"/>
        <v>6.8493150684931505</v>
      </c>
      <c r="P1542" s="59">
        <f t="shared" si="150"/>
        <v>4.1095890410958908</v>
      </c>
    </row>
    <row r="1543" spans="12:16" ht="15" hidden="1" customHeight="1">
      <c r="L1543" s="58">
        <f t="shared" si="148"/>
        <v>47775</v>
      </c>
      <c r="M1543" s="59">
        <f t="shared" si="146"/>
        <v>0</v>
      </c>
      <c r="N1543" s="59">
        <f t="shared" si="149"/>
        <v>50000</v>
      </c>
      <c r="O1543" s="59">
        <f t="shared" si="147"/>
        <v>6.8493150684931505</v>
      </c>
      <c r="P1543" s="59">
        <f t="shared" si="150"/>
        <v>4.1095890410958908</v>
      </c>
    </row>
    <row r="1544" spans="12:16" ht="15" hidden="1" customHeight="1">
      <c r="L1544" s="58">
        <f t="shared" si="148"/>
        <v>47776</v>
      </c>
      <c r="M1544" s="59">
        <f t="shared" si="146"/>
        <v>0</v>
      </c>
      <c r="N1544" s="59">
        <f t="shared" si="149"/>
        <v>50000</v>
      </c>
      <c r="O1544" s="59">
        <f t="shared" si="147"/>
        <v>6.8493150684931505</v>
      </c>
      <c r="P1544" s="59">
        <f t="shared" si="150"/>
        <v>4.1095890410958908</v>
      </c>
    </row>
    <row r="1545" spans="12:16" ht="15" hidden="1" customHeight="1">
      <c r="L1545" s="58">
        <f t="shared" si="148"/>
        <v>47777</v>
      </c>
      <c r="M1545" s="59">
        <f t="shared" si="146"/>
        <v>0</v>
      </c>
      <c r="N1545" s="59">
        <f t="shared" si="149"/>
        <v>50000</v>
      </c>
      <c r="O1545" s="59">
        <f t="shared" si="147"/>
        <v>6.8493150684931505</v>
      </c>
      <c r="P1545" s="59">
        <f t="shared" si="150"/>
        <v>4.1095890410958908</v>
      </c>
    </row>
    <row r="1546" spans="12:16" ht="15" hidden="1" customHeight="1">
      <c r="L1546" s="58">
        <f t="shared" si="148"/>
        <v>47778</v>
      </c>
      <c r="M1546" s="59">
        <f t="shared" si="146"/>
        <v>0</v>
      </c>
      <c r="N1546" s="59">
        <f t="shared" si="149"/>
        <v>50000</v>
      </c>
      <c r="O1546" s="59">
        <f t="shared" si="147"/>
        <v>6.8493150684931505</v>
      </c>
      <c r="P1546" s="59">
        <f t="shared" si="150"/>
        <v>4.1095890410958908</v>
      </c>
    </row>
    <row r="1547" spans="12:16" ht="15" hidden="1" customHeight="1">
      <c r="L1547" s="58">
        <f t="shared" si="148"/>
        <v>47779</v>
      </c>
      <c r="M1547" s="59">
        <f t="shared" si="146"/>
        <v>0</v>
      </c>
      <c r="N1547" s="59">
        <f t="shared" si="149"/>
        <v>50000</v>
      </c>
      <c r="O1547" s="59">
        <f t="shared" si="147"/>
        <v>6.8493150684931505</v>
      </c>
      <c r="P1547" s="59">
        <f t="shared" si="150"/>
        <v>4.1095890410958908</v>
      </c>
    </row>
    <row r="1548" spans="12:16" ht="15" hidden="1" customHeight="1">
      <c r="L1548" s="58">
        <f t="shared" si="148"/>
        <v>47780</v>
      </c>
      <c r="M1548" s="59">
        <f t="shared" si="146"/>
        <v>0</v>
      </c>
      <c r="N1548" s="59">
        <f t="shared" si="149"/>
        <v>50000</v>
      </c>
      <c r="O1548" s="59">
        <f t="shared" si="147"/>
        <v>6.8493150684931505</v>
      </c>
      <c r="P1548" s="59">
        <f t="shared" si="150"/>
        <v>4.1095890410958908</v>
      </c>
    </row>
    <row r="1549" spans="12:16" ht="15" hidden="1" customHeight="1">
      <c r="L1549" s="58">
        <f t="shared" si="148"/>
        <v>47781</v>
      </c>
      <c r="M1549" s="59">
        <f t="shared" si="146"/>
        <v>0</v>
      </c>
      <c r="N1549" s="59">
        <f t="shared" si="149"/>
        <v>50000</v>
      </c>
      <c r="O1549" s="59">
        <f t="shared" si="147"/>
        <v>6.8493150684931505</v>
      </c>
      <c r="P1549" s="59">
        <f t="shared" si="150"/>
        <v>4.1095890410958908</v>
      </c>
    </row>
    <row r="1550" spans="12:16" ht="15" hidden="1" customHeight="1">
      <c r="L1550" s="58">
        <f t="shared" si="148"/>
        <v>47782</v>
      </c>
      <c r="M1550" s="59">
        <f t="shared" si="146"/>
        <v>0</v>
      </c>
      <c r="N1550" s="59">
        <f t="shared" si="149"/>
        <v>50000</v>
      </c>
      <c r="O1550" s="59">
        <f t="shared" si="147"/>
        <v>6.8493150684931505</v>
      </c>
      <c r="P1550" s="59">
        <f t="shared" si="150"/>
        <v>4.1095890410958908</v>
      </c>
    </row>
    <row r="1551" spans="12:16" ht="15" hidden="1" customHeight="1">
      <c r="L1551" s="58">
        <f t="shared" si="148"/>
        <v>47783</v>
      </c>
      <c r="M1551" s="59">
        <f t="shared" si="146"/>
        <v>0</v>
      </c>
      <c r="N1551" s="59">
        <f t="shared" si="149"/>
        <v>50000</v>
      </c>
      <c r="O1551" s="59">
        <f t="shared" si="147"/>
        <v>6.8493150684931505</v>
      </c>
      <c r="P1551" s="59">
        <f t="shared" si="150"/>
        <v>4.1095890410958908</v>
      </c>
    </row>
    <row r="1552" spans="12:16" ht="15" hidden="1" customHeight="1">
      <c r="L1552" s="58">
        <f t="shared" si="148"/>
        <v>47784</v>
      </c>
      <c r="M1552" s="59">
        <f t="shared" si="146"/>
        <v>0</v>
      </c>
      <c r="N1552" s="59">
        <f t="shared" si="149"/>
        <v>50000</v>
      </c>
      <c r="O1552" s="59">
        <f t="shared" si="147"/>
        <v>6.8493150684931505</v>
      </c>
      <c r="P1552" s="59">
        <f t="shared" si="150"/>
        <v>4.1095890410958908</v>
      </c>
    </row>
    <row r="1553" spans="12:16" ht="15" hidden="1" customHeight="1">
      <c r="L1553" s="58">
        <f t="shared" si="148"/>
        <v>47785</v>
      </c>
      <c r="M1553" s="59">
        <f t="shared" si="146"/>
        <v>0</v>
      </c>
      <c r="N1553" s="59">
        <f t="shared" si="149"/>
        <v>50000</v>
      </c>
      <c r="O1553" s="59">
        <f t="shared" si="147"/>
        <v>6.8493150684931505</v>
      </c>
      <c r="P1553" s="59">
        <f t="shared" si="150"/>
        <v>4.1095890410958908</v>
      </c>
    </row>
    <row r="1554" spans="12:16" ht="15" hidden="1" customHeight="1">
      <c r="L1554" s="58">
        <f t="shared" si="148"/>
        <v>47786</v>
      </c>
      <c r="M1554" s="59">
        <f t="shared" si="146"/>
        <v>0</v>
      </c>
      <c r="N1554" s="59">
        <f t="shared" si="149"/>
        <v>50000</v>
      </c>
      <c r="O1554" s="59">
        <f t="shared" si="147"/>
        <v>6.8493150684931505</v>
      </c>
      <c r="P1554" s="59">
        <f t="shared" si="150"/>
        <v>4.1095890410958908</v>
      </c>
    </row>
    <row r="1555" spans="12:16" ht="15" hidden="1" customHeight="1">
      <c r="L1555" s="58">
        <f t="shared" si="148"/>
        <v>47787</v>
      </c>
      <c r="M1555" s="59">
        <f t="shared" ref="M1555:M1618" si="151">IFERROR(VLOOKUP(L1555,$B$19:$E$80,4,FALSE),0)</f>
        <v>0</v>
      </c>
      <c r="N1555" s="59">
        <f t="shared" si="149"/>
        <v>50000</v>
      </c>
      <c r="O1555" s="59">
        <f t="shared" ref="O1555:O1618" si="152">IFERROR(IF(ISNUMBER(N1554),N1554,$E$8)*IF(L1555&gt;=$J$8,$E$12,$E$12)/IF(MOD(YEAR(L1555),4),365,366)*IF(ISBLANK(L1554),L1555-$F$5,L1555-L1554),0)</f>
        <v>6.8493150684931505</v>
      </c>
      <c r="P1555" s="59">
        <f t="shared" si="150"/>
        <v>4.1095890410958908</v>
      </c>
    </row>
    <row r="1556" spans="12:16" ht="15" hidden="1" customHeight="1">
      <c r="L1556" s="58">
        <f t="shared" si="148"/>
        <v>47788</v>
      </c>
      <c r="M1556" s="59">
        <f t="shared" si="151"/>
        <v>0</v>
      </c>
      <c r="N1556" s="59">
        <f t="shared" si="149"/>
        <v>50000</v>
      </c>
      <c r="O1556" s="59">
        <f t="shared" si="152"/>
        <v>6.8493150684931505</v>
      </c>
      <c r="P1556" s="59">
        <f t="shared" si="150"/>
        <v>4.1095890410958908</v>
      </c>
    </row>
    <row r="1557" spans="12:16" ht="15" hidden="1" customHeight="1">
      <c r="L1557" s="58">
        <f t="shared" si="148"/>
        <v>47789</v>
      </c>
      <c r="M1557" s="59">
        <f t="shared" si="151"/>
        <v>0</v>
      </c>
      <c r="N1557" s="59">
        <f t="shared" si="149"/>
        <v>50000</v>
      </c>
      <c r="O1557" s="59">
        <f t="shared" si="152"/>
        <v>6.8493150684931505</v>
      </c>
      <c r="P1557" s="59">
        <f t="shared" si="150"/>
        <v>4.1095890410958908</v>
      </c>
    </row>
    <row r="1558" spans="12:16" ht="15" hidden="1" customHeight="1">
      <c r="L1558" s="58">
        <f t="shared" si="148"/>
        <v>47790</v>
      </c>
      <c r="M1558" s="59">
        <f t="shared" si="151"/>
        <v>0</v>
      </c>
      <c r="N1558" s="59">
        <f t="shared" si="149"/>
        <v>50000</v>
      </c>
      <c r="O1558" s="59">
        <f t="shared" si="152"/>
        <v>6.8493150684931505</v>
      </c>
      <c r="P1558" s="59">
        <f t="shared" si="150"/>
        <v>4.1095890410958908</v>
      </c>
    </row>
    <row r="1559" spans="12:16" ht="15" hidden="1" customHeight="1">
      <c r="L1559" s="58">
        <f t="shared" si="148"/>
        <v>47791</v>
      </c>
      <c r="M1559" s="59">
        <f t="shared" si="151"/>
        <v>0</v>
      </c>
      <c r="N1559" s="59">
        <f t="shared" si="149"/>
        <v>50000</v>
      </c>
      <c r="O1559" s="59">
        <f t="shared" si="152"/>
        <v>6.8493150684931505</v>
      </c>
      <c r="P1559" s="59">
        <f t="shared" si="150"/>
        <v>4.1095890410958908</v>
      </c>
    </row>
    <row r="1560" spans="12:16" ht="15" hidden="1" customHeight="1">
      <c r="L1560" s="58">
        <f t="shared" si="148"/>
        <v>47792</v>
      </c>
      <c r="M1560" s="59">
        <f t="shared" si="151"/>
        <v>0</v>
      </c>
      <c r="N1560" s="59">
        <f t="shared" si="149"/>
        <v>50000</v>
      </c>
      <c r="O1560" s="59">
        <f t="shared" si="152"/>
        <v>6.8493150684931505</v>
      </c>
      <c r="P1560" s="59">
        <f t="shared" si="150"/>
        <v>4.1095890410958908</v>
      </c>
    </row>
    <row r="1561" spans="12:16" ht="15" hidden="1" customHeight="1">
      <c r="L1561" s="58">
        <f t="shared" si="148"/>
        <v>47793</v>
      </c>
      <c r="M1561" s="59">
        <f t="shared" si="151"/>
        <v>0</v>
      </c>
      <c r="N1561" s="59">
        <f t="shared" si="149"/>
        <v>50000</v>
      </c>
      <c r="O1561" s="59">
        <f t="shared" si="152"/>
        <v>6.8493150684931505</v>
      </c>
      <c r="P1561" s="59">
        <f t="shared" si="150"/>
        <v>4.1095890410958908</v>
      </c>
    </row>
    <row r="1562" spans="12:16" ht="15" hidden="1" customHeight="1">
      <c r="L1562" s="58">
        <f t="shared" si="148"/>
        <v>47794</v>
      </c>
      <c r="M1562" s="59">
        <f t="shared" si="151"/>
        <v>0</v>
      </c>
      <c r="N1562" s="59">
        <f t="shared" si="149"/>
        <v>50000</v>
      </c>
      <c r="O1562" s="59">
        <f t="shared" si="152"/>
        <v>6.8493150684931505</v>
      </c>
      <c r="P1562" s="59">
        <f t="shared" si="150"/>
        <v>4.1095890410958908</v>
      </c>
    </row>
    <row r="1563" spans="12:16" ht="15" hidden="1" customHeight="1">
      <c r="L1563" s="58">
        <f t="shared" si="148"/>
        <v>47795</v>
      </c>
      <c r="M1563" s="59">
        <f t="shared" si="151"/>
        <v>0</v>
      </c>
      <c r="N1563" s="59">
        <f t="shared" si="149"/>
        <v>50000</v>
      </c>
      <c r="O1563" s="59">
        <f t="shared" si="152"/>
        <v>6.8493150684931505</v>
      </c>
      <c r="P1563" s="59">
        <f t="shared" si="150"/>
        <v>4.1095890410958908</v>
      </c>
    </row>
    <row r="1564" spans="12:16" ht="15" hidden="1" customHeight="1">
      <c r="L1564" s="58">
        <f t="shared" si="148"/>
        <v>47796</v>
      </c>
      <c r="M1564" s="59">
        <f t="shared" si="151"/>
        <v>0</v>
      </c>
      <c r="N1564" s="59">
        <f t="shared" si="149"/>
        <v>50000</v>
      </c>
      <c r="O1564" s="59">
        <f t="shared" si="152"/>
        <v>6.8493150684931505</v>
      </c>
      <c r="P1564" s="59">
        <f t="shared" si="150"/>
        <v>4.1095890410958908</v>
      </c>
    </row>
    <row r="1565" spans="12:16" ht="15" hidden="1" customHeight="1">
      <c r="L1565" s="58">
        <f t="shared" si="148"/>
        <v>47797</v>
      </c>
      <c r="M1565" s="59">
        <f t="shared" si="151"/>
        <v>0</v>
      </c>
      <c r="N1565" s="59">
        <f t="shared" si="149"/>
        <v>50000</v>
      </c>
      <c r="O1565" s="59">
        <f t="shared" si="152"/>
        <v>6.8493150684931505</v>
      </c>
      <c r="P1565" s="59">
        <f t="shared" si="150"/>
        <v>4.1095890410958908</v>
      </c>
    </row>
    <row r="1566" spans="12:16" ht="15" hidden="1" customHeight="1">
      <c r="L1566" s="58">
        <f t="shared" si="148"/>
        <v>47798</v>
      </c>
      <c r="M1566" s="59">
        <f t="shared" si="151"/>
        <v>0</v>
      </c>
      <c r="N1566" s="59">
        <f t="shared" si="149"/>
        <v>50000</v>
      </c>
      <c r="O1566" s="59">
        <f t="shared" si="152"/>
        <v>6.8493150684931505</v>
      </c>
      <c r="P1566" s="59">
        <f t="shared" si="150"/>
        <v>4.1095890410958908</v>
      </c>
    </row>
    <row r="1567" spans="12:16" ht="15" hidden="1" customHeight="1">
      <c r="L1567" s="58">
        <f t="shared" si="148"/>
        <v>47799</v>
      </c>
      <c r="M1567" s="59">
        <f t="shared" si="151"/>
        <v>0</v>
      </c>
      <c r="N1567" s="59">
        <f t="shared" si="149"/>
        <v>50000</v>
      </c>
      <c r="O1567" s="59">
        <f t="shared" si="152"/>
        <v>6.8493150684931505</v>
      </c>
      <c r="P1567" s="59">
        <f t="shared" si="150"/>
        <v>4.1095890410958908</v>
      </c>
    </row>
    <row r="1568" spans="12:16" ht="15" hidden="1" customHeight="1">
      <c r="L1568" s="58">
        <f t="shared" si="148"/>
        <v>47800</v>
      </c>
      <c r="M1568" s="59">
        <f t="shared" si="151"/>
        <v>0</v>
      </c>
      <c r="N1568" s="59">
        <f t="shared" si="149"/>
        <v>50000</v>
      </c>
      <c r="O1568" s="59">
        <f t="shared" si="152"/>
        <v>6.8493150684931505</v>
      </c>
      <c r="P1568" s="59">
        <f t="shared" si="150"/>
        <v>4.1095890410958908</v>
      </c>
    </row>
    <row r="1569" spans="12:16" ht="15" hidden="1" customHeight="1">
      <c r="L1569" s="58">
        <f t="shared" si="148"/>
        <v>47801</v>
      </c>
      <c r="M1569" s="59">
        <f t="shared" si="151"/>
        <v>0</v>
      </c>
      <c r="N1569" s="59">
        <f t="shared" si="149"/>
        <v>50000</v>
      </c>
      <c r="O1569" s="59">
        <f t="shared" si="152"/>
        <v>6.8493150684931505</v>
      </c>
      <c r="P1569" s="59">
        <f t="shared" si="150"/>
        <v>4.1095890410958908</v>
      </c>
    </row>
    <row r="1570" spans="12:16" ht="15" hidden="1" customHeight="1">
      <c r="L1570" s="58">
        <f t="shared" ref="L1570:L1633" si="153">IFERROR(IF(MAX(L1569+1,$F$5+1)&gt;Дата_погашения_Займа,"-",MAX(L1569+1,$F$5+1)),"-")</f>
        <v>47802</v>
      </c>
      <c r="M1570" s="59">
        <f t="shared" si="151"/>
        <v>0</v>
      </c>
      <c r="N1570" s="59">
        <f t="shared" si="149"/>
        <v>50000</v>
      </c>
      <c r="O1570" s="59">
        <f t="shared" si="152"/>
        <v>6.8493150684931505</v>
      </c>
      <c r="P1570" s="59">
        <f t="shared" si="150"/>
        <v>4.1095890410958908</v>
      </c>
    </row>
    <row r="1571" spans="12:16" ht="15" hidden="1" customHeight="1">
      <c r="L1571" s="58">
        <f t="shared" si="153"/>
        <v>47803</v>
      </c>
      <c r="M1571" s="59">
        <f t="shared" si="151"/>
        <v>0</v>
      </c>
      <c r="N1571" s="59">
        <f t="shared" si="149"/>
        <v>50000</v>
      </c>
      <c r="O1571" s="59">
        <f t="shared" si="152"/>
        <v>6.8493150684931505</v>
      </c>
      <c r="P1571" s="59">
        <f t="shared" si="150"/>
        <v>4.1095890410958908</v>
      </c>
    </row>
    <row r="1572" spans="12:16" ht="15" hidden="1" customHeight="1">
      <c r="L1572" s="58">
        <f t="shared" si="153"/>
        <v>47804</v>
      </c>
      <c r="M1572" s="59">
        <f t="shared" si="151"/>
        <v>0</v>
      </c>
      <c r="N1572" s="59">
        <f t="shared" si="149"/>
        <v>50000</v>
      </c>
      <c r="O1572" s="59">
        <f t="shared" si="152"/>
        <v>6.8493150684931505</v>
      </c>
      <c r="P1572" s="59">
        <f t="shared" si="150"/>
        <v>4.1095890410958908</v>
      </c>
    </row>
    <row r="1573" spans="12:16" ht="15" hidden="1" customHeight="1">
      <c r="L1573" s="58">
        <f t="shared" si="153"/>
        <v>47805</v>
      </c>
      <c r="M1573" s="59">
        <f t="shared" si="151"/>
        <v>0</v>
      </c>
      <c r="N1573" s="59">
        <f t="shared" si="149"/>
        <v>50000</v>
      </c>
      <c r="O1573" s="59">
        <f t="shared" si="152"/>
        <v>6.8493150684931505</v>
      </c>
      <c r="P1573" s="59">
        <f t="shared" si="150"/>
        <v>4.1095890410958908</v>
      </c>
    </row>
    <row r="1574" spans="12:16" ht="15" hidden="1" customHeight="1">
      <c r="L1574" s="58">
        <f t="shared" si="153"/>
        <v>47806</v>
      </c>
      <c r="M1574" s="59">
        <f t="shared" si="151"/>
        <v>0</v>
      </c>
      <c r="N1574" s="59">
        <f t="shared" si="149"/>
        <v>50000</v>
      </c>
      <c r="O1574" s="59">
        <f t="shared" si="152"/>
        <v>6.8493150684931505</v>
      </c>
      <c r="P1574" s="59">
        <f t="shared" si="150"/>
        <v>4.1095890410958908</v>
      </c>
    </row>
    <row r="1575" spans="12:16" ht="15" hidden="1" customHeight="1">
      <c r="L1575" s="58">
        <f t="shared" si="153"/>
        <v>47807</v>
      </c>
      <c r="M1575" s="59">
        <f t="shared" si="151"/>
        <v>0</v>
      </c>
      <c r="N1575" s="59">
        <f t="shared" si="149"/>
        <v>50000</v>
      </c>
      <c r="O1575" s="59">
        <f t="shared" si="152"/>
        <v>6.8493150684931505</v>
      </c>
      <c r="P1575" s="59">
        <f t="shared" si="150"/>
        <v>4.1095890410958908</v>
      </c>
    </row>
    <row r="1576" spans="12:16" ht="15" hidden="1" customHeight="1">
      <c r="L1576" s="58">
        <f t="shared" si="153"/>
        <v>47808</v>
      </c>
      <c r="M1576" s="59">
        <f t="shared" si="151"/>
        <v>0</v>
      </c>
      <c r="N1576" s="59">
        <f t="shared" si="149"/>
        <v>50000</v>
      </c>
      <c r="O1576" s="59">
        <f t="shared" si="152"/>
        <v>6.8493150684931505</v>
      </c>
      <c r="P1576" s="59">
        <f t="shared" si="150"/>
        <v>4.1095890410958908</v>
      </c>
    </row>
    <row r="1577" spans="12:16" ht="15" hidden="1" customHeight="1">
      <c r="L1577" s="58">
        <f t="shared" si="153"/>
        <v>47809</v>
      </c>
      <c r="M1577" s="59">
        <f t="shared" si="151"/>
        <v>0</v>
      </c>
      <c r="N1577" s="59">
        <f t="shared" si="149"/>
        <v>50000</v>
      </c>
      <c r="O1577" s="59">
        <f t="shared" si="152"/>
        <v>6.8493150684931505</v>
      </c>
      <c r="P1577" s="59">
        <f t="shared" si="150"/>
        <v>4.1095890410958908</v>
      </c>
    </row>
    <row r="1578" spans="12:16" ht="15" hidden="1" customHeight="1">
      <c r="L1578" s="58">
        <f t="shared" si="153"/>
        <v>47810</v>
      </c>
      <c r="M1578" s="59">
        <f t="shared" si="151"/>
        <v>0</v>
      </c>
      <c r="N1578" s="59">
        <f t="shared" si="149"/>
        <v>50000</v>
      </c>
      <c r="O1578" s="59">
        <f t="shared" si="152"/>
        <v>6.8493150684931505</v>
      </c>
      <c r="P1578" s="59">
        <f t="shared" si="150"/>
        <v>4.1095890410958908</v>
      </c>
    </row>
    <row r="1579" spans="12:16" ht="15" hidden="1" customHeight="1">
      <c r="L1579" s="58">
        <f t="shared" si="153"/>
        <v>47811</v>
      </c>
      <c r="M1579" s="59">
        <f t="shared" si="151"/>
        <v>0</v>
      </c>
      <c r="N1579" s="59">
        <f t="shared" si="149"/>
        <v>50000</v>
      </c>
      <c r="O1579" s="59">
        <f t="shared" si="152"/>
        <v>6.8493150684931505</v>
      </c>
      <c r="P1579" s="59">
        <f t="shared" si="150"/>
        <v>4.1095890410958908</v>
      </c>
    </row>
    <row r="1580" spans="12:16" ht="15" hidden="1" customHeight="1">
      <c r="L1580" s="58">
        <f t="shared" si="153"/>
        <v>47812</v>
      </c>
      <c r="M1580" s="59">
        <f t="shared" si="151"/>
        <v>0</v>
      </c>
      <c r="N1580" s="59">
        <f t="shared" si="149"/>
        <v>50000</v>
      </c>
      <c r="O1580" s="59">
        <f t="shared" si="152"/>
        <v>6.8493150684931505</v>
      </c>
      <c r="P1580" s="59">
        <f t="shared" si="150"/>
        <v>4.1095890410958908</v>
      </c>
    </row>
    <row r="1581" spans="12:16" ht="15" hidden="1" customHeight="1">
      <c r="L1581" s="58">
        <f t="shared" si="153"/>
        <v>47813</v>
      </c>
      <c r="M1581" s="59">
        <f t="shared" si="151"/>
        <v>0</v>
      </c>
      <c r="N1581" s="59">
        <f t="shared" si="149"/>
        <v>50000</v>
      </c>
      <c r="O1581" s="59">
        <f t="shared" si="152"/>
        <v>6.8493150684931505</v>
      </c>
      <c r="P1581" s="59">
        <f t="shared" si="150"/>
        <v>4.1095890410958908</v>
      </c>
    </row>
    <row r="1582" spans="12:16" ht="15" hidden="1" customHeight="1">
      <c r="L1582" s="58">
        <f t="shared" si="153"/>
        <v>47814</v>
      </c>
      <c r="M1582" s="59">
        <f t="shared" si="151"/>
        <v>0</v>
      </c>
      <c r="N1582" s="59">
        <f t="shared" si="149"/>
        <v>50000</v>
      </c>
      <c r="O1582" s="59">
        <f t="shared" si="152"/>
        <v>6.8493150684931505</v>
      </c>
      <c r="P1582" s="59">
        <f t="shared" si="150"/>
        <v>4.1095890410958908</v>
      </c>
    </row>
    <row r="1583" spans="12:16" ht="15" hidden="1" customHeight="1">
      <c r="L1583" s="58">
        <f t="shared" si="153"/>
        <v>47815</v>
      </c>
      <c r="M1583" s="59">
        <f t="shared" si="151"/>
        <v>0</v>
      </c>
      <c r="N1583" s="59">
        <f t="shared" si="149"/>
        <v>50000</v>
      </c>
      <c r="O1583" s="59">
        <f t="shared" si="152"/>
        <v>6.8493150684931505</v>
      </c>
      <c r="P1583" s="59">
        <f t="shared" si="150"/>
        <v>4.1095890410958908</v>
      </c>
    </row>
    <row r="1584" spans="12:16" ht="15" hidden="1" customHeight="1">
      <c r="L1584" s="58">
        <f t="shared" si="153"/>
        <v>47816</v>
      </c>
      <c r="M1584" s="59">
        <f t="shared" si="151"/>
        <v>0</v>
      </c>
      <c r="N1584" s="59">
        <f t="shared" ref="N1584:N1647" si="154">IF(ISNUMBER(N1583),N1583-M1584,$E$8)</f>
        <v>50000</v>
      </c>
      <c r="O1584" s="59">
        <f t="shared" si="152"/>
        <v>6.8493150684931505</v>
      </c>
      <c r="P1584" s="59">
        <f t="shared" ref="P1584:P1647" si="155">IFERROR(IF(ISNUMBER(N1583),N1583,$E$8)*3%/IF(MOD(YEAR(L1584),4),365,366)*IF(ISBLANK(L1583),(L1584-$F$5),L1584-L1583),0)</f>
        <v>4.1095890410958908</v>
      </c>
    </row>
    <row r="1585" spans="12:16" ht="15" hidden="1" customHeight="1">
      <c r="L1585" s="58">
        <f t="shared" si="153"/>
        <v>47817</v>
      </c>
      <c r="M1585" s="59">
        <f t="shared" si="151"/>
        <v>0</v>
      </c>
      <c r="N1585" s="59">
        <f t="shared" si="154"/>
        <v>50000</v>
      </c>
      <c r="O1585" s="59">
        <f t="shared" si="152"/>
        <v>6.8493150684931505</v>
      </c>
      <c r="P1585" s="59">
        <f t="shared" si="155"/>
        <v>4.1095890410958908</v>
      </c>
    </row>
    <row r="1586" spans="12:16" ht="15" hidden="1" customHeight="1">
      <c r="L1586" s="58">
        <f t="shared" si="153"/>
        <v>47818</v>
      </c>
      <c r="M1586" s="59">
        <f t="shared" si="151"/>
        <v>0</v>
      </c>
      <c r="N1586" s="59">
        <f t="shared" si="154"/>
        <v>50000</v>
      </c>
      <c r="O1586" s="59">
        <f t="shared" si="152"/>
        <v>6.8493150684931505</v>
      </c>
      <c r="P1586" s="59">
        <f t="shared" si="155"/>
        <v>4.1095890410958908</v>
      </c>
    </row>
    <row r="1587" spans="12:16" ht="15" hidden="1" customHeight="1">
      <c r="L1587" s="58">
        <f t="shared" si="153"/>
        <v>47819</v>
      </c>
      <c r="M1587" s="59">
        <f t="shared" si="151"/>
        <v>0</v>
      </c>
      <c r="N1587" s="59">
        <f t="shared" si="154"/>
        <v>50000</v>
      </c>
      <c r="O1587" s="59">
        <f t="shared" si="152"/>
        <v>6.8493150684931505</v>
      </c>
      <c r="P1587" s="59">
        <f t="shared" si="155"/>
        <v>4.1095890410958908</v>
      </c>
    </row>
    <row r="1588" spans="12:16" ht="15" hidden="1" customHeight="1">
      <c r="L1588" s="58">
        <f t="shared" si="153"/>
        <v>47820</v>
      </c>
      <c r="M1588" s="59">
        <f t="shared" si="151"/>
        <v>0</v>
      </c>
      <c r="N1588" s="59">
        <f t="shared" si="154"/>
        <v>50000</v>
      </c>
      <c r="O1588" s="59">
        <f t="shared" si="152"/>
        <v>6.8493150684931505</v>
      </c>
      <c r="P1588" s="59">
        <f t="shared" si="155"/>
        <v>4.1095890410958908</v>
      </c>
    </row>
    <row r="1589" spans="12:16" ht="15" hidden="1" customHeight="1">
      <c r="L1589" s="58">
        <f t="shared" si="153"/>
        <v>47821</v>
      </c>
      <c r="M1589" s="59">
        <f t="shared" si="151"/>
        <v>0</v>
      </c>
      <c r="N1589" s="59">
        <f t="shared" si="154"/>
        <v>50000</v>
      </c>
      <c r="O1589" s="59">
        <f t="shared" si="152"/>
        <v>6.8493150684931505</v>
      </c>
      <c r="P1589" s="59">
        <f t="shared" si="155"/>
        <v>4.1095890410958908</v>
      </c>
    </row>
    <row r="1590" spans="12:16" ht="15" hidden="1" customHeight="1">
      <c r="L1590" s="58">
        <f t="shared" si="153"/>
        <v>47822</v>
      </c>
      <c r="M1590" s="59">
        <f t="shared" si="151"/>
        <v>0</v>
      </c>
      <c r="N1590" s="59">
        <f t="shared" si="154"/>
        <v>50000</v>
      </c>
      <c r="O1590" s="59">
        <f t="shared" si="152"/>
        <v>6.8493150684931505</v>
      </c>
      <c r="P1590" s="59">
        <f t="shared" si="155"/>
        <v>4.1095890410958908</v>
      </c>
    </row>
    <row r="1591" spans="12:16" ht="15" hidden="1" customHeight="1">
      <c r="L1591" s="58">
        <f t="shared" si="153"/>
        <v>47823</v>
      </c>
      <c r="M1591" s="59">
        <f t="shared" si="151"/>
        <v>0</v>
      </c>
      <c r="N1591" s="59">
        <f t="shared" si="154"/>
        <v>50000</v>
      </c>
      <c r="O1591" s="59">
        <f t="shared" si="152"/>
        <v>6.8493150684931505</v>
      </c>
      <c r="P1591" s="59">
        <f t="shared" si="155"/>
        <v>4.1095890410958908</v>
      </c>
    </row>
    <row r="1592" spans="12:16" ht="15" hidden="1" customHeight="1">
      <c r="L1592" s="58">
        <f t="shared" si="153"/>
        <v>47824</v>
      </c>
      <c r="M1592" s="59">
        <f t="shared" si="151"/>
        <v>0</v>
      </c>
      <c r="N1592" s="59">
        <f t="shared" si="154"/>
        <v>50000</v>
      </c>
      <c r="O1592" s="59">
        <f t="shared" si="152"/>
        <v>6.8493150684931505</v>
      </c>
      <c r="P1592" s="59">
        <f t="shared" si="155"/>
        <v>4.1095890410958908</v>
      </c>
    </row>
    <row r="1593" spans="12:16" ht="15" hidden="1" customHeight="1">
      <c r="L1593" s="58">
        <f t="shared" si="153"/>
        <v>47825</v>
      </c>
      <c r="M1593" s="59">
        <f t="shared" si="151"/>
        <v>0</v>
      </c>
      <c r="N1593" s="59">
        <f t="shared" si="154"/>
        <v>50000</v>
      </c>
      <c r="O1593" s="59">
        <f t="shared" si="152"/>
        <v>6.8493150684931505</v>
      </c>
      <c r="P1593" s="59">
        <f t="shared" si="155"/>
        <v>4.1095890410958908</v>
      </c>
    </row>
    <row r="1594" spans="12:16" ht="15" hidden="1" customHeight="1">
      <c r="L1594" s="58">
        <f t="shared" si="153"/>
        <v>47826</v>
      </c>
      <c r="M1594" s="59">
        <f t="shared" si="151"/>
        <v>0</v>
      </c>
      <c r="N1594" s="59">
        <f t="shared" si="154"/>
        <v>50000</v>
      </c>
      <c r="O1594" s="59">
        <f t="shared" si="152"/>
        <v>6.8493150684931505</v>
      </c>
      <c r="P1594" s="59">
        <f t="shared" si="155"/>
        <v>4.1095890410958908</v>
      </c>
    </row>
    <row r="1595" spans="12:16" ht="15" hidden="1" customHeight="1">
      <c r="L1595" s="58">
        <f t="shared" si="153"/>
        <v>47827</v>
      </c>
      <c r="M1595" s="59">
        <f t="shared" si="151"/>
        <v>0</v>
      </c>
      <c r="N1595" s="59">
        <f t="shared" si="154"/>
        <v>50000</v>
      </c>
      <c r="O1595" s="59">
        <f t="shared" si="152"/>
        <v>6.8493150684931505</v>
      </c>
      <c r="P1595" s="59">
        <f t="shared" si="155"/>
        <v>4.1095890410958908</v>
      </c>
    </row>
    <row r="1596" spans="12:16" ht="15" hidden="1" customHeight="1">
      <c r="L1596" s="58">
        <f t="shared" si="153"/>
        <v>47828</v>
      </c>
      <c r="M1596" s="59">
        <f t="shared" si="151"/>
        <v>0</v>
      </c>
      <c r="N1596" s="59">
        <f t="shared" si="154"/>
        <v>50000</v>
      </c>
      <c r="O1596" s="59">
        <f t="shared" si="152"/>
        <v>6.8493150684931505</v>
      </c>
      <c r="P1596" s="59">
        <f t="shared" si="155"/>
        <v>4.1095890410958908</v>
      </c>
    </row>
    <row r="1597" spans="12:16" ht="15" hidden="1" customHeight="1">
      <c r="L1597" s="58">
        <f t="shared" si="153"/>
        <v>47829</v>
      </c>
      <c r="M1597" s="59">
        <f t="shared" si="151"/>
        <v>0</v>
      </c>
      <c r="N1597" s="59">
        <f t="shared" si="154"/>
        <v>50000</v>
      </c>
      <c r="O1597" s="59">
        <f t="shared" si="152"/>
        <v>6.8493150684931505</v>
      </c>
      <c r="P1597" s="59">
        <f t="shared" si="155"/>
        <v>4.1095890410958908</v>
      </c>
    </row>
    <row r="1598" spans="12:16" ht="15" hidden="1" customHeight="1">
      <c r="L1598" s="58">
        <f t="shared" si="153"/>
        <v>47830</v>
      </c>
      <c r="M1598" s="59">
        <f t="shared" si="151"/>
        <v>0</v>
      </c>
      <c r="N1598" s="59">
        <f t="shared" si="154"/>
        <v>50000</v>
      </c>
      <c r="O1598" s="59">
        <f t="shared" si="152"/>
        <v>6.8493150684931505</v>
      </c>
      <c r="P1598" s="59">
        <f t="shared" si="155"/>
        <v>4.1095890410958908</v>
      </c>
    </row>
    <row r="1599" spans="12:16" ht="15" hidden="1" customHeight="1">
      <c r="L1599" s="58">
        <f t="shared" si="153"/>
        <v>47831</v>
      </c>
      <c r="M1599" s="59">
        <f t="shared" si="151"/>
        <v>0</v>
      </c>
      <c r="N1599" s="59">
        <f t="shared" si="154"/>
        <v>50000</v>
      </c>
      <c r="O1599" s="59">
        <f t="shared" si="152"/>
        <v>6.8493150684931505</v>
      </c>
      <c r="P1599" s="59">
        <f t="shared" si="155"/>
        <v>4.1095890410958908</v>
      </c>
    </row>
    <row r="1600" spans="12:16" ht="15" hidden="1" customHeight="1">
      <c r="L1600" s="58">
        <f t="shared" si="153"/>
        <v>47832</v>
      </c>
      <c r="M1600" s="59">
        <f t="shared" si="151"/>
        <v>0</v>
      </c>
      <c r="N1600" s="59">
        <f t="shared" si="154"/>
        <v>50000</v>
      </c>
      <c r="O1600" s="59">
        <f t="shared" si="152"/>
        <v>6.8493150684931505</v>
      </c>
      <c r="P1600" s="59">
        <f t="shared" si="155"/>
        <v>4.1095890410958908</v>
      </c>
    </row>
    <row r="1601" spans="12:16" ht="15" hidden="1" customHeight="1">
      <c r="L1601" s="58">
        <f t="shared" si="153"/>
        <v>47833</v>
      </c>
      <c r="M1601" s="59">
        <f t="shared" si="151"/>
        <v>0</v>
      </c>
      <c r="N1601" s="59">
        <f t="shared" si="154"/>
        <v>50000</v>
      </c>
      <c r="O1601" s="59">
        <f t="shared" si="152"/>
        <v>6.8493150684931505</v>
      </c>
      <c r="P1601" s="59">
        <f t="shared" si="155"/>
        <v>4.1095890410958908</v>
      </c>
    </row>
    <row r="1602" spans="12:16" ht="15" hidden="1" customHeight="1">
      <c r="L1602" s="58">
        <f t="shared" si="153"/>
        <v>47834</v>
      </c>
      <c r="M1602" s="59">
        <f t="shared" si="151"/>
        <v>0</v>
      </c>
      <c r="N1602" s="59">
        <f t="shared" si="154"/>
        <v>50000</v>
      </c>
      <c r="O1602" s="59">
        <f t="shared" si="152"/>
        <v>6.8493150684931505</v>
      </c>
      <c r="P1602" s="59">
        <f t="shared" si="155"/>
        <v>4.1095890410958908</v>
      </c>
    </row>
    <row r="1603" spans="12:16" ht="15" hidden="1" customHeight="1">
      <c r="L1603" s="58">
        <f t="shared" si="153"/>
        <v>47835</v>
      </c>
      <c r="M1603" s="59">
        <f t="shared" si="151"/>
        <v>0</v>
      </c>
      <c r="N1603" s="59">
        <f t="shared" si="154"/>
        <v>50000</v>
      </c>
      <c r="O1603" s="59">
        <f t="shared" si="152"/>
        <v>6.8493150684931505</v>
      </c>
      <c r="P1603" s="59">
        <f t="shared" si="155"/>
        <v>4.1095890410958908</v>
      </c>
    </row>
    <row r="1604" spans="12:16" ht="15" hidden="1" customHeight="1">
      <c r="L1604" s="58">
        <f t="shared" si="153"/>
        <v>47836</v>
      </c>
      <c r="M1604" s="59">
        <f t="shared" si="151"/>
        <v>0</v>
      </c>
      <c r="N1604" s="59">
        <f t="shared" si="154"/>
        <v>50000</v>
      </c>
      <c r="O1604" s="59">
        <f t="shared" si="152"/>
        <v>6.8493150684931505</v>
      </c>
      <c r="P1604" s="59">
        <f t="shared" si="155"/>
        <v>4.1095890410958908</v>
      </c>
    </row>
    <row r="1605" spans="12:16" ht="15" hidden="1" customHeight="1">
      <c r="L1605" s="58">
        <f t="shared" si="153"/>
        <v>47837</v>
      </c>
      <c r="M1605" s="59">
        <f t="shared" si="151"/>
        <v>0</v>
      </c>
      <c r="N1605" s="59">
        <f t="shared" si="154"/>
        <v>50000</v>
      </c>
      <c r="O1605" s="59">
        <f t="shared" si="152"/>
        <v>6.8493150684931505</v>
      </c>
      <c r="P1605" s="59">
        <f t="shared" si="155"/>
        <v>4.1095890410958908</v>
      </c>
    </row>
    <row r="1606" spans="12:16" ht="15" hidden="1" customHeight="1">
      <c r="L1606" s="58">
        <f t="shared" si="153"/>
        <v>47838</v>
      </c>
      <c r="M1606" s="59">
        <f t="shared" si="151"/>
        <v>0</v>
      </c>
      <c r="N1606" s="59">
        <f t="shared" si="154"/>
        <v>50000</v>
      </c>
      <c r="O1606" s="59">
        <f t="shared" si="152"/>
        <v>6.8493150684931505</v>
      </c>
      <c r="P1606" s="59">
        <f t="shared" si="155"/>
        <v>4.1095890410958908</v>
      </c>
    </row>
    <row r="1607" spans="12:16" ht="15" hidden="1" customHeight="1">
      <c r="L1607" s="58">
        <f t="shared" si="153"/>
        <v>47839</v>
      </c>
      <c r="M1607" s="59">
        <f t="shared" si="151"/>
        <v>0</v>
      </c>
      <c r="N1607" s="59">
        <f t="shared" si="154"/>
        <v>50000</v>
      </c>
      <c r="O1607" s="59">
        <f t="shared" si="152"/>
        <v>6.8493150684931505</v>
      </c>
      <c r="P1607" s="59">
        <f t="shared" si="155"/>
        <v>4.1095890410958908</v>
      </c>
    </row>
    <row r="1608" spans="12:16" ht="15" hidden="1" customHeight="1">
      <c r="L1608" s="58">
        <f t="shared" si="153"/>
        <v>47840</v>
      </c>
      <c r="M1608" s="59">
        <f t="shared" si="151"/>
        <v>0</v>
      </c>
      <c r="N1608" s="59">
        <f t="shared" si="154"/>
        <v>50000</v>
      </c>
      <c r="O1608" s="59">
        <f t="shared" si="152"/>
        <v>6.8493150684931505</v>
      </c>
      <c r="P1608" s="59">
        <f t="shared" si="155"/>
        <v>4.1095890410958908</v>
      </c>
    </row>
    <row r="1609" spans="12:16" ht="15" hidden="1" customHeight="1">
      <c r="L1609" s="58">
        <f t="shared" si="153"/>
        <v>47841</v>
      </c>
      <c r="M1609" s="59">
        <f t="shared" si="151"/>
        <v>0</v>
      </c>
      <c r="N1609" s="59">
        <f t="shared" si="154"/>
        <v>50000</v>
      </c>
      <c r="O1609" s="59">
        <f t="shared" si="152"/>
        <v>6.8493150684931505</v>
      </c>
      <c r="P1609" s="59">
        <f t="shared" si="155"/>
        <v>4.1095890410958908</v>
      </c>
    </row>
    <row r="1610" spans="12:16" ht="15" hidden="1" customHeight="1">
      <c r="L1610" s="58">
        <f t="shared" si="153"/>
        <v>47842</v>
      </c>
      <c r="M1610" s="59">
        <f t="shared" si="151"/>
        <v>0</v>
      </c>
      <c r="N1610" s="59">
        <f t="shared" si="154"/>
        <v>50000</v>
      </c>
      <c r="O1610" s="59">
        <f t="shared" si="152"/>
        <v>6.8493150684931505</v>
      </c>
      <c r="P1610" s="59">
        <f t="shared" si="155"/>
        <v>4.1095890410958908</v>
      </c>
    </row>
    <row r="1611" spans="12:16" ht="15" hidden="1" customHeight="1">
      <c r="L1611" s="58">
        <f t="shared" si="153"/>
        <v>47843</v>
      </c>
      <c r="M1611" s="59">
        <f t="shared" si="151"/>
        <v>0</v>
      </c>
      <c r="N1611" s="59">
        <f t="shared" si="154"/>
        <v>50000</v>
      </c>
      <c r="O1611" s="59">
        <f t="shared" si="152"/>
        <v>6.8493150684931505</v>
      </c>
      <c r="P1611" s="59">
        <f t="shared" si="155"/>
        <v>4.1095890410958908</v>
      </c>
    </row>
    <row r="1612" spans="12:16" ht="15" hidden="1" customHeight="1">
      <c r="L1612" s="58">
        <f t="shared" si="153"/>
        <v>47844</v>
      </c>
      <c r="M1612" s="59">
        <f t="shared" si="151"/>
        <v>0</v>
      </c>
      <c r="N1612" s="59">
        <f t="shared" si="154"/>
        <v>50000</v>
      </c>
      <c r="O1612" s="59">
        <f t="shared" si="152"/>
        <v>6.8493150684931505</v>
      </c>
      <c r="P1612" s="59">
        <f t="shared" si="155"/>
        <v>4.1095890410958908</v>
      </c>
    </row>
    <row r="1613" spans="12:16" ht="15" hidden="1" customHeight="1">
      <c r="L1613" s="58">
        <f t="shared" si="153"/>
        <v>47845</v>
      </c>
      <c r="M1613" s="59">
        <f t="shared" si="151"/>
        <v>0</v>
      </c>
      <c r="N1613" s="59">
        <f t="shared" si="154"/>
        <v>50000</v>
      </c>
      <c r="O1613" s="59">
        <f t="shared" si="152"/>
        <v>6.8493150684931505</v>
      </c>
      <c r="P1613" s="59">
        <f t="shared" si="155"/>
        <v>4.1095890410958908</v>
      </c>
    </row>
    <row r="1614" spans="12:16" ht="15" hidden="1" customHeight="1">
      <c r="L1614" s="58">
        <f t="shared" si="153"/>
        <v>47846</v>
      </c>
      <c r="M1614" s="59">
        <f t="shared" si="151"/>
        <v>0</v>
      </c>
      <c r="N1614" s="59">
        <f t="shared" si="154"/>
        <v>50000</v>
      </c>
      <c r="O1614" s="59">
        <f t="shared" si="152"/>
        <v>6.8493150684931505</v>
      </c>
      <c r="P1614" s="59">
        <f t="shared" si="155"/>
        <v>4.1095890410958908</v>
      </c>
    </row>
    <row r="1615" spans="12:16" ht="15" hidden="1" customHeight="1">
      <c r="L1615" s="58">
        <f t="shared" si="153"/>
        <v>47847</v>
      </c>
      <c r="M1615" s="59">
        <f t="shared" si="151"/>
        <v>0</v>
      </c>
      <c r="N1615" s="59">
        <f t="shared" si="154"/>
        <v>50000</v>
      </c>
      <c r="O1615" s="59">
        <f t="shared" si="152"/>
        <v>6.8493150684931505</v>
      </c>
      <c r="P1615" s="59">
        <f t="shared" si="155"/>
        <v>4.1095890410958908</v>
      </c>
    </row>
    <row r="1616" spans="12:16" ht="15" hidden="1" customHeight="1">
      <c r="L1616" s="58">
        <f t="shared" si="153"/>
        <v>47848</v>
      </c>
      <c r="M1616" s="59">
        <f t="shared" si="151"/>
        <v>0</v>
      </c>
      <c r="N1616" s="59">
        <f t="shared" si="154"/>
        <v>50000</v>
      </c>
      <c r="O1616" s="59">
        <f t="shared" si="152"/>
        <v>6.8493150684931505</v>
      </c>
      <c r="P1616" s="59">
        <f t="shared" si="155"/>
        <v>4.1095890410958908</v>
      </c>
    </row>
    <row r="1617" spans="12:16" ht="15" hidden="1" customHeight="1">
      <c r="L1617" s="58">
        <f t="shared" si="153"/>
        <v>47849</v>
      </c>
      <c r="M1617" s="59">
        <f t="shared" si="151"/>
        <v>0</v>
      </c>
      <c r="N1617" s="59">
        <f t="shared" si="154"/>
        <v>50000</v>
      </c>
      <c r="O1617" s="59">
        <f t="shared" si="152"/>
        <v>6.8493150684931505</v>
      </c>
      <c r="P1617" s="59">
        <f t="shared" si="155"/>
        <v>4.1095890410958908</v>
      </c>
    </row>
    <row r="1618" spans="12:16" ht="15" hidden="1" customHeight="1">
      <c r="L1618" s="58">
        <f t="shared" si="153"/>
        <v>47850</v>
      </c>
      <c r="M1618" s="59">
        <f t="shared" si="151"/>
        <v>0</v>
      </c>
      <c r="N1618" s="59">
        <f t="shared" si="154"/>
        <v>50000</v>
      </c>
      <c r="O1618" s="59">
        <f t="shared" si="152"/>
        <v>6.8493150684931505</v>
      </c>
      <c r="P1618" s="59">
        <f t="shared" si="155"/>
        <v>4.1095890410958908</v>
      </c>
    </row>
    <row r="1619" spans="12:16" ht="15" hidden="1" customHeight="1">
      <c r="L1619" s="58">
        <f t="shared" si="153"/>
        <v>47851</v>
      </c>
      <c r="M1619" s="59">
        <f t="shared" ref="M1619:M1682" si="156">IFERROR(VLOOKUP(L1619,$B$19:$E$80,4,FALSE),0)</f>
        <v>0</v>
      </c>
      <c r="N1619" s="59">
        <f t="shared" si="154"/>
        <v>50000</v>
      </c>
      <c r="O1619" s="59">
        <f t="shared" ref="O1619:O1682" si="157">IFERROR(IF(ISNUMBER(N1618),N1618,$E$8)*IF(L1619&gt;=$J$8,$E$12,$E$12)/IF(MOD(YEAR(L1619),4),365,366)*IF(ISBLANK(L1618),L1619-$F$5,L1619-L1618),0)</f>
        <v>6.8493150684931505</v>
      </c>
      <c r="P1619" s="59">
        <f t="shared" si="155"/>
        <v>4.1095890410958908</v>
      </c>
    </row>
    <row r="1620" spans="12:16" ht="15" hidden="1" customHeight="1">
      <c r="L1620" s="58">
        <f t="shared" si="153"/>
        <v>47852</v>
      </c>
      <c r="M1620" s="59">
        <f t="shared" si="156"/>
        <v>0</v>
      </c>
      <c r="N1620" s="59">
        <f t="shared" si="154"/>
        <v>50000</v>
      </c>
      <c r="O1620" s="59">
        <f t="shared" si="157"/>
        <v>6.8493150684931505</v>
      </c>
      <c r="P1620" s="59">
        <f t="shared" si="155"/>
        <v>4.1095890410958908</v>
      </c>
    </row>
    <row r="1621" spans="12:16" ht="15" hidden="1" customHeight="1">
      <c r="L1621" s="58">
        <f t="shared" si="153"/>
        <v>47853</v>
      </c>
      <c r="M1621" s="59">
        <f t="shared" si="156"/>
        <v>0</v>
      </c>
      <c r="N1621" s="59">
        <f t="shared" si="154"/>
        <v>50000</v>
      </c>
      <c r="O1621" s="59">
        <f t="shared" si="157"/>
        <v>6.8493150684931505</v>
      </c>
      <c r="P1621" s="59">
        <f t="shared" si="155"/>
        <v>4.1095890410958908</v>
      </c>
    </row>
    <row r="1622" spans="12:16" ht="15" hidden="1" customHeight="1">
      <c r="L1622" s="58">
        <f t="shared" si="153"/>
        <v>47854</v>
      </c>
      <c r="M1622" s="59">
        <f t="shared" si="156"/>
        <v>0</v>
      </c>
      <c r="N1622" s="59">
        <f t="shared" si="154"/>
        <v>50000</v>
      </c>
      <c r="O1622" s="59">
        <f t="shared" si="157"/>
        <v>6.8493150684931505</v>
      </c>
      <c r="P1622" s="59">
        <f t="shared" si="155"/>
        <v>4.1095890410958908</v>
      </c>
    </row>
    <row r="1623" spans="12:16" ht="15" hidden="1" customHeight="1">
      <c r="L1623" s="58">
        <f t="shared" si="153"/>
        <v>47855</v>
      </c>
      <c r="M1623" s="59">
        <f t="shared" si="156"/>
        <v>0</v>
      </c>
      <c r="N1623" s="59">
        <f t="shared" si="154"/>
        <v>50000</v>
      </c>
      <c r="O1623" s="59">
        <f t="shared" si="157"/>
        <v>6.8493150684931505</v>
      </c>
      <c r="P1623" s="59">
        <f t="shared" si="155"/>
        <v>4.1095890410958908</v>
      </c>
    </row>
    <row r="1624" spans="12:16" ht="15" hidden="1" customHeight="1">
      <c r="L1624" s="58">
        <f t="shared" si="153"/>
        <v>47856</v>
      </c>
      <c r="M1624" s="59">
        <f t="shared" si="156"/>
        <v>0</v>
      </c>
      <c r="N1624" s="59">
        <f t="shared" si="154"/>
        <v>50000</v>
      </c>
      <c r="O1624" s="59">
        <f t="shared" si="157"/>
        <v>6.8493150684931505</v>
      </c>
      <c r="P1624" s="59">
        <f t="shared" si="155"/>
        <v>4.1095890410958908</v>
      </c>
    </row>
    <row r="1625" spans="12:16" ht="15" hidden="1" customHeight="1">
      <c r="L1625" s="58">
        <f t="shared" si="153"/>
        <v>47857</v>
      </c>
      <c r="M1625" s="59">
        <f t="shared" si="156"/>
        <v>0</v>
      </c>
      <c r="N1625" s="59">
        <f t="shared" si="154"/>
        <v>50000</v>
      </c>
      <c r="O1625" s="59">
        <f t="shared" si="157"/>
        <v>6.8493150684931505</v>
      </c>
      <c r="P1625" s="59">
        <f t="shared" si="155"/>
        <v>4.1095890410958908</v>
      </c>
    </row>
    <row r="1626" spans="12:16" ht="15" hidden="1" customHeight="1">
      <c r="L1626" s="58">
        <f t="shared" si="153"/>
        <v>47858</v>
      </c>
      <c r="M1626" s="59">
        <f t="shared" si="156"/>
        <v>0</v>
      </c>
      <c r="N1626" s="59">
        <f t="shared" si="154"/>
        <v>50000</v>
      </c>
      <c r="O1626" s="59">
        <f t="shared" si="157"/>
        <v>6.8493150684931505</v>
      </c>
      <c r="P1626" s="59">
        <f t="shared" si="155"/>
        <v>4.1095890410958908</v>
      </c>
    </row>
    <row r="1627" spans="12:16" ht="15" hidden="1" customHeight="1">
      <c r="L1627" s="58">
        <f t="shared" si="153"/>
        <v>47859</v>
      </c>
      <c r="M1627" s="59">
        <f t="shared" si="156"/>
        <v>0</v>
      </c>
      <c r="N1627" s="59">
        <f t="shared" si="154"/>
        <v>50000</v>
      </c>
      <c r="O1627" s="59">
        <f t="shared" si="157"/>
        <v>6.8493150684931505</v>
      </c>
      <c r="P1627" s="59">
        <f t="shared" si="155"/>
        <v>4.1095890410958908</v>
      </c>
    </row>
    <row r="1628" spans="12:16" ht="15" hidden="1" customHeight="1">
      <c r="L1628" s="58">
        <f t="shared" si="153"/>
        <v>47860</v>
      </c>
      <c r="M1628" s="59">
        <f t="shared" si="156"/>
        <v>0</v>
      </c>
      <c r="N1628" s="59">
        <f t="shared" si="154"/>
        <v>50000</v>
      </c>
      <c r="O1628" s="59">
        <f t="shared" si="157"/>
        <v>6.8493150684931505</v>
      </c>
      <c r="P1628" s="59">
        <f t="shared" si="155"/>
        <v>4.1095890410958908</v>
      </c>
    </row>
    <row r="1629" spans="12:16" ht="15" hidden="1" customHeight="1">
      <c r="L1629" s="58">
        <f t="shared" si="153"/>
        <v>47861</v>
      </c>
      <c r="M1629" s="59">
        <f t="shared" si="156"/>
        <v>0</v>
      </c>
      <c r="N1629" s="59">
        <f t="shared" si="154"/>
        <v>50000</v>
      </c>
      <c r="O1629" s="59">
        <f t="shared" si="157"/>
        <v>6.8493150684931505</v>
      </c>
      <c r="P1629" s="59">
        <f t="shared" si="155"/>
        <v>4.1095890410958908</v>
      </c>
    </row>
    <row r="1630" spans="12:16" ht="15" hidden="1" customHeight="1">
      <c r="L1630" s="58">
        <f t="shared" si="153"/>
        <v>47862</v>
      </c>
      <c r="M1630" s="59">
        <f t="shared" si="156"/>
        <v>0</v>
      </c>
      <c r="N1630" s="59">
        <f t="shared" si="154"/>
        <v>50000</v>
      </c>
      <c r="O1630" s="59">
        <f t="shared" si="157"/>
        <v>6.8493150684931505</v>
      </c>
      <c r="P1630" s="59">
        <f t="shared" si="155"/>
        <v>4.1095890410958908</v>
      </c>
    </row>
    <row r="1631" spans="12:16" ht="15" hidden="1" customHeight="1">
      <c r="L1631" s="58">
        <f t="shared" si="153"/>
        <v>47863</v>
      </c>
      <c r="M1631" s="59">
        <f t="shared" si="156"/>
        <v>12500</v>
      </c>
      <c r="N1631" s="59">
        <f t="shared" si="154"/>
        <v>37500</v>
      </c>
      <c r="O1631" s="59">
        <f t="shared" si="157"/>
        <v>6.8493150684931505</v>
      </c>
      <c r="P1631" s="59">
        <f t="shared" si="155"/>
        <v>4.1095890410958908</v>
      </c>
    </row>
    <row r="1632" spans="12:16" ht="15" hidden="1" customHeight="1">
      <c r="L1632" s="58">
        <f t="shared" si="153"/>
        <v>47864</v>
      </c>
      <c r="M1632" s="59">
        <f t="shared" si="156"/>
        <v>0</v>
      </c>
      <c r="N1632" s="59">
        <f t="shared" si="154"/>
        <v>37500</v>
      </c>
      <c r="O1632" s="59">
        <f t="shared" si="157"/>
        <v>5.1369863013698627</v>
      </c>
      <c r="P1632" s="59">
        <f t="shared" si="155"/>
        <v>3.0821917808219177</v>
      </c>
    </row>
    <row r="1633" spans="12:16" ht="15" hidden="1" customHeight="1">
      <c r="L1633" s="58">
        <f t="shared" si="153"/>
        <v>47865</v>
      </c>
      <c r="M1633" s="59">
        <f t="shared" si="156"/>
        <v>0</v>
      </c>
      <c r="N1633" s="59">
        <f t="shared" si="154"/>
        <v>37500</v>
      </c>
      <c r="O1633" s="59">
        <f t="shared" si="157"/>
        <v>5.1369863013698627</v>
      </c>
      <c r="P1633" s="59">
        <f t="shared" si="155"/>
        <v>3.0821917808219177</v>
      </c>
    </row>
    <row r="1634" spans="12:16" ht="15" hidden="1" customHeight="1">
      <c r="L1634" s="58">
        <f t="shared" ref="L1634:L1697" si="158">IFERROR(IF(MAX(L1633+1,$F$5+1)&gt;Дата_погашения_Займа,"-",MAX(L1633+1,$F$5+1)),"-")</f>
        <v>47866</v>
      </c>
      <c r="M1634" s="59">
        <f t="shared" si="156"/>
        <v>0</v>
      </c>
      <c r="N1634" s="59">
        <f t="shared" si="154"/>
        <v>37500</v>
      </c>
      <c r="O1634" s="59">
        <f t="shared" si="157"/>
        <v>5.1369863013698627</v>
      </c>
      <c r="P1634" s="59">
        <f t="shared" si="155"/>
        <v>3.0821917808219177</v>
      </c>
    </row>
    <row r="1635" spans="12:16" ht="15" hidden="1" customHeight="1">
      <c r="L1635" s="58">
        <f t="shared" si="158"/>
        <v>47867</v>
      </c>
      <c r="M1635" s="59">
        <f t="shared" si="156"/>
        <v>0</v>
      </c>
      <c r="N1635" s="59">
        <f t="shared" si="154"/>
        <v>37500</v>
      </c>
      <c r="O1635" s="59">
        <f t="shared" si="157"/>
        <v>5.1369863013698627</v>
      </c>
      <c r="P1635" s="59">
        <f t="shared" si="155"/>
        <v>3.0821917808219177</v>
      </c>
    </row>
    <row r="1636" spans="12:16" ht="15" hidden="1" customHeight="1">
      <c r="L1636" s="58">
        <f t="shared" si="158"/>
        <v>47868</v>
      </c>
      <c r="M1636" s="59">
        <f t="shared" si="156"/>
        <v>0</v>
      </c>
      <c r="N1636" s="59">
        <f t="shared" si="154"/>
        <v>37500</v>
      </c>
      <c r="O1636" s="59">
        <f t="shared" si="157"/>
        <v>5.1369863013698627</v>
      </c>
      <c r="P1636" s="59">
        <f t="shared" si="155"/>
        <v>3.0821917808219177</v>
      </c>
    </row>
    <row r="1637" spans="12:16" ht="15" hidden="1" customHeight="1">
      <c r="L1637" s="58">
        <f t="shared" si="158"/>
        <v>47869</v>
      </c>
      <c r="M1637" s="59">
        <f t="shared" si="156"/>
        <v>0</v>
      </c>
      <c r="N1637" s="59">
        <f t="shared" si="154"/>
        <v>37500</v>
      </c>
      <c r="O1637" s="59">
        <f t="shared" si="157"/>
        <v>5.1369863013698627</v>
      </c>
      <c r="P1637" s="59">
        <f t="shared" si="155"/>
        <v>3.0821917808219177</v>
      </c>
    </row>
    <row r="1638" spans="12:16" ht="15" hidden="1" customHeight="1">
      <c r="L1638" s="58">
        <f t="shared" si="158"/>
        <v>47870</v>
      </c>
      <c r="M1638" s="59">
        <f t="shared" si="156"/>
        <v>0</v>
      </c>
      <c r="N1638" s="59">
        <f t="shared" si="154"/>
        <v>37500</v>
      </c>
      <c r="O1638" s="59">
        <f t="shared" si="157"/>
        <v>5.1369863013698627</v>
      </c>
      <c r="P1638" s="59">
        <f t="shared" si="155"/>
        <v>3.0821917808219177</v>
      </c>
    </row>
    <row r="1639" spans="12:16" ht="15" hidden="1" customHeight="1">
      <c r="L1639" s="58">
        <f t="shared" si="158"/>
        <v>47871</v>
      </c>
      <c r="M1639" s="59">
        <f t="shared" si="156"/>
        <v>0</v>
      </c>
      <c r="N1639" s="59">
        <f t="shared" si="154"/>
        <v>37500</v>
      </c>
      <c r="O1639" s="59">
        <f t="shared" si="157"/>
        <v>5.1369863013698627</v>
      </c>
      <c r="P1639" s="59">
        <f t="shared" si="155"/>
        <v>3.0821917808219177</v>
      </c>
    </row>
    <row r="1640" spans="12:16" ht="15" hidden="1" customHeight="1">
      <c r="L1640" s="58">
        <f t="shared" si="158"/>
        <v>47872</v>
      </c>
      <c r="M1640" s="59">
        <f t="shared" si="156"/>
        <v>0</v>
      </c>
      <c r="N1640" s="59">
        <f t="shared" si="154"/>
        <v>37500</v>
      </c>
      <c r="O1640" s="59">
        <f t="shared" si="157"/>
        <v>5.1369863013698627</v>
      </c>
      <c r="P1640" s="59">
        <f t="shared" si="155"/>
        <v>3.0821917808219177</v>
      </c>
    </row>
    <row r="1641" spans="12:16" ht="15" hidden="1" customHeight="1">
      <c r="L1641" s="58">
        <f t="shared" si="158"/>
        <v>47873</v>
      </c>
      <c r="M1641" s="59">
        <f t="shared" si="156"/>
        <v>0</v>
      </c>
      <c r="N1641" s="59">
        <f t="shared" si="154"/>
        <v>37500</v>
      </c>
      <c r="O1641" s="59">
        <f t="shared" si="157"/>
        <v>5.1369863013698627</v>
      </c>
      <c r="P1641" s="59">
        <f t="shared" si="155"/>
        <v>3.0821917808219177</v>
      </c>
    </row>
    <row r="1642" spans="12:16" ht="15" hidden="1" customHeight="1">
      <c r="L1642" s="58">
        <f t="shared" si="158"/>
        <v>47874</v>
      </c>
      <c r="M1642" s="59">
        <f t="shared" si="156"/>
        <v>0</v>
      </c>
      <c r="N1642" s="59">
        <f t="shared" si="154"/>
        <v>37500</v>
      </c>
      <c r="O1642" s="59">
        <f t="shared" si="157"/>
        <v>5.1369863013698627</v>
      </c>
      <c r="P1642" s="59">
        <f t="shared" si="155"/>
        <v>3.0821917808219177</v>
      </c>
    </row>
    <row r="1643" spans="12:16" ht="15" hidden="1" customHeight="1">
      <c r="L1643" s="58">
        <f t="shared" si="158"/>
        <v>47875</v>
      </c>
      <c r="M1643" s="59">
        <f t="shared" si="156"/>
        <v>0</v>
      </c>
      <c r="N1643" s="59">
        <f t="shared" si="154"/>
        <v>37500</v>
      </c>
      <c r="O1643" s="59">
        <f t="shared" si="157"/>
        <v>5.1369863013698627</v>
      </c>
      <c r="P1643" s="59">
        <f t="shared" si="155"/>
        <v>3.0821917808219177</v>
      </c>
    </row>
    <row r="1644" spans="12:16" ht="15" hidden="1" customHeight="1">
      <c r="L1644" s="58">
        <f t="shared" si="158"/>
        <v>47876</v>
      </c>
      <c r="M1644" s="59">
        <f t="shared" si="156"/>
        <v>0</v>
      </c>
      <c r="N1644" s="59">
        <f t="shared" si="154"/>
        <v>37500</v>
      </c>
      <c r="O1644" s="59">
        <f t="shared" si="157"/>
        <v>5.1369863013698627</v>
      </c>
      <c r="P1644" s="59">
        <f t="shared" si="155"/>
        <v>3.0821917808219177</v>
      </c>
    </row>
    <row r="1645" spans="12:16" ht="15" hidden="1" customHeight="1">
      <c r="L1645" s="58">
        <f t="shared" si="158"/>
        <v>47877</v>
      </c>
      <c r="M1645" s="59">
        <f t="shared" si="156"/>
        <v>0</v>
      </c>
      <c r="N1645" s="59">
        <f t="shared" si="154"/>
        <v>37500</v>
      </c>
      <c r="O1645" s="59">
        <f t="shared" si="157"/>
        <v>5.1369863013698627</v>
      </c>
      <c r="P1645" s="59">
        <f t="shared" si="155"/>
        <v>3.0821917808219177</v>
      </c>
    </row>
    <row r="1646" spans="12:16" ht="15" hidden="1" customHeight="1">
      <c r="L1646" s="58">
        <f t="shared" si="158"/>
        <v>47878</v>
      </c>
      <c r="M1646" s="59">
        <f t="shared" si="156"/>
        <v>0</v>
      </c>
      <c r="N1646" s="59">
        <f t="shared" si="154"/>
        <v>37500</v>
      </c>
      <c r="O1646" s="59">
        <f t="shared" si="157"/>
        <v>5.1369863013698627</v>
      </c>
      <c r="P1646" s="59">
        <f t="shared" si="155"/>
        <v>3.0821917808219177</v>
      </c>
    </row>
    <row r="1647" spans="12:16" ht="15" hidden="1" customHeight="1">
      <c r="L1647" s="58">
        <f t="shared" si="158"/>
        <v>47879</v>
      </c>
      <c r="M1647" s="59">
        <f t="shared" si="156"/>
        <v>0</v>
      </c>
      <c r="N1647" s="59">
        <f t="shared" si="154"/>
        <v>37500</v>
      </c>
      <c r="O1647" s="59">
        <f t="shared" si="157"/>
        <v>5.1369863013698627</v>
      </c>
      <c r="P1647" s="59">
        <f t="shared" si="155"/>
        <v>3.0821917808219177</v>
      </c>
    </row>
    <row r="1648" spans="12:16" ht="15" hidden="1" customHeight="1">
      <c r="L1648" s="58">
        <f t="shared" si="158"/>
        <v>47880</v>
      </c>
      <c r="M1648" s="59">
        <f t="shared" si="156"/>
        <v>0</v>
      </c>
      <c r="N1648" s="59">
        <f t="shared" ref="N1648:N1711" si="159">IF(ISNUMBER(N1647),N1647-M1648,$E$8)</f>
        <v>37500</v>
      </c>
      <c r="O1648" s="59">
        <f t="shared" si="157"/>
        <v>5.1369863013698627</v>
      </c>
      <c r="P1648" s="59">
        <f t="shared" ref="P1648:P1711" si="160">IFERROR(IF(ISNUMBER(N1647),N1647,$E$8)*3%/IF(MOD(YEAR(L1648),4),365,366)*IF(ISBLANK(L1647),(L1648-$F$5),L1648-L1647),0)</f>
        <v>3.0821917808219177</v>
      </c>
    </row>
    <row r="1649" spans="12:16" ht="15" hidden="1" customHeight="1">
      <c r="L1649" s="58">
        <f t="shared" si="158"/>
        <v>47881</v>
      </c>
      <c r="M1649" s="59">
        <f t="shared" si="156"/>
        <v>0</v>
      </c>
      <c r="N1649" s="59">
        <f t="shared" si="159"/>
        <v>37500</v>
      </c>
      <c r="O1649" s="59">
        <f t="shared" si="157"/>
        <v>5.1369863013698627</v>
      </c>
      <c r="P1649" s="59">
        <f t="shared" si="160"/>
        <v>3.0821917808219177</v>
      </c>
    </row>
    <row r="1650" spans="12:16" ht="15" hidden="1" customHeight="1">
      <c r="L1650" s="58">
        <f t="shared" si="158"/>
        <v>47882</v>
      </c>
      <c r="M1650" s="59">
        <f t="shared" si="156"/>
        <v>0</v>
      </c>
      <c r="N1650" s="59">
        <f t="shared" si="159"/>
        <v>37500</v>
      </c>
      <c r="O1650" s="59">
        <f t="shared" si="157"/>
        <v>5.1369863013698627</v>
      </c>
      <c r="P1650" s="59">
        <f t="shared" si="160"/>
        <v>3.0821917808219177</v>
      </c>
    </row>
    <row r="1651" spans="12:16" ht="15" hidden="1" customHeight="1">
      <c r="L1651" s="58">
        <f t="shared" si="158"/>
        <v>47883</v>
      </c>
      <c r="M1651" s="59">
        <f t="shared" si="156"/>
        <v>0</v>
      </c>
      <c r="N1651" s="59">
        <f t="shared" si="159"/>
        <v>37500</v>
      </c>
      <c r="O1651" s="59">
        <f t="shared" si="157"/>
        <v>5.1369863013698627</v>
      </c>
      <c r="P1651" s="59">
        <f t="shared" si="160"/>
        <v>3.0821917808219177</v>
      </c>
    </row>
    <row r="1652" spans="12:16" ht="15" hidden="1" customHeight="1">
      <c r="L1652" s="58">
        <f t="shared" si="158"/>
        <v>47884</v>
      </c>
      <c r="M1652" s="59">
        <f t="shared" si="156"/>
        <v>0</v>
      </c>
      <c r="N1652" s="59">
        <f t="shared" si="159"/>
        <v>37500</v>
      </c>
      <c r="O1652" s="59">
        <f t="shared" si="157"/>
        <v>5.1369863013698627</v>
      </c>
      <c r="P1652" s="59">
        <f t="shared" si="160"/>
        <v>3.0821917808219177</v>
      </c>
    </row>
    <row r="1653" spans="12:16" ht="15" hidden="1" customHeight="1">
      <c r="L1653" s="58">
        <f t="shared" si="158"/>
        <v>47885</v>
      </c>
      <c r="M1653" s="59">
        <f t="shared" si="156"/>
        <v>0</v>
      </c>
      <c r="N1653" s="59">
        <f t="shared" si="159"/>
        <v>37500</v>
      </c>
      <c r="O1653" s="59">
        <f t="shared" si="157"/>
        <v>5.1369863013698627</v>
      </c>
      <c r="P1653" s="59">
        <f t="shared" si="160"/>
        <v>3.0821917808219177</v>
      </c>
    </row>
    <row r="1654" spans="12:16" ht="15" hidden="1" customHeight="1">
      <c r="L1654" s="58">
        <f t="shared" si="158"/>
        <v>47886</v>
      </c>
      <c r="M1654" s="59">
        <f t="shared" si="156"/>
        <v>0</v>
      </c>
      <c r="N1654" s="59">
        <f t="shared" si="159"/>
        <v>37500</v>
      </c>
      <c r="O1654" s="59">
        <f t="shared" si="157"/>
        <v>5.1369863013698627</v>
      </c>
      <c r="P1654" s="59">
        <f t="shared" si="160"/>
        <v>3.0821917808219177</v>
      </c>
    </row>
    <row r="1655" spans="12:16" ht="15" hidden="1" customHeight="1">
      <c r="L1655" s="58">
        <f t="shared" si="158"/>
        <v>47887</v>
      </c>
      <c r="M1655" s="59">
        <f t="shared" si="156"/>
        <v>0</v>
      </c>
      <c r="N1655" s="59">
        <f t="shared" si="159"/>
        <v>37500</v>
      </c>
      <c r="O1655" s="59">
        <f t="shared" si="157"/>
        <v>5.1369863013698627</v>
      </c>
      <c r="P1655" s="59">
        <f t="shared" si="160"/>
        <v>3.0821917808219177</v>
      </c>
    </row>
    <row r="1656" spans="12:16" ht="15" hidden="1" customHeight="1">
      <c r="L1656" s="58">
        <f t="shared" si="158"/>
        <v>47888</v>
      </c>
      <c r="M1656" s="59">
        <f t="shared" si="156"/>
        <v>0</v>
      </c>
      <c r="N1656" s="59">
        <f t="shared" si="159"/>
        <v>37500</v>
      </c>
      <c r="O1656" s="59">
        <f t="shared" si="157"/>
        <v>5.1369863013698627</v>
      </c>
      <c r="P1656" s="59">
        <f t="shared" si="160"/>
        <v>3.0821917808219177</v>
      </c>
    </row>
    <row r="1657" spans="12:16" ht="15" hidden="1" customHeight="1">
      <c r="L1657" s="58">
        <f t="shared" si="158"/>
        <v>47889</v>
      </c>
      <c r="M1657" s="59">
        <f t="shared" si="156"/>
        <v>0</v>
      </c>
      <c r="N1657" s="59">
        <f t="shared" si="159"/>
        <v>37500</v>
      </c>
      <c r="O1657" s="59">
        <f t="shared" si="157"/>
        <v>5.1369863013698627</v>
      </c>
      <c r="P1657" s="59">
        <f t="shared" si="160"/>
        <v>3.0821917808219177</v>
      </c>
    </row>
    <row r="1658" spans="12:16" ht="15" hidden="1" customHeight="1">
      <c r="L1658" s="58">
        <f t="shared" si="158"/>
        <v>47890</v>
      </c>
      <c r="M1658" s="59">
        <f t="shared" si="156"/>
        <v>0</v>
      </c>
      <c r="N1658" s="59">
        <f t="shared" si="159"/>
        <v>37500</v>
      </c>
      <c r="O1658" s="59">
        <f t="shared" si="157"/>
        <v>5.1369863013698627</v>
      </c>
      <c r="P1658" s="59">
        <f t="shared" si="160"/>
        <v>3.0821917808219177</v>
      </c>
    </row>
    <row r="1659" spans="12:16" ht="15" hidden="1" customHeight="1">
      <c r="L1659" s="58">
        <f t="shared" si="158"/>
        <v>47891</v>
      </c>
      <c r="M1659" s="59">
        <f t="shared" si="156"/>
        <v>0</v>
      </c>
      <c r="N1659" s="59">
        <f t="shared" si="159"/>
        <v>37500</v>
      </c>
      <c r="O1659" s="59">
        <f t="shared" si="157"/>
        <v>5.1369863013698627</v>
      </c>
      <c r="P1659" s="59">
        <f t="shared" si="160"/>
        <v>3.0821917808219177</v>
      </c>
    </row>
    <row r="1660" spans="12:16" ht="15" hidden="1" customHeight="1">
      <c r="L1660" s="58">
        <f t="shared" si="158"/>
        <v>47892</v>
      </c>
      <c r="M1660" s="59">
        <f t="shared" si="156"/>
        <v>0</v>
      </c>
      <c r="N1660" s="59">
        <f t="shared" si="159"/>
        <v>37500</v>
      </c>
      <c r="O1660" s="59">
        <f t="shared" si="157"/>
        <v>5.1369863013698627</v>
      </c>
      <c r="P1660" s="59">
        <f t="shared" si="160"/>
        <v>3.0821917808219177</v>
      </c>
    </row>
    <row r="1661" spans="12:16" ht="15" hidden="1" customHeight="1">
      <c r="L1661" s="58">
        <f t="shared" si="158"/>
        <v>47893</v>
      </c>
      <c r="M1661" s="59">
        <f t="shared" si="156"/>
        <v>0</v>
      </c>
      <c r="N1661" s="59">
        <f t="shared" si="159"/>
        <v>37500</v>
      </c>
      <c r="O1661" s="59">
        <f t="shared" si="157"/>
        <v>5.1369863013698627</v>
      </c>
      <c r="P1661" s="59">
        <f t="shared" si="160"/>
        <v>3.0821917808219177</v>
      </c>
    </row>
    <row r="1662" spans="12:16" ht="15" hidden="1" customHeight="1">
      <c r="L1662" s="58">
        <f t="shared" si="158"/>
        <v>47894</v>
      </c>
      <c r="M1662" s="59">
        <f t="shared" si="156"/>
        <v>0</v>
      </c>
      <c r="N1662" s="59">
        <f t="shared" si="159"/>
        <v>37500</v>
      </c>
      <c r="O1662" s="59">
        <f t="shared" si="157"/>
        <v>5.1369863013698627</v>
      </c>
      <c r="P1662" s="59">
        <f t="shared" si="160"/>
        <v>3.0821917808219177</v>
      </c>
    </row>
    <row r="1663" spans="12:16" ht="15" hidden="1" customHeight="1">
      <c r="L1663" s="58">
        <f t="shared" si="158"/>
        <v>47895</v>
      </c>
      <c r="M1663" s="59">
        <f t="shared" si="156"/>
        <v>0</v>
      </c>
      <c r="N1663" s="59">
        <f t="shared" si="159"/>
        <v>37500</v>
      </c>
      <c r="O1663" s="59">
        <f t="shared" si="157"/>
        <v>5.1369863013698627</v>
      </c>
      <c r="P1663" s="59">
        <f t="shared" si="160"/>
        <v>3.0821917808219177</v>
      </c>
    </row>
    <row r="1664" spans="12:16" ht="15" hidden="1" customHeight="1">
      <c r="L1664" s="58">
        <f t="shared" si="158"/>
        <v>47896</v>
      </c>
      <c r="M1664" s="59">
        <f t="shared" si="156"/>
        <v>0</v>
      </c>
      <c r="N1664" s="59">
        <f t="shared" si="159"/>
        <v>37500</v>
      </c>
      <c r="O1664" s="59">
        <f t="shared" si="157"/>
        <v>5.1369863013698627</v>
      </c>
      <c r="P1664" s="59">
        <f t="shared" si="160"/>
        <v>3.0821917808219177</v>
      </c>
    </row>
    <row r="1665" spans="12:16" ht="15" hidden="1" customHeight="1">
      <c r="L1665" s="58">
        <f t="shared" si="158"/>
        <v>47897</v>
      </c>
      <c r="M1665" s="59">
        <f t="shared" si="156"/>
        <v>0</v>
      </c>
      <c r="N1665" s="59">
        <f t="shared" si="159"/>
        <v>37500</v>
      </c>
      <c r="O1665" s="59">
        <f t="shared" si="157"/>
        <v>5.1369863013698627</v>
      </c>
      <c r="P1665" s="59">
        <f t="shared" si="160"/>
        <v>3.0821917808219177</v>
      </c>
    </row>
    <row r="1666" spans="12:16" ht="15" hidden="1" customHeight="1">
      <c r="L1666" s="58">
        <f t="shared" si="158"/>
        <v>47898</v>
      </c>
      <c r="M1666" s="59">
        <f t="shared" si="156"/>
        <v>0</v>
      </c>
      <c r="N1666" s="59">
        <f t="shared" si="159"/>
        <v>37500</v>
      </c>
      <c r="O1666" s="59">
        <f t="shared" si="157"/>
        <v>5.1369863013698627</v>
      </c>
      <c r="P1666" s="59">
        <f t="shared" si="160"/>
        <v>3.0821917808219177</v>
      </c>
    </row>
    <row r="1667" spans="12:16" ht="15" hidden="1" customHeight="1">
      <c r="L1667" s="58">
        <f t="shared" si="158"/>
        <v>47899</v>
      </c>
      <c r="M1667" s="59">
        <f t="shared" si="156"/>
        <v>0</v>
      </c>
      <c r="N1667" s="59">
        <f t="shared" si="159"/>
        <v>37500</v>
      </c>
      <c r="O1667" s="59">
        <f t="shared" si="157"/>
        <v>5.1369863013698627</v>
      </c>
      <c r="P1667" s="59">
        <f t="shared" si="160"/>
        <v>3.0821917808219177</v>
      </c>
    </row>
    <row r="1668" spans="12:16" ht="15" hidden="1" customHeight="1">
      <c r="L1668" s="58">
        <f t="shared" si="158"/>
        <v>47900</v>
      </c>
      <c r="M1668" s="59">
        <f t="shared" si="156"/>
        <v>0</v>
      </c>
      <c r="N1668" s="59">
        <f t="shared" si="159"/>
        <v>37500</v>
      </c>
      <c r="O1668" s="59">
        <f t="shared" si="157"/>
        <v>5.1369863013698627</v>
      </c>
      <c r="P1668" s="59">
        <f t="shared" si="160"/>
        <v>3.0821917808219177</v>
      </c>
    </row>
    <row r="1669" spans="12:16" ht="15" hidden="1" customHeight="1">
      <c r="L1669" s="58">
        <f t="shared" si="158"/>
        <v>47901</v>
      </c>
      <c r="M1669" s="59">
        <f t="shared" si="156"/>
        <v>0</v>
      </c>
      <c r="N1669" s="59">
        <f t="shared" si="159"/>
        <v>37500</v>
      </c>
      <c r="O1669" s="59">
        <f t="shared" si="157"/>
        <v>5.1369863013698627</v>
      </c>
      <c r="P1669" s="59">
        <f t="shared" si="160"/>
        <v>3.0821917808219177</v>
      </c>
    </row>
    <row r="1670" spans="12:16" ht="15" hidden="1" customHeight="1">
      <c r="L1670" s="58">
        <f t="shared" si="158"/>
        <v>47902</v>
      </c>
      <c r="M1670" s="59">
        <f t="shared" si="156"/>
        <v>0</v>
      </c>
      <c r="N1670" s="59">
        <f t="shared" si="159"/>
        <v>37500</v>
      </c>
      <c r="O1670" s="59">
        <f t="shared" si="157"/>
        <v>5.1369863013698627</v>
      </c>
      <c r="P1670" s="59">
        <f t="shared" si="160"/>
        <v>3.0821917808219177</v>
      </c>
    </row>
    <row r="1671" spans="12:16" ht="15" hidden="1" customHeight="1">
      <c r="L1671" s="58">
        <f t="shared" si="158"/>
        <v>47903</v>
      </c>
      <c r="M1671" s="59">
        <f t="shared" si="156"/>
        <v>0</v>
      </c>
      <c r="N1671" s="59">
        <f t="shared" si="159"/>
        <v>37500</v>
      </c>
      <c r="O1671" s="59">
        <f t="shared" si="157"/>
        <v>5.1369863013698627</v>
      </c>
      <c r="P1671" s="59">
        <f t="shared" si="160"/>
        <v>3.0821917808219177</v>
      </c>
    </row>
    <row r="1672" spans="12:16" ht="15" hidden="1" customHeight="1">
      <c r="L1672" s="58">
        <f t="shared" si="158"/>
        <v>47904</v>
      </c>
      <c r="M1672" s="59">
        <f t="shared" si="156"/>
        <v>0</v>
      </c>
      <c r="N1672" s="59">
        <f t="shared" si="159"/>
        <v>37500</v>
      </c>
      <c r="O1672" s="59">
        <f t="shared" si="157"/>
        <v>5.1369863013698627</v>
      </c>
      <c r="P1672" s="59">
        <f t="shared" si="160"/>
        <v>3.0821917808219177</v>
      </c>
    </row>
    <row r="1673" spans="12:16" ht="15" hidden="1" customHeight="1">
      <c r="L1673" s="58">
        <f t="shared" si="158"/>
        <v>47905</v>
      </c>
      <c r="M1673" s="59">
        <f t="shared" si="156"/>
        <v>0</v>
      </c>
      <c r="N1673" s="59">
        <f t="shared" si="159"/>
        <v>37500</v>
      </c>
      <c r="O1673" s="59">
        <f t="shared" si="157"/>
        <v>5.1369863013698627</v>
      </c>
      <c r="P1673" s="59">
        <f t="shared" si="160"/>
        <v>3.0821917808219177</v>
      </c>
    </row>
    <row r="1674" spans="12:16" ht="15" hidden="1" customHeight="1">
      <c r="L1674" s="58">
        <f t="shared" si="158"/>
        <v>47906</v>
      </c>
      <c r="M1674" s="59">
        <f t="shared" si="156"/>
        <v>0</v>
      </c>
      <c r="N1674" s="59">
        <f t="shared" si="159"/>
        <v>37500</v>
      </c>
      <c r="O1674" s="59">
        <f t="shared" si="157"/>
        <v>5.1369863013698627</v>
      </c>
      <c r="P1674" s="59">
        <f t="shared" si="160"/>
        <v>3.0821917808219177</v>
      </c>
    </row>
    <row r="1675" spans="12:16" ht="15" hidden="1" customHeight="1">
      <c r="L1675" s="58">
        <f t="shared" si="158"/>
        <v>47907</v>
      </c>
      <c r="M1675" s="59">
        <f t="shared" si="156"/>
        <v>0</v>
      </c>
      <c r="N1675" s="59">
        <f t="shared" si="159"/>
        <v>37500</v>
      </c>
      <c r="O1675" s="59">
        <f t="shared" si="157"/>
        <v>5.1369863013698627</v>
      </c>
      <c r="P1675" s="59">
        <f t="shared" si="160"/>
        <v>3.0821917808219177</v>
      </c>
    </row>
    <row r="1676" spans="12:16" ht="15" hidden="1" customHeight="1">
      <c r="L1676" s="58">
        <f t="shared" si="158"/>
        <v>47908</v>
      </c>
      <c r="M1676" s="59">
        <f t="shared" si="156"/>
        <v>0</v>
      </c>
      <c r="N1676" s="59">
        <f t="shared" si="159"/>
        <v>37500</v>
      </c>
      <c r="O1676" s="59">
        <f t="shared" si="157"/>
        <v>5.1369863013698627</v>
      </c>
      <c r="P1676" s="59">
        <f t="shared" si="160"/>
        <v>3.0821917808219177</v>
      </c>
    </row>
    <row r="1677" spans="12:16" ht="15" hidden="1" customHeight="1">
      <c r="L1677" s="58">
        <f t="shared" si="158"/>
        <v>47909</v>
      </c>
      <c r="M1677" s="59">
        <f t="shared" si="156"/>
        <v>0</v>
      </c>
      <c r="N1677" s="59">
        <f t="shared" si="159"/>
        <v>37500</v>
      </c>
      <c r="O1677" s="59">
        <f t="shared" si="157"/>
        <v>5.1369863013698627</v>
      </c>
      <c r="P1677" s="59">
        <f t="shared" si="160"/>
        <v>3.0821917808219177</v>
      </c>
    </row>
    <row r="1678" spans="12:16" ht="15" hidden="1" customHeight="1">
      <c r="L1678" s="58">
        <f t="shared" si="158"/>
        <v>47910</v>
      </c>
      <c r="M1678" s="59">
        <f t="shared" si="156"/>
        <v>0</v>
      </c>
      <c r="N1678" s="59">
        <f t="shared" si="159"/>
        <v>37500</v>
      </c>
      <c r="O1678" s="59">
        <f t="shared" si="157"/>
        <v>5.1369863013698627</v>
      </c>
      <c r="P1678" s="59">
        <f t="shared" si="160"/>
        <v>3.0821917808219177</v>
      </c>
    </row>
    <row r="1679" spans="12:16" ht="15" hidden="1" customHeight="1">
      <c r="L1679" s="58">
        <f t="shared" si="158"/>
        <v>47911</v>
      </c>
      <c r="M1679" s="59">
        <f t="shared" si="156"/>
        <v>0</v>
      </c>
      <c r="N1679" s="59">
        <f t="shared" si="159"/>
        <v>37500</v>
      </c>
      <c r="O1679" s="59">
        <f t="shared" si="157"/>
        <v>5.1369863013698627</v>
      </c>
      <c r="P1679" s="59">
        <f t="shared" si="160"/>
        <v>3.0821917808219177</v>
      </c>
    </row>
    <row r="1680" spans="12:16" ht="15" hidden="1" customHeight="1">
      <c r="L1680" s="58">
        <f t="shared" si="158"/>
        <v>47912</v>
      </c>
      <c r="M1680" s="59">
        <f t="shared" si="156"/>
        <v>0</v>
      </c>
      <c r="N1680" s="59">
        <f t="shared" si="159"/>
        <v>37500</v>
      </c>
      <c r="O1680" s="59">
        <f t="shared" si="157"/>
        <v>5.1369863013698627</v>
      </c>
      <c r="P1680" s="59">
        <f t="shared" si="160"/>
        <v>3.0821917808219177</v>
      </c>
    </row>
    <row r="1681" spans="12:16" ht="15" hidden="1" customHeight="1">
      <c r="L1681" s="58">
        <f t="shared" si="158"/>
        <v>47913</v>
      </c>
      <c r="M1681" s="59">
        <f t="shared" si="156"/>
        <v>0</v>
      </c>
      <c r="N1681" s="59">
        <f t="shared" si="159"/>
        <v>37500</v>
      </c>
      <c r="O1681" s="59">
        <f t="shared" si="157"/>
        <v>5.1369863013698627</v>
      </c>
      <c r="P1681" s="59">
        <f t="shared" si="160"/>
        <v>3.0821917808219177</v>
      </c>
    </row>
    <row r="1682" spans="12:16" ht="15" hidden="1" customHeight="1">
      <c r="L1682" s="58">
        <f t="shared" si="158"/>
        <v>47914</v>
      </c>
      <c r="M1682" s="59">
        <f t="shared" si="156"/>
        <v>0</v>
      </c>
      <c r="N1682" s="59">
        <f t="shared" si="159"/>
        <v>37500</v>
      </c>
      <c r="O1682" s="59">
        <f t="shared" si="157"/>
        <v>5.1369863013698627</v>
      </c>
      <c r="P1682" s="59">
        <f t="shared" si="160"/>
        <v>3.0821917808219177</v>
      </c>
    </row>
    <row r="1683" spans="12:16" ht="15" hidden="1" customHeight="1">
      <c r="L1683" s="58">
        <f t="shared" si="158"/>
        <v>47915</v>
      </c>
      <c r="M1683" s="59">
        <f t="shared" ref="M1683:M1746" si="161">IFERROR(VLOOKUP(L1683,$B$19:$E$80,4,FALSE),0)</f>
        <v>0</v>
      </c>
      <c r="N1683" s="59">
        <f t="shared" si="159"/>
        <v>37500</v>
      </c>
      <c r="O1683" s="59">
        <f t="shared" ref="O1683:O1746" si="162">IFERROR(IF(ISNUMBER(N1682),N1682,$E$8)*IF(L1683&gt;=$J$8,$E$12,$E$12)/IF(MOD(YEAR(L1683),4),365,366)*IF(ISBLANK(L1682),L1683-$F$5,L1683-L1682),0)</f>
        <v>5.1369863013698627</v>
      </c>
      <c r="P1683" s="59">
        <f t="shared" si="160"/>
        <v>3.0821917808219177</v>
      </c>
    </row>
    <row r="1684" spans="12:16" ht="15" hidden="1" customHeight="1">
      <c r="L1684" s="58">
        <f t="shared" si="158"/>
        <v>47916</v>
      </c>
      <c r="M1684" s="59">
        <f t="shared" si="161"/>
        <v>0</v>
      </c>
      <c r="N1684" s="59">
        <f t="shared" si="159"/>
        <v>37500</v>
      </c>
      <c r="O1684" s="59">
        <f t="shared" si="162"/>
        <v>5.1369863013698627</v>
      </c>
      <c r="P1684" s="59">
        <f t="shared" si="160"/>
        <v>3.0821917808219177</v>
      </c>
    </row>
    <row r="1685" spans="12:16" ht="15" hidden="1" customHeight="1">
      <c r="L1685" s="58">
        <f t="shared" si="158"/>
        <v>47917</v>
      </c>
      <c r="M1685" s="59">
        <f t="shared" si="161"/>
        <v>0</v>
      </c>
      <c r="N1685" s="59">
        <f t="shared" si="159"/>
        <v>37500</v>
      </c>
      <c r="O1685" s="59">
        <f t="shared" si="162"/>
        <v>5.1369863013698627</v>
      </c>
      <c r="P1685" s="59">
        <f t="shared" si="160"/>
        <v>3.0821917808219177</v>
      </c>
    </row>
    <row r="1686" spans="12:16" ht="15" hidden="1" customHeight="1">
      <c r="L1686" s="58">
        <f t="shared" si="158"/>
        <v>47918</v>
      </c>
      <c r="M1686" s="59">
        <f t="shared" si="161"/>
        <v>0</v>
      </c>
      <c r="N1686" s="59">
        <f t="shared" si="159"/>
        <v>37500</v>
      </c>
      <c r="O1686" s="59">
        <f t="shared" si="162"/>
        <v>5.1369863013698627</v>
      </c>
      <c r="P1686" s="59">
        <f t="shared" si="160"/>
        <v>3.0821917808219177</v>
      </c>
    </row>
    <row r="1687" spans="12:16" ht="15" hidden="1" customHeight="1">
      <c r="L1687" s="58">
        <f t="shared" si="158"/>
        <v>47919</v>
      </c>
      <c r="M1687" s="59">
        <f t="shared" si="161"/>
        <v>0</v>
      </c>
      <c r="N1687" s="59">
        <f t="shared" si="159"/>
        <v>37500</v>
      </c>
      <c r="O1687" s="59">
        <f t="shared" si="162"/>
        <v>5.1369863013698627</v>
      </c>
      <c r="P1687" s="59">
        <f t="shared" si="160"/>
        <v>3.0821917808219177</v>
      </c>
    </row>
    <row r="1688" spans="12:16" ht="15" hidden="1" customHeight="1">
      <c r="L1688" s="58">
        <f t="shared" si="158"/>
        <v>47920</v>
      </c>
      <c r="M1688" s="59">
        <f t="shared" si="161"/>
        <v>0</v>
      </c>
      <c r="N1688" s="59">
        <f t="shared" si="159"/>
        <v>37500</v>
      </c>
      <c r="O1688" s="59">
        <f t="shared" si="162"/>
        <v>5.1369863013698627</v>
      </c>
      <c r="P1688" s="59">
        <f t="shared" si="160"/>
        <v>3.0821917808219177</v>
      </c>
    </row>
    <row r="1689" spans="12:16" ht="15" hidden="1" customHeight="1">
      <c r="L1689" s="58">
        <f t="shared" si="158"/>
        <v>47921</v>
      </c>
      <c r="M1689" s="59">
        <f t="shared" si="161"/>
        <v>0</v>
      </c>
      <c r="N1689" s="59">
        <f t="shared" si="159"/>
        <v>37500</v>
      </c>
      <c r="O1689" s="59">
        <f t="shared" si="162"/>
        <v>5.1369863013698627</v>
      </c>
      <c r="P1689" s="59">
        <f t="shared" si="160"/>
        <v>3.0821917808219177</v>
      </c>
    </row>
    <row r="1690" spans="12:16" ht="15" hidden="1" customHeight="1">
      <c r="L1690" s="58">
        <f t="shared" si="158"/>
        <v>47922</v>
      </c>
      <c r="M1690" s="59">
        <f t="shared" si="161"/>
        <v>0</v>
      </c>
      <c r="N1690" s="59">
        <f t="shared" si="159"/>
        <v>37500</v>
      </c>
      <c r="O1690" s="59">
        <f t="shared" si="162"/>
        <v>5.1369863013698627</v>
      </c>
      <c r="P1690" s="59">
        <f t="shared" si="160"/>
        <v>3.0821917808219177</v>
      </c>
    </row>
    <row r="1691" spans="12:16" ht="15" hidden="1" customHeight="1">
      <c r="L1691" s="58">
        <f t="shared" si="158"/>
        <v>47923</v>
      </c>
      <c r="M1691" s="59">
        <f t="shared" si="161"/>
        <v>0</v>
      </c>
      <c r="N1691" s="59">
        <f t="shared" si="159"/>
        <v>37500</v>
      </c>
      <c r="O1691" s="59">
        <f t="shared" si="162"/>
        <v>5.1369863013698627</v>
      </c>
      <c r="P1691" s="59">
        <f t="shared" si="160"/>
        <v>3.0821917808219177</v>
      </c>
    </row>
    <row r="1692" spans="12:16" ht="15" hidden="1" customHeight="1">
      <c r="L1692" s="58">
        <f t="shared" si="158"/>
        <v>47924</v>
      </c>
      <c r="M1692" s="59">
        <f t="shared" si="161"/>
        <v>0</v>
      </c>
      <c r="N1692" s="59">
        <f t="shared" si="159"/>
        <v>37500</v>
      </c>
      <c r="O1692" s="59">
        <f t="shared" si="162"/>
        <v>5.1369863013698627</v>
      </c>
      <c r="P1692" s="59">
        <f t="shared" si="160"/>
        <v>3.0821917808219177</v>
      </c>
    </row>
    <row r="1693" spans="12:16" ht="15" hidden="1" customHeight="1">
      <c r="L1693" s="58">
        <f t="shared" si="158"/>
        <v>47925</v>
      </c>
      <c r="M1693" s="59">
        <f t="shared" si="161"/>
        <v>0</v>
      </c>
      <c r="N1693" s="59">
        <f t="shared" si="159"/>
        <v>37500</v>
      </c>
      <c r="O1693" s="59">
        <f t="shared" si="162"/>
        <v>5.1369863013698627</v>
      </c>
      <c r="P1693" s="59">
        <f t="shared" si="160"/>
        <v>3.0821917808219177</v>
      </c>
    </row>
    <row r="1694" spans="12:16" ht="15" hidden="1" customHeight="1">
      <c r="L1694" s="58">
        <f t="shared" si="158"/>
        <v>47926</v>
      </c>
      <c r="M1694" s="59">
        <f t="shared" si="161"/>
        <v>0</v>
      </c>
      <c r="N1694" s="59">
        <f t="shared" si="159"/>
        <v>37500</v>
      </c>
      <c r="O1694" s="59">
        <f t="shared" si="162"/>
        <v>5.1369863013698627</v>
      </c>
      <c r="P1694" s="59">
        <f t="shared" si="160"/>
        <v>3.0821917808219177</v>
      </c>
    </row>
    <row r="1695" spans="12:16" ht="15" hidden="1" customHeight="1">
      <c r="L1695" s="58">
        <f t="shared" si="158"/>
        <v>47927</v>
      </c>
      <c r="M1695" s="59">
        <f t="shared" si="161"/>
        <v>0</v>
      </c>
      <c r="N1695" s="59">
        <f t="shared" si="159"/>
        <v>37500</v>
      </c>
      <c r="O1695" s="59">
        <f t="shared" si="162"/>
        <v>5.1369863013698627</v>
      </c>
      <c r="P1695" s="59">
        <f t="shared" si="160"/>
        <v>3.0821917808219177</v>
      </c>
    </row>
    <row r="1696" spans="12:16" ht="15" hidden="1" customHeight="1">
      <c r="L1696" s="58">
        <f t="shared" si="158"/>
        <v>47928</v>
      </c>
      <c r="M1696" s="59">
        <f t="shared" si="161"/>
        <v>0</v>
      </c>
      <c r="N1696" s="59">
        <f t="shared" si="159"/>
        <v>37500</v>
      </c>
      <c r="O1696" s="59">
        <f t="shared" si="162"/>
        <v>5.1369863013698627</v>
      </c>
      <c r="P1696" s="59">
        <f t="shared" si="160"/>
        <v>3.0821917808219177</v>
      </c>
    </row>
    <row r="1697" spans="12:16" ht="15" hidden="1" customHeight="1">
      <c r="L1697" s="58">
        <f t="shared" si="158"/>
        <v>47929</v>
      </c>
      <c r="M1697" s="59">
        <f t="shared" si="161"/>
        <v>0</v>
      </c>
      <c r="N1697" s="59">
        <f t="shared" si="159"/>
        <v>37500</v>
      </c>
      <c r="O1697" s="59">
        <f t="shared" si="162"/>
        <v>5.1369863013698627</v>
      </c>
      <c r="P1697" s="59">
        <f t="shared" si="160"/>
        <v>3.0821917808219177</v>
      </c>
    </row>
    <row r="1698" spans="12:16" ht="15" hidden="1" customHeight="1">
      <c r="L1698" s="58">
        <f t="shared" ref="L1698:L1761" si="163">IFERROR(IF(MAX(L1697+1,$F$5+1)&gt;Дата_погашения_Займа,"-",MAX(L1697+1,$F$5+1)),"-")</f>
        <v>47930</v>
      </c>
      <c r="M1698" s="59">
        <f t="shared" si="161"/>
        <v>0</v>
      </c>
      <c r="N1698" s="59">
        <f t="shared" si="159"/>
        <v>37500</v>
      </c>
      <c r="O1698" s="59">
        <f t="shared" si="162"/>
        <v>5.1369863013698627</v>
      </c>
      <c r="P1698" s="59">
        <f t="shared" si="160"/>
        <v>3.0821917808219177</v>
      </c>
    </row>
    <row r="1699" spans="12:16" ht="15" hidden="1" customHeight="1">
      <c r="L1699" s="58">
        <f t="shared" si="163"/>
        <v>47931</v>
      </c>
      <c r="M1699" s="59">
        <f t="shared" si="161"/>
        <v>0</v>
      </c>
      <c r="N1699" s="59">
        <f t="shared" si="159"/>
        <v>37500</v>
      </c>
      <c r="O1699" s="59">
        <f t="shared" si="162"/>
        <v>5.1369863013698627</v>
      </c>
      <c r="P1699" s="59">
        <f t="shared" si="160"/>
        <v>3.0821917808219177</v>
      </c>
    </row>
    <row r="1700" spans="12:16" ht="15" hidden="1" customHeight="1">
      <c r="L1700" s="58">
        <f t="shared" si="163"/>
        <v>47932</v>
      </c>
      <c r="M1700" s="59">
        <f t="shared" si="161"/>
        <v>0</v>
      </c>
      <c r="N1700" s="59">
        <f t="shared" si="159"/>
        <v>37500</v>
      </c>
      <c r="O1700" s="59">
        <f t="shared" si="162"/>
        <v>5.1369863013698627</v>
      </c>
      <c r="P1700" s="59">
        <f t="shared" si="160"/>
        <v>3.0821917808219177</v>
      </c>
    </row>
    <row r="1701" spans="12:16" ht="15" hidden="1" customHeight="1">
      <c r="L1701" s="58">
        <f t="shared" si="163"/>
        <v>47933</v>
      </c>
      <c r="M1701" s="59">
        <f t="shared" si="161"/>
        <v>0</v>
      </c>
      <c r="N1701" s="59">
        <f t="shared" si="159"/>
        <v>37500</v>
      </c>
      <c r="O1701" s="59">
        <f t="shared" si="162"/>
        <v>5.1369863013698627</v>
      </c>
      <c r="P1701" s="59">
        <f t="shared" si="160"/>
        <v>3.0821917808219177</v>
      </c>
    </row>
    <row r="1702" spans="12:16" ht="15" hidden="1" customHeight="1">
      <c r="L1702" s="58">
        <f t="shared" si="163"/>
        <v>47934</v>
      </c>
      <c r="M1702" s="59">
        <f t="shared" si="161"/>
        <v>0</v>
      </c>
      <c r="N1702" s="59">
        <f t="shared" si="159"/>
        <v>37500</v>
      </c>
      <c r="O1702" s="59">
        <f t="shared" si="162"/>
        <v>5.1369863013698627</v>
      </c>
      <c r="P1702" s="59">
        <f t="shared" si="160"/>
        <v>3.0821917808219177</v>
      </c>
    </row>
    <row r="1703" spans="12:16" ht="15" hidden="1" customHeight="1">
      <c r="L1703" s="58">
        <f t="shared" si="163"/>
        <v>47935</v>
      </c>
      <c r="M1703" s="59">
        <f t="shared" si="161"/>
        <v>0</v>
      </c>
      <c r="N1703" s="59">
        <f t="shared" si="159"/>
        <v>37500</v>
      </c>
      <c r="O1703" s="59">
        <f t="shared" si="162"/>
        <v>5.1369863013698627</v>
      </c>
      <c r="P1703" s="59">
        <f t="shared" si="160"/>
        <v>3.0821917808219177</v>
      </c>
    </row>
    <row r="1704" spans="12:16" ht="15" hidden="1" customHeight="1">
      <c r="L1704" s="58">
        <f t="shared" si="163"/>
        <v>47936</v>
      </c>
      <c r="M1704" s="59">
        <f t="shared" si="161"/>
        <v>0</v>
      </c>
      <c r="N1704" s="59">
        <f t="shared" si="159"/>
        <v>37500</v>
      </c>
      <c r="O1704" s="59">
        <f t="shared" si="162"/>
        <v>5.1369863013698627</v>
      </c>
      <c r="P1704" s="59">
        <f t="shared" si="160"/>
        <v>3.0821917808219177</v>
      </c>
    </row>
    <row r="1705" spans="12:16" ht="15" hidden="1" customHeight="1">
      <c r="L1705" s="58">
        <f t="shared" si="163"/>
        <v>47937</v>
      </c>
      <c r="M1705" s="59">
        <f t="shared" si="161"/>
        <v>0</v>
      </c>
      <c r="N1705" s="59">
        <f t="shared" si="159"/>
        <v>37500</v>
      </c>
      <c r="O1705" s="59">
        <f t="shared" si="162"/>
        <v>5.1369863013698627</v>
      </c>
      <c r="P1705" s="59">
        <f t="shared" si="160"/>
        <v>3.0821917808219177</v>
      </c>
    </row>
    <row r="1706" spans="12:16" ht="15" hidden="1" customHeight="1">
      <c r="L1706" s="58">
        <f t="shared" si="163"/>
        <v>47938</v>
      </c>
      <c r="M1706" s="59">
        <f t="shared" si="161"/>
        <v>12500</v>
      </c>
      <c r="N1706" s="59">
        <f t="shared" si="159"/>
        <v>25000</v>
      </c>
      <c r="O1706" s="59">
        <f t="shared" si="162"/>
        <v>5.1369863013698627</v>
      </c>
      <c r="P1706" s="59">
        <f t="shared" si="160"/>
        <v>3.0821917808219177</v>
      </c>
    </row>
    <row r="1707" spans="12:16" ht="15" hidden="1" customHeight="1">
      <c r="L1707" s="58">
        <f t="shared" si="163"/>
        <v>47939</v>
      </c>
      <c r="M1707" s="59">
        <f t="shared" si="161"/>
        <v>0</v>
      </c>
      <c r="N1707" s="59">
        <f t="shared" si="159"/>
        <v>25000</v>
      </c>
      <c r="O1707" s="59">
        <f t="shared" si="162"/>
        <v>3.4246575342465753</v>
      </c>
      <c r="P1707" s="59">
        <f t="shared" si="160"/>
        <v>2.0547945205479454</v>
      </c>
    </row>
    <row r="1708" spans="12:16" ht="15" hidden="1" customHeight="1">
      <c r="L1708" s="58">
        <f t="shared" si="163"/>
        <v>47940</v>
      </c>
      <c r="M1708" s="59">
        <f t="shared" si="161"/>
        <v>0</v>
      </c>
      <c r="N1708" s="59">
        <f t="shared" si="159"/>
        <v>25000</v>
      </c>
      <c r="O1708" s="59">
        <f t="shared" si="162"/>
        <v>3.4246575342465753</v>
      </c>
      <c r="P1708" s="59">
        <f t="shared" si="160"/>
        <v>2.0547945205479454</v>
      </c>
    </row>
    <row r="1709" spans="12:16" ht="15" hidden="1" customHeight="1">
      <c r="L1709" s="58">
        <f t="shared" si="163"/>
        <v>47941</v>
      </c>
      <c r="M1709" s="59">
        <f t="shared" si="161"/>
        <v>0</v>
      </c>
      <c r="N1709" s="59">
        <f t="shared" si="159"/>
        <v>25000</v>
      </c>
      <c r="O1709" s="59">
        <f t="shared" si="162"/>
        <v>3.4246575342465753</v>
      </c>
      <c r="P1709" s="59">
        <f t="shared" si="160"/>
        <v>2.0547945205479454</v>
      </c>
    </row>
    <row r="1710" spans="12:16" ht="15" hidden="1" customHeight="1">
      <c r="L1710" s="58">
        <f t="shared" si="163"/>
        <v>47942</v>
      </c>
      <c r="M1710" s="59">
        <f t="shared" si="161"/>
        <v>0</v>
      </c>
      <c r="N1710" s="59">
        <f t="shared" si="159"/>
        <v>25000</v>
      </c>
      <c r="O1710" s="59">
        <f t="shared" si="162"/>
        <v>3.4246575342465753</v>
      </c>
      <c r="P1710" s="59">
        <f t="shared" si="160"/>
        <v>2.0547945205479454</v>
      </c>
    </row>
    <row r="1711" spans="12:16" ht="15" hidden="1" customHeight="1">
      <c r="L1711" s="58">
        <f t="shared" si="163"/>
        <v>47943</v>
      </c>
      <c r="M1711" s="59">
        <f t="shared" si="161"/>
        <v>0</v>
      </c>
      <c r="N1711" s="59">
        <f t="shared" si="159"/>
        <v>25000</v>
      </c>
      <c r="O1711" s="59">
        <f t="shared" si="162"/>
        <v>3.4246575342465753</v>
      </c>
      <c r="P1711" s="59">
        <f t="shared" si="160"/>
        <v>2.0547945205479454</v>
      </c>
    </row>
    <row r="1712" spans="12:16" ht="15" hidden="1" customHeight="1">
      <c r="L1712" s="58">
        <f t="shared" si="163"/>
        <v>47944</v>
      </c>
      <c r="M1712" s="59">
        <f t="shared" si="161"/>
        <v>0</v>
      </c>
      <c r="N1712" s="59">
        <f t="shared" ref="N1712:N1775" si="164">IF(ISNUMBER(N1711),N1711-M1712,$E$8)</f>
        <v>25000</v>
      </c>
      <c r="O1712" s="59">
        <f t="shared" si="162"/>
        <v>3.4246575342465753</v>
      </c>
      <c r="P1712" s="59">
        <f t="shared" ref="P1712:P1775" si="165">IFERROR(IF(ISNUMBER(N1711),N1711,$E$8)*3%/IF(MOD(YEAR(L1712),4),365,366)*IF(ISBLANK(L1711),(L1712-$F$5),L1712-L1711),0)</f>
        <v>2.0547945205479454</v>
      </c>
    </row>
    <row r="1713" spans="12:16" ht="15" hidden="1" customHeight="1">
      <c r="L1713" s="58">
        <f t="shared" si="163"/>
        <v>47945</v>
      </c>
      <c r="M1713" s="59">
        <f t="shared" si="161"/>
        <v>0</v>
      </c>
      <c r="N1713" s="59">
        <f t="shared" si="164"/>
        <v>25000</v>
      </c>
      <c r="O1713" s="59">
        <f t="shared" si="162"/>
        <v>3.4246575342465753</v>
      </c>
      <c r="P1713" s="59">
        <f t="shared" si="165"/>
        <v>2.0547945205479454</v>
      </c>
    </row>
    <row r="1714" spans="12:16" ht="15" hidden="1" customHeight="1">
      <c r="L1714" s="58">
        <f t="shared" si="163"/>
        <v>47946</v>
      </c>
      <c r="M1714" s="59">
        <f t="shared" si="161"/>
        <v>0</v>
      </c>
      <c r="N1714" s="59">
        <f t="shared" si="164"/>
        <v>25000</v>
      </c>
      <c r="O1714" s="59">
        <f t="shared" si="162"/>
        <v>3.4246575342465753</v>
      </c>
      <c r="P1714" s="59">
        <f t="shared" si="165"/>
        <v>2.0547945205479454</v>
      </c>
    </row>
    <row r="1715" spans="12:16" ht="15" hidden="1" customHeight="1">
      <c r="L1715" s="58">
        <f t="shared" si="163"/>
        <v>47947</v>
      </c>
      <c r="M1715" s="59">
        <f t="shared" si="161"/>
        <v>0</v>
      </c>
      <c r="N1715" s="59">
        <f t="shared" si="164"/>
        <v>25000</v>
      </c>
      <c r="O1715" s="59">
        <f t="shared" si="162"/>
        <v>3.4246575342465753</v>
      </c>
      <c r="P1715" s="59">
        <f t="shared" si="165"/>
        <v>2.0547945205479454</v>
      </c>
    </row>
    <row r="1716" spans="12:16" ht="15" hidden="1" customHeight="1">
      <c r="L1716" s="58">
        <f t="shared" si="163"/>
        <v>47948</v>
      </c>
      <c r="M1716" s="59">
        <f t="shared" si="161"/>
        <v>0</v>
      </c>
      <c r="N1716" s="59">
        <f t="shared" si="164"/>
        <v>25000</v>
      </c>
      <c r="O1716" s="59">
        <f t="shared" si="162"/>
        <v>3.4246575342465753</v>
      </c>
      <c r="P1716" s="59">
        <f t="shared" si="165"/>
        <v>2.0547945205479454</v>
      </c>
    </row>
    <row r="1717" spans="12:16" ht="15" hidden="1" customHeight="1">
      <c r="L1717" s="58">
        <f t="shared" si="163"/>
        <v>47949</v>
      </c>
      <c r="M1717" s="59">
        <f t="shared" si="161"/>
        <v>0</v>
      </c>
      <c r="N1717" s="59">
        <f t="shared" si="164"/>
        <v>25000</v>
      </c>
      <c r="O1717" s="59">
        <f t="shared" si="162"/>
        <v>3.4246575342465753</v>
      </c>
      <c r="P1717" s="59">
        <f t="shared" si="165"/>
        <v>2.0547945205479454</v>
      </c>
    </row>
    <row r="1718" spans="12:16" ht="15" hidden="1" customHeight="1">
      <c r="L1718" s="58">
        <f t="shared" si="163"/>
        <v>47950</v>
      </c>
      <c r="M1718" s="59">
        <f t="shared" si="161"/>
        <v>0</v>
      </c>
      <c r="N1718" s="59">
        <f t="shared" si="164"/>
        <v>25000</v>
      </c>
      <c r="O1718" s="59">
        <f t="shared" si="162"/>
        <v>3.4246575342465753</v>
      </c>
      <c r="P1718" s="59">
        <f t="shared" si="165"/>
        <v>2.0547945205479454</v>
      </c>
    </row>
    <row r="1719" spans="12:16" ht="15" hidden="1" customHeight="1">
      <c r="L1719" s="58">
        <f t="shared" si="163"/>
        <v>47951</v>
      </c>
      <c r="M1719" s="59">
        <f t="shared" si="161"/>
        <v>0</v>
      </c>
      <c r="N1719" s="59">
        <f t="shared" si="164"/>
        <v>25000</v>
      </c>
      <c r="O1719" s="59">
        <f t="shared" si="162"/>
        <v>3.4246575342465753</v>
      </c>
      <c r="P1719" s="59">
        <f t="shared" si="165"/>
        <v>2.0547945205479454</v>
      </c>
    </row>
    <row r="1720" spans="12:16" ht="15" hidden="1" customHeight="1">
      <c r="L1720" s="58">
        <f t="shared" si="163"/>
        <v>47952</v>
      </c>
      <c r="M1720" s="59">
        <f t="shared" si="161"/>
        <v>0</v>
      </c>
      <c r="N1720" s="59">
        <f t="shared" si="164"/>
        <v>25000</v>
      </c>
      <c r="O1720" s="59">
        <f t="shared" si="162"/>
        <v>3.4246575342465753</v>
      </c>
      <c r="P1720" s="59">
        <f t="shared" si="165"/>
        <v>2.0547945205479454</v>
      </c>
    </row>
    <row r="1721" spans="12:16" ht="15" hidden="1" customHeight="1">
      <c r="L1721" s="58">
        <f t="shared" si="163"/>
        <v>47953</v>
      </c>
      <c r="M1721" s="59">
        <f t="shared" si="161"/>
        <v>0</v>
      </c>
      <c r="N1721" s="59">
        <f t="shared" si="164"/>
        <v>25000</v>
      </c>
      <c r="O1721" s="59">
        <f t="shared" si="162"/>
        <v>3.4246575342465753</v>
      </c>
      <c r="P1721" s="59">
        <f t="shared" si="165"/>
        <v>2.0547945205479454</v>
      </c>
    </row>
    <row r="1722" spans="12:16" ht="15" hidden="1" customHeight="1">
      <c r="L1722" s="58">
        <f t="shared" si="163"/>
        <v>47954</v>
      </c>
      <c r="M1722" s="59">
        <f t="shared" si="161"/>
        <v>0</v>
      </c>
      <c r="N1722" s="59">
        <f t="shared" si="164"/>
        <v>25000</v>
      </c>
      <c r="O1722" s="59">
        <f t="shared" si="162"/>
        <v>3.4246575342465753</v>
      </c>
      <c r="P1722" s="59">
        <f t="shared" si="165"/>
        <v>2.0547945205479454</v>
      </c>
    </row>
    <row r="1723" spans="12:16" ht="15" hidden="1" customHeight="1">
      <c r="L1723" s="58">
        <f t="shared" si="163"/>
        <v>47955</v>
      </c>
      <c r="M1723" s="59">
        <f t="shared" si="161"/>
        <v>0</v>
      </c>
      <c r="N1723" s="59">
        <f t="shared" si="164"/>
        <v>25000</v>
      </c>
      <c r="O1723" s="59">
        <f t="shared" si="162"/>
        <v>3.4246575342465753</v>
      </c>
      <c r="P1723" s="59">
        <f t="shared" si="165"/>
        <v>2.0547945205479454</v>
      </c>
    </row>
    <row r="1724" spans="12:16" ht="15" hidden="1" customHeight="1">
      <c r="L1724" s="58">
        <f t="shared" si="163"/>
        <v>47956</v>
      </c>
      <c r="M1724" s="59">
        <f t="shared" si="161"/>
        <v>0</v>
      </c>
      <c r="N1724" s="59">
        <f t="shared" si="164"/>
        <v>25000</v>
      </c>
      <c r="O1724" s="59">
        <f t="shared" si="162"/>
        <v>3.4246575342465753</v>
      </c>
      <c r="P1724" s="59">
        <f t="shared" si="165"/>
        <v>2.0547945205479454</v>
      </c>
    </row>
    <row r="1725" spans="12:16" ht="15" hidden="1" customHeight="1">
      <c r="L1725" s="58">
        <f t="shared" si="163"/>
        <v>47957</v>
      </c>
      <c r="M1725" s="59">
        <f t="shared" si="161"/>
        <v>0</v>
      </c>
      <c r="N1725" s="59">
        <f t="shared" si="164"/>
        <v>25000</v>
      </c>
      <c r="O1725" s="59">
        <f t="shared" si="162"/>
        <v>3.4246575342465753</v>
      </c>
      <c r="P1725" s="59">
        <f t="shared" si="165"/>
        <v>2.0547945205479454</v>
      </c>
    </row>
    <row r="1726" spans="12:16" ht="15" hidden="1" customHeight="1">
      <c r="L1726" s="58">
        <f t="shared" si="163"/>
        <v>47958</v>
      </c>
      <c r="M1726" s="59">
        <f t="shared" si="161"/>
        <v>0</v>
      </c>
      <c r="N1726" s="59">
        <f t="shared" si="164"/>
        <v>25000</v>
      </c>
      <c r="O1726" s="59">
        <f t="shared" si="162"/>
        <v>3.4246575342465753</v>
      </c>
      <c r="P1726" s="59">
        <f t="shared" si="165"/>
        <v>2.0547945205479454</v>
      </c>
    </row>
    <row r="1727" spans="12:16" ht="15" hidden="1" customHeight="1">
      <c r="L1727" s="58">
        <f t="shared" si="163"/>
        <v>47959</v>
      </c>
      <c r="M1727" s="59">
        <f t="shared" si="161"/>
        <v>0</v>
      </c>
      <c r="N1727" s="59">
        <f t="shared" si="164"/>
        <v>25000</v>
      </c>
      <c r="O1727" s="59">
        <f t="shared" si="162"/>
        <v>3.4246575342465753</v>
      </c>
      <c r="P1727" s="59">
        <f t="shared" si="165"/>
        <v>2.0547945205479454</v>
      </c>
    </row>
    <row r="1728" spans="12:16" ht="15" hidden="1" customHeight="1">
      <c r="L1728" s="58">
        <f t="shared" si="163"/>
        <v>47960</v>
      </c>
      <c r="M1728" s="59">
        <f t="shared" si="161"/>
        <v>0</v>
      </c>
      <c r="N1728" s="59">
        <f t="shared" si="164"/>
        <v>25000</v>
      </c>
      <c r="O1728" s="59">
        <f t="shared" si="162"/>
        <v>3.4246575342465753</v>
      </c>
      <c r="P1728" s="59">
        <f t="shared" si="165"/>
        <v>2.0547945205479454</v>
      </c>
    </row>
    <row r="1729" spans="12:16" ht="15" hidden="1" customHeight="1">
      <c r="L1729" s="58">
        <f t="shared" si="163"/>
        <v>47961</v>
      </c>
      <c r="M1729" s="59">
        <f t="shared" si="161"/>
        <v>0</v>
      </c>
      <c r="N1729" s="59">
        <f t="shared" si="164"/>
        <v>25000</v>
      </c>
      <c r="O1729" s="59">
        <f t="shared" si="162"/>
        <v>3.4246575342465753</v>
      </c>
      <c r="P1729" s="59">
        <f t="shared" si="165"/>
        <v>2.0547945205479454</v>
      </c>
    </row>
    <row r="1730" spans="12:16" ht="15" hidden="1" customHeight="1">
      <c r="L1730" s="58">
        <f t="shared" si="163"/>
        <v>47962</v>
      </c>
      <c r="M1730" s="59">
        <f t="shared" si="161"/>
        <v>0</v>
      </c>
      <c r="N1730" s="59">
        <f t="shared" si="164"/>
        <v>25000</v>
      </c>
      <c r="O1730" s="59">
        <f t="shared" si="162"/>
        <v>3.4246575342465753</v>
      </c>
      <c r="P1730" s="59">
        <f t="shared" si="165"/>
        <v>2.0547945205479454</v>
      </c>
    </row>
    <row r="1731" spans="12:16" ht="15" hidden="1" customHeight="1">
      <c r="L1731" s="58">
        <f t="shared" si="163"/>
        <v>47963</v>
      </c>
      <c r="M1731" s="59">
        <f t="shared" si="161"/>
        <v>0</v>
      </c>
      <c r="N1731" s="59">
        <f t="shared" si="164"/>
        <v>25000</v>
      </c>
      <c r="O1731" s="59">
        <f t="shared" si="162"/>
        <v>3.4246575342465753</v>
      </c>
      <c r="P1731" s="59">
        <f t="shared" si="165"/>
        <v>2.0547945205479454</v>
      </c>
    </row>
    <row r="1732" spans="12:16" ht="15" hidden="1" customHeight="1">
      <c r="L1732" s="58">
        <f t="shared" si="163"/>
        <v>47964</v>
      </c>
      <c r="M1732" s="59">
        <f t="shared" si="161"/>
        <v>0</v>
      </c>
      <c r="N1732" s="59">
        <f t="shared" si="164"/>
        <v>25000</v>
      </c>
      <c r="O1732" s="59">
        <f t="shared" si="162"/>
        <v>3.4246575342465753</v>
      </c>
      <c r="P1732" s="59">
        <f t="shared" si="165"/>
        <v>2.0547945205479454</v>
      </c>
    </row>
    <row r="1733" spans="12:16" ht="15" hidden="1" customHeight="1">
      <c r="L1733" s="58">
        <f t="shared" si="163"/>
        <v>47965</v>
      </c>
      <c r="M1733" s="59">
        <f t="shared" si="161"/>
        <v>0</v>
      </c>
      <c r="N1733" s="59">
        <f t="shared" si="164"/>
        <v>25000</v>
      </c>
      <c r="O1733" s="59">
        <f t="shared" si="162"/>
        <v>3.4246575342465753</v>
      </c>
      <c r="P1733" s="59">
        <f t="shared" si="165"/>
        <v>2.0547945205479454</v>
      </c>
    </row>
    <row r="1734" spans="12:16" ht="15" hidden="1" customHeight="1">
      <c r="L1734" s="58">
        <f t="shared" si="163"/>
        <v>47966</v>
      </c>
      <c r="M1734" s="59">
        <f t="shared" si="161"/>
        <v>0</v>
      </c>
      <c r="N1734" s="59">
        <f t="shared" si="164"/>
        <v>25000</v>
      </c>
      <c r="O1734" s="59">
        <f t="shared" si="162"/>
        <v>3.4246575342465753</v>
      </c>
      <c r="P1734" s="59">
        <f t="shared" si="165"/>
        <v>2.0547945205479454</v>
      </c>
    </row>
    <row r="1735" spans="12:16" ht="15" hidden="1" customHeight="1">
      <c r="L1735" s="58">
        <f t="shared" si="163"/>
        <v>47967</v>
      </c>
      <c r="M1735" s="59">
        <f t="shared" si="161"/>
        <v>0</v>
      </c>
      <c r="N1735" s="59">
        <f t="shared" si="164"/>
        <v>25000</v>
      </c>
      <c r="O1735" s="59">
        <f t="shared" si="162"/>
        <v>3.4246575342465753</v>
      </c>
      <c r="P1735" s="59">
        <f t="shared" si="165"/>
        <v>2.0547945205479454</v>
      </c>
    </row>
    <row r="1736" spans="12:16" ht="15" hidden="1" customHeight="1">
      <c r="L1736" s="58">
        <f t="shared" si="163"/>
        <v>47968</v>
      </c>
      <c r="M1736" s="59">
        <f t="shared" si="161"/>
        <v>0</v>
      </c>
      <c r="N1736" s="59">
        <f t="shared" si="164"/>
        <v>25000</v>
      </c>
      <c r="O1736" s="59">
        <f t="shared" si="162"/>
        <v>3.4246575342465753</v>
      </c>
      <c r="P1736" s="59">
        <f t="shared" si="165"/>
        <v>2.0547945205479454</v>
      </c>
    </row>
    <row r="1737" spans="12:16" ht="15" hidden="1" customHeight="1">
      <c r="L1737" s="58">
        <f t="shared" si="163"/>
        <v>47969</v>
      </c>
      <c r="M1737" s="59">
        <f t="shared" si="161"/>
        <v>0</v>
      </c>
      <c r="N1737" s="59">
        <f t="shared" si="164"/>
        <v>25000</v>
      </c>
      <c r="O1737" s="59">
        <f t="shared" si="162"/>
        <v>3.4246575342465753</v>
      </c>
      <c r="P1737" s="59">
        <f t="shared" si="165"/>
        <v>2.0547945205479454</v>
      </c>
    </row>
    <row r="1738" spans="12:16" ht="15" hidden="1" customHeight="1">
      <c r="L1738" s="58">
        <f t="shared" si="163"/>
        <v>47970</v>
      </c>
      <c r="M1738" s="59">
        <f t="shared" si="161"/>
        <v>0</v>
      </c>
      <c r="N1738" s="59">
        <f t="shared" si="164"/>
        <v>25000</v>
      </c>
      <c r="O1738" s="59">
        <f t="shared" si="162"/>
        <v>3.4246575342465753</v>
      </c>
      <c r="P1738" s="59">
        <f t="shared" si="165"/>
        <v>2.0547945205479454</v>
      </c>
    </row>
    <row r="1739" spans="12:16" ht="15" hidden="1" customHeight="1">
      <c r="L1739" s="58">
        <f t="shared" si="163"/>
        <v>47971</v>
      </c>
      <c r="M1739" s="59">
        <f t="shared" si="161"/>
        <v>0</v>
      </c>
      <c r="N1739" s="59">
        <f t="shared" si="164"/>
        <v>25000</v>
      </c>
      <c r="O1739" s="59">
        <f t="shared" si="162"/>
        <v>3.4246575342465753</v>
      </c>
      <c r="P1739" s="59">
        <f t="shared" si="165"/>
        <v>2.0547945205479454</v>
      </c>
    </row>
    <row r="1740" spans="12:16" ht="15" hidden="1" customHeight="1">
      <c r="L1740" s="58">
        <f t="shared" si="163"/>
        <v>47972</v>
      </c>
      <c r="M1740" s="59">
        <f t="shared" si="161"/>
        <v>0</v>
      </c>
      <c r="N1740" s="59">
        <f t="shared" si="164"/>
        <v>25000</v>
      </c>
      <c r="O1740" s="59">
        <f t="shared" si="162"/>
        <v>3.4246575342465753</v>
      </c>
      <c r="P1740" s="59">
        <f t="shared" si="165"/>
        <v>2.0547945205479454</v>
      </c>
    </row>
    <row r="1741" spans="12:16" ht="15" hidden="1" customHeight="1">
      <c r="L1741" s="58">
        <f t="shared" si="163"/>
        <v>47973</v>
      </c>
      <c r="M1741" s="59">
        <f t="shared" si="161"/>
        <v>0</v>
      </c>
      <c r="N1741" s="59">
        <f t="shared" si="164"/>
        <v>25000</v>
      </c>
      <c r="O1741" s="59">
        <f t="shared" si="162"/>
        <v>3.4246575342465753</v>
      </c>
      <c r="P1741" s="59">
        <f t="shared" si="165"/>
        <v>2.0547945205479454</v>
      </c>
    </row>
    <row r="1742" spans="12:16" ht="15" hidden="1" customHeight="1">
      <c r="L1742" s="58">
        <f t="shared" si="163"/>
        <v>47974</v>
      </c>
      <c r="M1742" s="59">
        <f t="shared" si="161"/>
        <v>0</v>
      </c>
      <c r="N1742" s="59">
        <f t="shared" si="164"/>
        <v>25000</v>
      </c>
      <c r="O1742" s="59">
        <f t="shared" si="162"/>
        <v>3.4246575342465753</v>
      </c>
      <c r="P1742" s="59">
        <f t="shared" si="165"/>
        <v>2.0547945205479454</v>
      </c>
    </row>
    <row r="1743" spans="12:16" ht="15" hidden="1" customHeight="1">
      <c r="L1743" s="58">
        <f t="shared" si="163"/>
        <v>47975</v>
      </c>
      <c r="M1743" s="59">
        <f t="shared" si="161"/>
        <v>0</v>
      </c>
      <c r="N1743" s="59">
        <f t="shared" si="164"/>
        <v>25000</v>
      </c>
      <c r="O1743" s="59">
        <f t="shared" si="162"/>
        <v>3.4246575342465753</v>
      </c>
      <c r="P1743" s="59">
        <f t="shared" si="165"/>
        <v>2.0547945205479454</v>
      </c>
    </row>
    <row r="1744" spans="12:16" ht="15" hidden="1" customHeight="1">
      <c r="L1744" s="58">
        <f t="shared" si="163"/>
        <v>47976</v>
      </c>
      <c r="M1744" s="59">
        <f t="shared" si="161"/>
        <v>0</v>
      </c>
      <c r="N1744" s="59">
        <f t="shared" si="164"/>
        <v>25000</v>
      </c>
      <c r="O1744" s="59">
        <f t="shared" si="162"/>
        <v>3.4246575342465753</v>
      </c>
      <c r="P1744" s="59">
        <f t="shared" si="165"/>
        <v>2.0547945205479454</v>
      </c>
    </row>
    <row r="1745" spans="12:16" ht="15" hidden="1" customHeight="1">
      <c r="L1745" s="58">
        <f t="shared" si="163"/>
        <v>47977</v>
      </c>
      <c r="M1745" s="59">
        <f t="shared" si="161"/>
        <v>0</v>
      </c>
      <c r="N1745" s="59">
        <f t="shared" si="164"/>
        <v>25000</v>
      </c>
      <c r="O1745" s="59">
        <f t="shared" si="162"/>
        <v>3.4246575342465753</v>
      </c>
      <c r="P1745" s="59">
        <f t="shared" si="165"/>
        <v>2.0547945205479454</v>
      </c>
    </row>
    <row r="1746" spans="12:16" ht="15" hidden="1" customHeight="1">
      <c r="L1746" s="58">
        <f t="shared" si="163"/>
        <v>47978</v>
      </c>
      <c r="M1746" s="59">
        <f t="shared" si="161"/>
        <v>0</v>
      </c>
      <c r="N1746" s="59">
        <f t="shared" si="164"/>
        <v>25000</v>
      </c>
      <c r="O1746" s="59">
        <f t="shared" si="162"/>
        <v>3.4246575342465753</v>
      </c>
      <c r="P1746" s="59">
        <f t="shared" si="165"/>
        <v>2.0547945205479454</v>
      </c>
    </row>
    <row r="1747" spans="12:16" ht="15" hidden="1" customHeight="1">
      <c r="L1747" s="58">
        <f t="shared" si="163"/>
        <v>47979</v>
      </c>
      <c r="M1747" s="59">
        <f t="shared" ref="M1747:M1810" si="166">IFERROR(VLOOKUP(L1747,$B$19:$E$80,4,FALSE),0)</f>
        <v>0</v>
      </c>
      <c r="N1747" s="59">
        <f t="shared" si="164"/>
        <v>25000</v>
      </c>
      <c r="O1747" s="59">
        <f t="shared" ref="O1747:O1810" si="167">IFERROR(IF(ISNUMBER(N1746),N1746,$E$8)*IF(L1747&gt;=$J$8,$E$12,$E$12)/IF(MOD(YEAR(L1747),4),365,366)*IF(ISBLANK(L1746),L1747-$F$5,L1747-L1746),0)</f>
        <v>3.4246575342465753</v>
      </c>
      <c r="P1747" s="59">
        <f t="shared" si="165"/>
        <v>2.0547945205479454</v>
      </c>
    </row>
    <row r="1748" spans="12:16" ht="15" hidden="1" customHeight="1">
      <c r="L1748" s="58">
        <f t="shared" si="163"/>
        <v>47980</v>
      </c>
      <c r="M1748" s="59">
        <f t="shared" si="166"/>
        <v>0</v>
      </c>
      <c r="N1748" s="59">
        <f t="shared" si="164"/>
        <v>25000</v>
      </c>
      <c r="O1748" s="59">
        <f t="shared" si="167"/>
        <v>3.4246575342465753</v>
      </c>
      <c r="P1748" s="59">
        <f t="shared" si="165"/>
        <v>2.0547945205479454</v>
      </c>
    </row>
    <row r="1749" spans="12:16" ht="15" hidden="1" customHeight="1">
      <c r="L1749" s="58">
        <f t="shared" si="163"/>
        <v>47981</v>
      </c>
      <c r="M1749" s="59">
        <f t="shared" si="166"/>
        <v>0</v>
      </c>
      <c r="N1749" s="59">
        <f t="shared" si="164"/>
        <v>25000</v>
      </c>
      <c r="O1749" s="59">
        <f t="shared" si="167"/>
        <v>3.4246575342465753</v>
      </c>
      <c r="P1749" s="59">
        <f t="shared" si="165"/>
        <v>2.0547945205479454</v>
      </c>
    </row>
    <row r="1750" spans="12:16" ht="15" hidden="1" customHeight="1">
      <c r="L1750" s="58">
        <f t="shared" si="163"/>
        <v>47982</v>
      </c>
      <c r="M1750" s="59">
        <f t="shared" si="166"/>
        <v>0</v>
      </c>
      <c r="N1750" s="59">
        <f t="shared" si="164"/>
        <v>25000</v>
      </c>
      <c r="O1750" s="59">
        <f t="shared" si="167"/>
        <v>3.4246575342465753</v>
      </c>
      <c r="P1750" s="59">
        <f t="shared" si="165"/>
        <v>2.0547945205479454</v>
      </c>
    </row>
    <row r="1751" spans="12:16" ht="15" hidden="1" customHeight="1">
      <c r="L1751" s="58">
        <f t="shared" si="163"/>
        <v>47983</v>
      </c>
      <c r="M1751" s="59">
        <f t="shared" si="166"/>
        <v>0</v>
      </c>
      <c r="N1751" s="59">
        <f t="shared" si="164"/>
        <v>25000</v>
      </c>
      <c r="O1751" s="59">
        <f t="shared" si="167"/>
        <v>3.4246575342465753</v>
      </c>
      <c r="P1751" s="59">
        <f t="shared" si="165"/>
        <v>2.0547945205479454</v>
      </c>
    </row>
    <row r="1752" spans="12:16" ht="15" hidden="1" customHeight="1">
      <c r="L1752" s="58">
        <f t="shared" si="163"/>
        <v>47984</v>
      </c>
      <c r="M1752" s="59">
        <f t="shared" si="166"/>
        <v>0</v>
      </c>
      <c r="N1752" s="59">
        <f t="shared" si="164"/>
        <v>25000</v>
      </c>
      <c r="O1752" s="59">
        <f t="shared" si="167"/>
        <v>3.4246575342465753</v>
      </c>
      <c r="P1752" s="59">
        <f t="shared" si="165"/>
        <v>2.0547945205479454</v>
      </c>
    </row>
    <row r="1753" spans="12:16" ht="15" hidden="1" customHeight="1">
      <c r="L1753" s="58">
        <f t="shared" si="163"/>
        <v>47985</v>
      </c>
      <c r="M1753" s="59">
        <f t="shared" si="166"/>
        <v>0</v>
      </c>
      <c r="N1753" s="59">
        <f t="shared" si="164"/>
        <v>25000</v>
      </c>
      <c r="O1753" s="59">
        <f t="shared" si="167"/>
        <v>3.4246575342465753</v>
      </c>
      <c r="P1753" s="59">
        <f t="shared" si="165"/>
        <v>2.0547945205479454</v>
      </c>
    </row>
    <row r="1754" spans="12:16" ht="15" hidden="1" customHeight="1">
      <c r="L1754" s="58">
        <f t="shared" si="163"/>
        <v>47986</v>
      </c>
      <c r="M1754" s="59">
        <f t="shared" si="166"/>
        <v>0</v>
      </c>
      <c r="N1754" s="59">
        <f t="shared" si="164"/>
        <v>25000</v>
      </c>
      <c r="O1754" s="59">
        <f t="shared" si="167"/>
        <v>3.4246575342465753</v>
      </c>
      <c r="P1754" s="59">
        <f t="shared" si="165"/>
        <v>2.0547945205479454</v>
      </c>
    </row>
    <row r="1755" spans="12:16" ht="15" hidden="1" customHeight="1">
      <c r="L1755" s="58">
        <f t="shared" si="163"/>
        <v>47987</v>
      </c>
      <c r="M1755" s="59">
        <f t="shared" si="166"/>
        <v>0</v>
      </c>
      <c r="N1755" s="59">
        <f t="shared" si="164"/>
        <v>25000</v>
      </c>
      <c r="O1755" s="59">
        <f t="shared" si="167"/>
        <v>3.4246575342465753</v>
      </c>
      <c r="P1755" s="59">
        <f t="shared" si="165"/>
        <v>2.0547945205479454</v>
      </c>
    </row>
    <row r="1756" spans="12:16" ht="15" hidden="1" customHeight="1">
      <c r="L1756" s="58">
        <f t="shared" si="163"/>
        <v>47988</v>
      </c>
      <c r="M1756" s="59">
        <f t="shared" si="166"/>
        <v>0</v>
      </c>
      <c r="N1756" s="59">
        <f t="shared" si="164"/>
        <v>25000</v>
      </c>
      <c r="O1756" s="59">
        <f t="shared" si="167"/>
        <v>3.4246575342465753</v>
      </c>
      <c r="P1756" s="59">
        <f t="shared" si="165"/>
        <v>2.0547945205479454</v>
      </c>
    </row>
    <row r="1757" spans="12:16" ht="15" hidden="1" customHeight="1">
      <c r="L1757" s="58">
        <f t="shared" si="163"/>
        <v>47989</v>
      </c>
      <c r="M1757" s="59">
        <f t="shared" si="166"/>
        <v>0</v>
      </c>
      <c r="N1757" s="59">
        <f t="shared" si="164"/>
        <v>25000</v>
      </c>
      <c r="O1757" s="59">
        <f t="shared" si="167"/>
        <v>3.4246575342465753</v>
      </c>
      <c r="P1757" s="59">
        <f t="shared" si="165"/>
        <v>2.0547945205479454</v>
      </c>
    </row>
    <row r="1758" spans="12:16" ht="15" hidden="1" customHeight="1">
      <c r="L1758" s="58">
        <f t="shared" si="163"/>
        <v>47990</v>
      </c>
      <c r="M1758" s="59">
        <f t="shared" si="166"/>
        <v>0</v>
      </c>
      <c r="N1758" s="59">
        <f t="shared" si="164"/>
        <v>25000</v>
      </c>
      <c r="O1758" s="59">
        <f t="shared" si="167"/>
        <v>3.4246575342465753</v>
      </c>
      <c r="P1758" s="59">
        <f t="shared" si="165"/>
        <v>2.0547945205479454</v>
      </c>
    </row>
    <row r="1759" spans="12:16" ht="15" hidden="1" customHeight="1">
      <c r="L1759" s="58">
        <f t="shared" si="163"/>
        <v>47991</v>
      </c>
      <c r="M1759" s="59">
        <f t="shared" si="166"/>
        <v>0</v>
      </c>
      <c r="N1759" s="59">
        <f t="shared" si="164"/>
        <v>25000</v>
      </c>
      <c r="O1759" s="59">
        <f t="shared" si="167"/>
        <v>3.4246575342465753</v>
      </c>
      <c r="P1759" s="59">
        <f t="shared" si="165"/>
        <v>2.0547945205479454</v>
      </c>
    </row>
    <row r="1760" spans="12:16" ht="15" hidden="1" customHeight="1">
      <c r="L1760" s="58">
        <f t="shared" si="163"/>
        <v>47992</v>
      </c>
      <c r="M1760" s="59">
        <f t="shared" si="166"/>
        <v>0</v>
      </c>
      <c r="N1760" s="59">
        <f t="shared" si="164"/>
        <v>25000</v>
      </c>
      <c r="O1760" s="59">
        <f t="shared" si="167"/>
        <v>3.4246575342465753</v>
      </c>
      <c r="P1760" s="59">
        <f t="shared" si="165"/>
        <v>2.0547945205479454</v>
      </c>
    </row>
    <row r="1761" spans="12:16" ht="15" hidden="1" customHeight="1">
      <c r="L1761" s="58">
        <f t="shared" si="163"/>
        <v>47993</v>
      </c>
      <c r="M1761" s="59">
        <f t="shared" si="166"/>
        <v>0</v>
      </c>
      <c r="N1761" s="59">
        <f t="shared" si="164"/>
        <v>25000</v>
      </c>
      <c r="O1761" s="59">
        <f t="shared" si="167"/>
        <v>3.4246575342465753</v>
      </c>
      <c r="P1761" s="59">
        <f t="shared" si="165"/>
        <v>2.0547945205479454</v>
      </c>
    </row>
    <row r="1762" spans="12:16" ht="15" hidden="1" customHeight="1">
      <c r="L1762" s="58">
        <f t="shared" ref="L1762:L1825" si="168">IFERROR(IF(MAX(L1761+1,$F$5+1)&gt;Дата_погашения_Займа,"-",MAX(L1761+1,$F$5+1)),"-")</f>
        <v>47994</v>
      </c>
      <c r="M1762" s="59">
        <f t="shared" si="166"/>
        <v>0</v>
      </c>
      <c r="N1762" s="59">
        <f t="shared" si="164"/>
        <v>25000</v>
      </c>
      <c r="O1762" s="59">
        <f t="shared" si="167"/>
        <v>3.4246575342465753</v>
      </c>
      <c r="P1762" s="59">
        <f t="shared" si="165"/>
        <v>2.0547945205479454</v>
      </c>
    </row>
    <row r="1763" spans="12:16" ht="15" hidden="1" customHeight="1">
      <c r="L1763" s="58">
        <f t="shared" si="168"/>
        <v>47995</v>
      </c>
      <c r="M1763" s="59">
        <f t="shared" si="166"/>
        <v>0</v>
      </c>
      <c r="N1763" s="59">
        <f t="shared" si="164"/>
        <v>25000</v>
      </c>
      <c r="O1763" s="59">
        <f t="shared" si="167"/>
        <v>3.4246575342465753</v>
      </c>
      <c r="P1763" s="59">
        <f t="shared" si="165"/>
        <v>2.0547945205479454</v>
      </c>
    </row>
    <row r="1764" spans="12:16" ht="15" hidden="1" customHeight="1">
      <c r="L1764" s="58">
        <f t="shared" si="168"/>
        <v>47996</v>
      </c>
      <c r="M1764" s="59">
        <f t="shared" si="166"/>
        <v>0</v>
      </c>
      <c r="N1764" s="59">
        <f t="shared" si="164"/>
        <v>25000</v>
      </c>
      <c r="O1764" s="59">
        <f t="shared" si="167"/>
        <v>3.4246575342465753</v>
      </c>
      <c r="P1764" s="59">
        <f t="shared" si="165"/>
        <v>2.0547945205479454</v>
      </c>
    </row>
    <row r="1765" spans="12:16" ht="15" hidden="1" customHeight="1">
      <c r="L1765" s="58">
        <f t="shared" si="168"/>
        <v>47997</v>
      </c>
      <c r="M1765" s="59">
        <f t="shared" si="166"/>
        <v>0</v>
      </c>
      <c r="N1765" s="59">
        <f t="shared" si="164"/>
        <v>25000</v>
      </c>
      <c r="O1765" s="59">
        <f t="shared" si="167"/>
        <v>3.4246575342465753</v>
      </c>
      <c r="P1765" s="59">
        <f t="shared" si="165"/>
        <v>2.0547945205479454</v>
      </c>
    </row>
    <row r="1766" spans="12:16" ht="15" hidden="1" customHeight="1">
      <c r="L1766" s="58">
        <f t="shared" si="168"/>
        <v>47998</v>
      </c>
      <c r="M1766" s="59">
        <f t="shared" si="166"/>
        <v>0</v>
      </c>
      <c r="N1766" s="59">
        <f t="shared" si="164"/>
        <v>25000</v>
      </c>
      <c r="O1766" s="59">
        <f t="shared" si="167"/>
        <v>3.4246575342465753</v>
      </c>
      <c r="P1766" s="59">
        <f t="shared" si="165"/>
        <v>2.0547945205479454</v>
      </c>
    </row>
    <row r="1767" spans="12:16" ht="15" hidden="1" customHeight="1">
      <c r="L1767" s="58">
        <f t="shared" si="168"/>
        <v>47999</v>
      </c>
      <c r="M1767" s="59">
        <f t="shared" si="166"/>
        <v>0</v>
      </c>
      <c r="N1767" s="59">
        <f t="shared" si="164"/>
        <v>25000</v>
      </c>
      <c r="O1767" s="59">
        <f t="shared" si="167"/>
        <v>3.4246575342465753</v>
      </c>
      <c r="P1767" s="59">
        <f t="shared" si="165"/>
        <v>2.0547945205479454</v>
      </c>
    </row>
    <row r="1768" spans="12:16" ht="15" hidden="1" customHeight="1">
      <c r="L1768" s="58">
        <f t="shared" si="168"/>
        <v>48000</v>
      </c>
      <c r="M1768" s="59">
        <f t="shared" si="166"/>
        <v>0</v>
      </c>
      <c r="N1768" s="59">
        <f t="shared" si="164"/>
        <v>25000</v>
      </c>
      <c r="O1768" s="59">
        <f t="shared" si="167"/>
        <v>3.4246575342465753</v>
      </c>
      <c r="P1768" s="59">
        <f t="shared" si="165"/>
        <v>2.0547945205479454</v>
      </c>
    </row>
    <row r="1769" spans="12:16" ht="15" hidden="1" customHeight="1">
      <c r="L1769" s="58">
        <f t="shared" si="168"/>
        <v>48001</v>
      </c>
      <c r="M1769" s="59">
        <f t="shared" si="166"/>
        <v>0</v>
      </c>
      <c r="N1769" s="59">
        <f t="shared" si="164"/>
        <v>25000</v>
      </c>
      <c r="O1769" s="59">
        <f t="shared" si="167"/>
        <v>3.4246575342465753</v>
      </c>
      <c r="P1769" s="59">
        <f t="shared" si="165"/>
        <v>2.0547945205479454</v>
      </c>
    </row>
    <row r="1770" spans="12:16" ht="15" hidden="1" customHeight="1">
      <c r="L1770" s="58">
        <f t="shared" si="168"/>
        <v>48002</v>
      </c>
      <c r="M1770" s="59">
        <f t="shared" si="166"/>
        <v>0</v>
      </c>
      <c r="N1770" s="59">
        <f t="shared" si="164"/>
        <v>25000</v>
      </c>
      <c r="O1770" s="59">
        <f t="shared" si="167"/>
        <v>3.4246575342465753</v>
      </c>
      <c r="P1770" s="59">
        <f t="shared" si="165"/>
        <v>2.0547945205479454</v>
      </c>
    </row>
    <row r="1771" spans="12:16" ht="15" hidden="1" customHeight="1">
      <c r="L1771" s="58">
        <f t="shared" si="168"/>
        <v>48003</v>
      </c>
      <c r="M1771" s="59">
        <f t="shared" si="166"/>
        <v>0</v>
      </c>
      <c r="N1771" s="59">
        <f t="shared" si="164"/>
        <v>25000</v>
      </c>
      <c r="O1771" s="59">
        <f t="shared" si="167"/>
        <v>3.4246575342465753</v>
      </c>
      <c r="P1771" s="59">
        <f t="shared" si="165"/>
        <v>2.0547945205479454</v>
      </c>
    </row>
    <row r="1772" spans="12:16" ht="15" hidden="1" customHeight="1">
      <c r="L1772" s="58">
        <f t="shared" si="168"/>
        <v>48004</v>
      </c>
      <c r="M1772" s="59">
        <f t="shared" si="166"/>
        <v>0</v>
      </c>
      <c r="N1772" s="59">
        <f t="shared" si="164"/>
        <v>25000</v>
      </c>
      <c r="O1772" s="59">
        <f t="shared" si="167"/>
        <v>3.4246575342465753</v>
      </c>
      <c r="P1772" s="59">
        <f t="shared" si="165"/>
        <v>2.0547945205479454</v>
      </c>
    </row>
    <row r="1773" spans="12:16" ht="15" hidden="1" customHeight="1">
      <c r="L1773" s="58">
        <f t="shared" si="168"/>
        <v>48005</v>
      </c>
      <c r="M1773" s="59">
        <f t="shared" si="166"/>
        <v>0</v>
      </c>
      <c r="N1773" s="59">
        <f t="shared" si="164"/>
        <v>25000</v>
      </c>
      <c r="O1773" s="59">
        <f t="shared" si="167"/>
        <v>3.4246575342465753</v>
      </c>
      <c r="P1773" s="59">
        <f t="shared" si="165"/>
        <v>2.0547945205479454</v>
      </c>
    </row>
    <row r="1774" spans="12:16" ht="15" hidden="1" customHeight="1">
      <c r="L1774" s="58">
        <f t="shared" si="168"/>
        <v>48006</v>
      </c>
      <c r="M1774" s="59">
        <f t="shared" si="166"/>
        <v>0</v>
      </c>
      <c r="N1774" s="59">
        <f t="shared" si="164"/>
        <v>25000</v>
      </c>
      <c r="O1774" s="59">
        <f t="shared" si="167"/>
        <v>3.4246575342465753</v>
      </c>
      <c r="P1774" s="59">
        <f t="shared" si="165"/>
        <v>2.0547945205479454</v>
      </c>
    </row>
    <row r="1775" spans="12:16" ht="15" hidden="1" customHeight="1">
      <c r="L1775" s="58">
        <f t="shared" si="168"/>
        <v>48007</v>
      </c>
      <c r="M1775" s="59">
        <f t="shared" si="166"/>
        <v>0</v>
      </c>
      <c r="N1775" s="59">
        <f t="shared" si="164"/>
        <v>25000</v>
      </c>
      <c r="O1775" s="59">
        <f t="shared" si="167"/>
        <v>3.4246575342465753</v>
      </c>
      <c r="P1775" s="59">
        <f t="shared" si="165"/>
        <v>2.0547945205479454</v>
      </c>
    </row>
    <row r="1776" spans="12:16" ht="15" hidden="1" customHeight="1">
      <c r="L1776" s="58">
        <f t="shared" si="168"/>
        <v>48008</v>
      </c>
      <c r="M1776" s="59">
        <f t="shared" si="166"/>
        <v>0</v>
      </c>
      <c r="N1776" s="59">
        <f t="shared" ref="N1776:N1839" si="169">IF(ISNUMBER(N1775),N1775-M1776,$E$8)</f>
        <v>25000</v>
      </c>
      <c r="O1776" s="59">
        <f t="shared" si="167"/>
        <v>3.4246575342465753</v>
      </c>
      <c r="P1776" s="59">
        <f t="shared" ref="P1776:P1839" si="170">IFERROR(IF(ISNUMBER(N1775),N1775,$E$8)*3%/IF(MOD(YEAR(L1776),4),365,366)*IF(ISBLANK(L1775),(L1776-$F$5),L1776-L1775),0)</f>
        <v>2.0547945205479454</v>
      </c>
    </row>
    <row r="1777" spans="12:16" ht="15" hidden="1" customHeight="1">
      <c r="L1777" s="58">
        <f t="shared" si="168"/>
        <v>48009</v>
      </c>
      <c r="M1777" s="59">
        <f t="shared" si="166"/>
        <v>0</v>
      </c>
      <c r="N1777" s="59">
        <f t="shared" si="169"/>
        <v>25000</v>
      </c>
      <c r="O1777" s="59">
        <f t="shared" si="167"/>
        <v>3.4246575342465753</v>
      </c>
      <c r="P1777" s="59">
        <f t="shared" si="170"/>
        <v>2.0547945205479454</v>
      </c>
    </row>
    <row r="1778" spans="12:16" ht="15" hidden="1" customHeight="1">
      <c r="L1778" s="58">
        <f t="shared" si="168"/>
        <v>48010</v>
      </c>
      <c r="M1778" s="59">
        <f t="shared" si="166"/>
        <v>0</v>
      </c>
      <c r="N1778" s="59">
        <f t="shared" si="169"/>
        <v>25000</v>
      </c>
      <c r="O1778" s="59">
        <f t="shared" si="167"/>
        <v>3.4246575342465753</v>
      </c>
      <c r="P1778" s="59">
        <f t="shared" si="170"/>
        <v>2.0547945205479454</v>
      </c>
    </row>
    <row r="1779" spans="12:16" ht="15" hidden="1" customHeight="1">
      <c r="L1779" s="58">
        <f t="shared" si="168"/>
        <v>48011</v>
      </c>
      <c r="M1779" s="59">
        <f t="shared" si="166"/>
        <v>0</v>
      </c>
      <c r="N1779" s="59">
        <f t="shared" si="169"/>
        <v>25000</v>
      </c>
      <c r="O1779" s="59">
        <f t="shared" si="167"/>
        <v>3.4246575342465753</v>
      </c>
      <c r="P1779" s="59">
        <f t="shared" si="170"/>
        <v>2.0547945205479454</v>
      </c>
    </row>
    <row r="1780" spans="12:16" ht="15" hidden="1" customHeight="1">
      <c r="L1780" s="58">
        <f t="shared" si="168"/>
        <v>48012</v>
      </c>
      <c r="M1780" s="59">
        <f t="shared" si="166"/>
        <v>0</v>
      </c>
      <c r="N1780" s="59">
        <f t="shared" si="169"/>
        <v>25000</v>
      </c>
      <c r="O1780" s="59">
        <f t="shared" si="167"/>
        <v>3.4246575342465753</v>
      </c>
      <c r="P1780" s="59">
        <f t="shared" si="170"/>
        <v>2.0547945205479454</v>
      </c>
    </row>
    <row r="1781" spans="12:16" ht="15" hidden="1" customHeight="1">
      <c r="L1781" s="58">
        <f t="shared" si="168"/>
        <v>48013</v>
      </c>
      <c r="M1781" s="59">
        <f t="shared" si="166"/>
        <v>0</v>
      </c>
      <c r="N1781" s="59">
        <f t="shared" si="169"/>
        <v>25000</v>
      </c>
      <c r="O1781" s="59">
        <f t="shared" si="167"/>
        <v>3.4246575342465753</v>
      </c>
      <c r="P1781" s="59">
        <f t="shared" si="170"/>
        <v>2.0547945205479454</v>
      </c>
    </row>
    <row r="1782" spans="12:16" ht="15" hidden="1" customHeight="1">
      <c r="L1782" s="58">
        <f t="shared" si="168"/>
        <v>48014</v>
      </c>
      <c r="M1782" s="59">
        <f t="shared" si="166"/>
        <v>0</v>
      </c>
      <c r="N1782" s="59">
        <f t="shared" si="169"/>
        <v>25000</v>
      </c>
      <c r="O1782" s="59">
        <f t="shared" si="167"/>
        <v>3.4246575342465753</v>
      </c>
      <c r="P1782" s="59">
        <f t="shared" si="170"/>
        <v>2.0547945205479454</v>
      </c>
    </row>
    <row r="1783" spans="12:16" ht="15" hidden="1" customHeight="1">
      <c r="L1783" s="58">
        <f t="shared" si="168"/>
        <v>48015</v>
      </c>
      <c r="M1783" s="59">
        <f t="shared" si="166"/>
        <v>0</v>
      </c>
      <c r="N1783" s="59">
        <f t="shared" si="169"/>
        <v>25000</v>
      </c>
      <c r="O1783" s="59">
        <f t="shared" si="167"/>
        <v>3.4246575342465753</v>
      </c>
      <c r="P1783" s="59">
        <f t="shared" si="170"/>
        <v>2.0547945205479454</v>
      </c>
    </row>
    <row r="1784" spans="12:16" ht="15" hidden="1" customHeight="1">
      <c r="L1784" s="58">
        <f t="shared" si="168"/>
        <v>48016</v>
      </c>
      <c r="M1784" s="59">
        <f t="shared" si="166"/>
        <v>0</v>
      </c>
      <c r="N1784" s="59">
        <f t="shared" si="169"/>
        <v>25000</v>
      </c>
      <c r="O1784" s="59">
        <f t="shared" si="167"/>
        <v>3.4246575342465753</v>
      </c>
      <c r="P1784" s="59">
        <f t="shared" si="170"/>
        <v>2.0547945205479454</v>
      </c>
    </row>
    <row r="1785" spans="12:16" ht="15" hidden="1" customHeight="1">
      <c r="L1785" s="58">
        <f t="shared" si="168"/>
        <v>48017</v>
      </c>
      <c r="M1785" s="59">
        <f t="shared" si="166"/>
        <v>0</v>
      </c>
      <c r="N1785" s="59">
        <f t="shared" si="169"/>
        <v>25000</v>
      </c>
      <c r="O1785" s="59">
        <f t="shared" si="167"/>
        <v>3.4246575342465753</v>
      </c>
      <c r="P1785" s="59">
        <f t="shared" si="170"/>
        <v>2.0547945205479454</v>
      </c>
    </row>
    <row r="1786" spans="12:16" ht="15" hidden="1" customHeight="1">
      <c r="L1786" s="58">
        <f t="shared" si="168"/>
        <v>48018</v>
      </c>
      <c r="M1786" s="59">
        <f t="shared" si="166"/>
        <v>0</v>
      </c>
      <c r="N1786" s="59">
        <f t="shared" si="169"/>
        <v>25000</v>
      </c>
      <c r="O1786" s="59">
        <f t="shared" si="167"/>
        <v>3.4246575342465753</v>
      </c>
      <c r="P1786" s="59">
        <f t="shared" si="170"/>
        <v>2.0547945205479454</v>
      </c>
    </row>
    <row r="1787" spans="12:16" ht="15" hidden="1" customHeight="1">
      <c r="L1787" s="58">
        <f t="shared" si="168"/>
        <v>48019</v>
      </c>
      <c r="M1787" s="59">
        <f t="shared" si="166"/>
        <v>0</v>
      </c>
      <c r="N1787" s="59">
        <f t="shared" si="169"/>
        <v>25000</v>
      </c>
      <c r="O1787" s="59">
        <f t="shared" si="167"/>
        <v>3.4246575342465753</v>
      </c>
      <c r="P1787" s="59">
        <f t="shared" si="170"/>
        <v>2.0547945205479454</v>
      </c>
    </row>
    <row r="1788" spans="12:16" ht="15" hidden="1" customHeight="1">
      <c r="L1788" s="58">
        <f t="shared" si="168"/>
        <v>48020</v>
      </c>
      <c r="M1788" s="59">
        <f t="shared" si="166"/>
        <v>0</v>
      </c>
      <c r="N1788" s="59">
        <f t="shared" si="169"/>
        <v>25000</v>
      </c>
      <c r="O1788" s="59">
        <f t="shared" si="167"/>
        <v>3.4246575342465753</v>
      </c>
      <c r="P1788" s="59">
        <f t="shared" si="170"/>
        <v>2.0547945205479454</v>
      </c>
    </row>
    <row r="1789" spans="12:16" ht="15" hidden="1" customHeight="1">
      <c r="L1789" s="58">
        <f t="shared" si="168"/>
        <v>48021</v>
      </c>
      <c r="M1789" s="59">
        <f t="shared" si="166"/>
        <v>0</v>
      </c>
      <c r="N1789" s="59">
        <f t="shared" si="169"/>
        <v>25000</v>
      </c>
      <c r="O1789" s="59">
        <f t="shared" si="167"/>
        <v>3.4246575342465753</v>
      </c>
      <c r="P1789" s="59">
        <f t="shared" si="170"/>
        <v>2.0547945205479454</v>
      </c>
    </row>
    <row r="1790" spans="12:16" ht="15" hidden="1" customHeight="1">
      <c r="L1790" s="58">
        <f t="shared" si="168"/>
        <v>48022</v>
      </c>
      <c r="M1790" s="59">
        <f t="shared" si="166"/>
        <v>0</v>
      </c>
      <c r="N1790" s="59">
        <f t="shared" si="169"/>
        <v>25000</v>
      </c>
      <c r="O1790" s="59">
        <f t="shared" si="167"/>
        <v>3.4246575342465753</v>
      </c>
      <c r="P1790" s="59">
        <f t="shared" si="170"/>
        <v>2.0547945205479454</v>
      </c>
    </row>
    <row r="1791" spans="12:16" ht="15" hidden="1" customHeight="1">
      <c r="L1791" s="58">
        <f t="shared" si="168"/>
        <v>48023</v>
      </c>
      <c r="M1791" s="59">
        <f t="shared" si="166"/>
        <v>0</v>
      </c>
      <c r="N1791" s="59">
        <f t="shared" si="169"/>
        <v>25000</v>
      </c>
      <c r="O1791" s="59">
        <f t="shared" si="167"/>
        <v>3.4246575342465753</v>
      </c>
      <c r="P1791" s="59">
        <f t="shared" si="170"/>
        <v>2.0547945205479454</v>
      </c>
    </row>
    <row r="1792" spans="12:16" ht="15" hidden="1" customHeight="1">
      <c r="L1792" s="58">
        <f t="shared" si="168"/>
        <v>48024</v>
      </c>
      <c r="M1792" s="59">
        <f t="shared" si="166"/>
        <v>0</v>
      </c>
      <c r="N1792" s="59">
        <f t="shared" si="169"/>
        <v>25000</v>
      </c>
      <c r="O1792" s="59">
        <f t="shared" si="167"/>
        <v>3.4246575342465753</v>
      </c>
      <c r="P1792" s="59">
        <f t="shared" si="170"/>
        <v>2.0547945205479454</v>
      </c>
    </row>
    <row r="1793" spans="12:16" ht="15" hidden="1" customHeight="1">
      <c r="L1793" s="58">
        <f t="shared" si="168"/>
        <v>48025</v>
      </c>
      <c r="M1793" s="59">
        <f t="shared" si="166"/>
        <v>0</v>
      </c>
      <c r="N1793" s="59">
        <f t="shared" si="169"/>
        <v>25000</v>
      </c>
      <c r="O1793" s="59">
        <f t="shared" si="167"/>
        <v>3.4246575342465753</v>
      </c>
      <c r="P1793" s="59">
        <f t="shared" si="170"/>
        <v>2.0547945205479454</v>
      </c>
    </row>
    <row r="1794" spans="12:16" ht="15" hidden="1" customHeight="1">
      <c r="L1794" s="58">
        <f t="shared" si="168"/>
        <v>48026</v>
      </c>
      <c r="M1794" s="59">
        <f t="shared" si="166"/>
        <v>0</v>
      </c>
      <c r="N1794" s="59">
        <f t="shared" si="169"/>
        <v>25000</v>
      </c>
      <c r="O1794" s="59">
        <f t="shared" si="167"/>
        <v>3.4246575342465753</v>
      </c>
      <c r="P1794" s="59">
        <f t="shared" si="170"/>
        <v>2.0547945205479454</v>
      </c>
    </row>
    <row r="1795" spans="12:16" ht="15" hidden="1" customHeight="1">
      <c r="L1795" s="58">
        <f t="shared" si="168"/>
        <v>48027</v>
      </c>
      <c r="M1795" s="59">
        <f t="shared" si="166"/>
        <v>0</v>
      </c>
      <c r="N1795" s="59">
        <f t="shared" si="169"/>
        <v>25000</v>
      </c>
      <c r="O1795" s="59">
        <f t="shared" si="167"/>
        <v>3.4246575342465753</v>
      </c>
      <c r="P1795" s="59">
        <f t="shared" si="170"/>
        <v>2.0547945205479454</v>
      </c>
    </row>
    <row r="1796" spans="12:16" ht="15" hidden="1" customHeight="1">
      <c r="L1796" s="58">
        <f t="shared" si="168"/>
        <v>48028</v>
      </c>
      <c r="M1796" s="59">
        <f t="shared" si="166"/>
        <v>0</v>
      </c>
      <c r="N1796" s="59">
        <f t="shared" si="169"/>
        <v>25000</v>
      </c>
      <c r="O1796" s="59">
        <f t="shared" si="167"/>
        <v>3.4246575342465753</v>
      </c>
      <c r="P1796" s="59">
        <f t="shared" si="170"/>
        <v>2.0547945205479454</v>
      </c>
    </row>
    <row r="1797" spans="12:16" ht="15" hidden="1" customHeight="1">
      <c r="L1797" s="58">
        <f t="shared" si="168"/>
        <v>48029</v>
      </c>
      <c r="M1797" s="59">
        <f t="shared" si="166"/>
        <v>12500</v>
      </c>
      <c r="N1797" s="59">
        <f t="shared" si="169"/>
        <v>12500</v>
      </c>
      <c r="O1797" s="59">
        <f t="shared" si="167"/>
        <v>3.4246575342465753</v>
      </c>
      <c r="P1797" s="59">
        <f t="shared" si="170"/>
        <v>2.0547945205479454</v>
      </c>
    </row>
    <row r="1798" spans="12:16" ht="15" hidden="1" customHeight="1">
      <c r="L1798" s="58">
        <f t="shared" si="168"/>
        <v>48030</v>
      </c>
      <c r="M1798" s="59">
        <f t="shared" si="166"/>
        <v>0</v>
      </c>
      <c r="N1798" s="59">
        <f t="shared" si="169"/>
        <v>12500</v>
      </c>
      <c r="O1798" s="59">
        <f t="shared" si="167"/>
        <v>1.7123287671232876</v>
      </c>
      <c r="P1798" s="59">
        <f t="shared" si="170"/>
        <v>1.0273972602739727</v>
      </c>
    </row>
    <row r="1799" spans="12:16" ht="15" hidden="1" customHeight="1">
      <c r="L1799" s="58">
        <f t="shared" si="168"/>
        <v>48031</v>
      </c>
      <c r="M1799" s="59">
        <f t="shared" si="166"/>
        <v>0</v>
      </c>
      <c r="N1799" s="59">
        <f t="shared" si="169"/>
        <v>12500</v>
      </c>
      <c r="O1799" s="59">
        <f t="shared" si="167"/>
        <v>1.7123287671232876</v>
      </c>
      <c r="P1799" s="59">
        <f t="shared" si="170"/>
        <v>1.0273972602739727</v>
      </c>
    </row>
    <row r="1800" spans="12:16" ht="15" hidden="1" customHeight="1">
      <c r="L1800" s="58">
        <f t="shared" si="168"/>
        <v>48032</v>
      </c>
      <c r="M1800" s="59">
        <f t="shared" si="166"/>
        <v>0</v>
      </c>
      <c r="N1800" s="59">
        <f t="shared" si="169"/>
        <v>12500</v>
      </c>
      <c r="O1800" s="59">
        <f t="shared" si="167"/>
        <v>1.7123287671232876</v>
      </c>
      <c r="P1800" s="59">
        <f t="shared" si="170"/>
        <v>1.0273972602739727</v>
      </c>
    </row>
    <row r="1801" spans="12:16" ht="15" hidden="1" customHeight="1">
      <c r="L1801" s="58">
        <f t="shared" si="168"/>
        <v>48033</v>
      </c>
      <c r="M1801" s="59">
        <f t="shared" si="166"/>
        <v>0</v>
      </c>
      <c r="N1801" s="59">
        <f t="shared" si="169"/>
        <v>12500</v>
      </c>
      <c r="O1801" s="59">
        <f t="shared" si="167"/>
        <v>1.7123287671232876</v>
      </c>
      <c r="P1801" s="59">
        <f t="shared" si="170"/>
        <v>1.0273972602739727</v>
      </c>
    </row>
    <row r="1802" spans="12:16" ht="15" hidden="1" customHeight="1">
      <c r="L1802" s="58">
        <f t="shared" si="168"/>
        <v>48034</v>
      </c>
      <c r="M1802" s="59">
        <f t="shared" si="166"/>
        <v>0</v>
      </c>
      <c r="N1802" s="59">
        <f t="shared" si="169"/>
        <v>12500</v>
      </c>
      <c r="O1802" s="59">
        <f t="shared" si="167"/>
        <v>1.7123287671232876</v>
      </c>
      <c r="P1802" s="59">
        <f t="shared" si="170"/>
        <v>1.0273972602739727</v>
      </c>
    </row>
    <row r="1803" spans="12:16" ht="15" hidden="1" customHeight="1">
      <c r="L1803" s="58">
        <f t="shared" si="168"/>
        <v>48035</v>
      </c>
      <c r="M1803" s="59">
        <f t="shared" si="166"/>
        <v>0</v>
      </c>
      <c r="N1803" s="59">
        <f t="shared" si="169"/>
        <v>12500</v>
      </c>
      <c r="O1803" s="59">
        <f t="shared" si="167"/>
        <v>1.7123287671232876</v>
      </c>
      <c r="P1803" s="59">
        <f t="shared" si="170"/>
        <v>1.0273972602739727</v>
      </c>
    </row>
    <row r="1804" spans="12:16" ht="15" hidden="1" customHeight="1">
      <c r="L1804" s="58">
        <f t="shared" si="168"/>
        <v>48036</v>
      </c>
      <c r="M1804" s="59">
        <f t="shared" si="166"/>
        <v>0</v>
      </c>
      <c r="N1804" s="59">
        <f t="shared" si="169"/>
        <v>12500</v>
      </c>
      <c r="O1804" s="59">
        <f t="shared" si="167"/>
        <v>1.7123287671232876</v>
      </c>
      <c r="P1804" s="59">
        <f t="shared" si="170"/>
        <v>1.0273972602739727</v>
      </c>
    </row>
    <row r="1805" spans="12:16" ht="15" hidden="1" customHeight="1">
      <c r="L1805" s="58">
        <f t="shared" si="168"/>
        <v>48037</v>
      </c>
      <c r="M1805" s="59">
        <f t="shared" si="166"/>
        <v>0</v>
      </c>
      <c r="N1805" s="59">
        <f t="shared" si="169"/>
        <v>12500</v>
      </c>
      <c r="O1805" s="59">
        <f t="shared" si="167"/>
        <v>1.7123287671232876</v>
      </c>
      <c r="P1805" s="59">
        <f t="shared" si="170"/>
        <v>1.0273972602739727</v>
      </c>
    </row>
    <row r="1806" spans="12:16" ht="15" hidden="1" customHeight="1">
      <c r="L1806" s="58">
        <f t="shared" si="168"/>
        <v>48038</v>
      </c>
      <c r="M1806" s="59">
        <f t="shared" si="166"/>
        <v>0</v>
      </c>
      <c r="N1806" s="59">
        <f t="shared" si="169"/>
        <v>12500</v>
      </c>
      <c r="O1806" s="59">
        <f t="shared" si="167"/>
        <v>1.7123287671232876</v>
      </c>
      <c r="P1806" s="59">
        <f t="shared" si="170"/>
        <v>1.0273972602739727</v>
      </c>
    </row>
    <row r="1807" spans="12:16" ht="15" hidden="1" customHeight="1">
      <c r="L1807" s="58">
        <f t="shared" si="168"/>
        <v>48039</v>
      </c>
      <c r="M1807" s="59">
        <f t="shared" si="166"/>
        <v>0</v>
      </c>
      <c r="N1807" s="59">
        <f t="shared" si="169"/>
        <v>12500</v>
      </c>
      <c r="O1807" s="59">
        <f t="shared" si="167"/>
        <v>1.7123287671232876</v>
      </c>
      <c r="P1807" s="59">
        <f t="shared" si="170"/>
        <v>1.0273972602739727</v>
      </c>
    </row>
    <row r="1808" spans="12:16" ht="15" hidden="1" customHeight="1">
      <c r="L1808" s="58">
        <f t="shared" si="168"/>
        <v>48040</v>
      </c>
      <c r="M1808" s="59">
        <f t="shared" si="166"/>
        <v>0</v>
      </c>
      <c r="N1808" s="59">
        <f t="shared" si="169"/>
        <v>12500</v>
      </c>
      <c r="O1808" s="59">
        <f t="shared" si="167"/>
        <v>1.7123287671232876</v>
      </c>
      <c r="P1808" s="59">
        <f t="shared" si="170"/>
        <v>1.0273972602739727</v>
      </c>
    </row>
    <row r="1809" spans="12:16" ht="15" hidden="1" customHeight="1">
      <c r="L1809" s="58">
        <f t="shared" si="168"/>
        <v>48041</v>
      </c>
      <c r="M1809" s="59">
        <f t="shared" si="166"/>
        <v>0</v>
      </c>
      <c r="N1809" s="59">
        <f t="shared" si="169"/>
        <v>12500</v>
      </c>
      <c r="O1809" s="59">
        <f t="shared" si="167"/>
        <v>1.7123287671232876</v>
      </c>
      <c r="P1809" s="59">
        <f t="shared" si="170"/>
        <v>1.0273972602739727</v>
      </c>
    </row>
    <row r="1810" spans="12:16" ht="15" hidden="1" customHeight="1">
      <c r="L1810" s="58">
        <f t="shared" si="168"/>
        <v>48042</v>
      </c>
      <c r="M1810" s="59">
        <f t="shared" si="166"/>
        <v>0</v>
      </c>
      <c r="N1810" s="59">
        <f t="shared" si="169"/>
        <v>12500</v>
      </c>
      <c r="O1810" s="59">
        <f t="shared" si="167"/>
        <v>1.7123287671232876</v>
      </c>
      <c r="P1810" s="59">
        <f t="shared" si="170"/>
        <v>1.0273972602739727</v>
      </c>
    </row>
    <row r="1811" spans="12:16" ht="15" hidden="1" customHeight="1">
      <c r="L1811" s="58">
        <f t="shared" si="168"/>
        <v>48043</v>
      </c>
      <c r="M1811" s="59">
        <f t="shared" ref="M1811:M1874" si="171">IFERROR(VLOOKUP(L1811,$B$19:$E$80,4,FALSE),0)</f>
        <v>0</v>
      </c>
      <c r="N1811" s="59">
        <f t="shared" si="169"/>
        <v>12500</v>
      </c>
      <c r="O1811" s="59">
        <f t="shared" ref="O1811:O1874" si="172">IFERROR(IF(ISNUMBER(N1810),N1810,$E$8)*IF(L1811&gt;=$J$8,$E$12,$E$12)/IF(MOD(YEAR(L1811),4),365,366)*IF(ISBLANK(L1810),L1811-$F$5,L1811-L1810),0)</f>
        <v>1.7123287671232876</v>
      </c>
      <c r="P1811" s="59">
        <f t="shared" si="170"/>
        <v>1.0273972602739727</v>
      </c>
    </row>
    <row r="1812" spans="12:16" ht="15" hidden="1" customHeight="1">
      <c r="L1812" s="58">
        <f t="shared" si="168"/>
        <v>48044</v>
      </c>
      <c r="M1812" s="59">
        <f t="shared" si="171"/>
        <v>0</v>
      </c>
      <c r="N1812" s="59">
        <f t="shared" si="169"/>
        <v>12500</v>
      </c>
      <c r="O1812" s="59">
        <f t="shared" si="172"/>
        <v>1.7123287671232876</v>
      </c>
      <c r="P1812" s="59">
        <f t="shared" si="170"/>
        <v>1.0273972602739727</v>
      </c>
    </row>
    <row r="1813" spans="12:16" ht="15" hidden="1" customHeight="1">
      <c r="L1813" s="58">
        <f t="shared" si="168"/>
        <v>48045</v>
      </c>
      <c r="M1813" s="59">
        <f t="shared" si="171"/>
        <v>0</v>
      </c>
      <c r="N1813" s="59">
        <f t="shared" si="169"/>
        <v>12500</v>
      </c>
      <c r="O1813" s="59">
        <f t="shared" si="172"/>
        <v>1.7123287671232876</v>
      </c>
      <c r="P1813" s="59">
        <f t="shared" si="170"/>
        <v>1.0273972602739727</v>
      </c>
    </row>
    <row r="1814" spans="12:16" ht="15" hidden="1" customHeight="1">
      <c r="L1814" s="58">
        <f t="shared" si="168"/>
        <v>48046</v>
      </c>
      <c r="M1814" s="59">
        <f t="shared" si="171"/>
        <v>0</v>
      </c>
      <c r="N1814" s="59">
        <f t="shared" si="169"/>
        <v>12500</v>
      </c>
      <c r="O1814" s="59">
        <f t="shared" si="172"/>
        <v>1.7123287671232876</v>
      </c>
      <c r="P1814" s="59">
        <f t="shared" si="170"/>
        <v>1.0273972602739727</v>
      </c>
    </row>
    <row r="1815" spans="12:16" ht="15" hidden="1" customHeight="1">
      <c r="L1815" s="58">
        <f t="shared" si="168"/>
        <v>48047</v>
      </c>
      <c r="M1815" s="59">
        <f t="shared" si="171"/>
        <v>0</v>
      </c>
      <c r="N1815" s="59">
        <f t="shared" si="169"/>
        <v>12500</v>
      </c>
      <c r="O1815" s="59">
        <f t="shared" si="172"/>
        <v>1.7123287671232876</v>
      </c>
      <c r="P1815" s="59">
        <f t="shared" si="170"/>
        <v>1.0273972602739727</v>
      </c>
    </row>
    <row r="1816" spans="12:16" ht="15" hidden="1" customHeight="1">
      <c r="L1816" s="58">
        <f t="shared" si="168"/>
        <v>48048</v>
      </c>
      <c r="M1816" s="59">
        <f t="shared" si="171"/>
        <v>0</v>
      </c>
      <c r="N1816" s="59">
        <f t="shared" si="169"/>
        <v>12500</v>
      </c>
      <c r="O1816" s="59">
        <f t="shared" si="172"/>
        <v>1.7123287671232876</v>
      </c>
      <c r="P1816" s="59">
        <f t="shared" si="170"/>
        <v>1.0273972602739727</v>
      </c>
    </row>
    <row r="1817" spans="12:16" ht="15" hidden="1" customHeight="1">
      <c r="L1817" s="58">
        <f t="shared" si="168"/>
        <v>48049</v>
      </c>
      <c r="M1817" s="59">
        <f t="shared" si="171"/>
        <v>0</v>
      </c>
      <c r="N1817" s="59">
        <f t="shared" si="169"/>
        <v>12500</v>
      </c>
      <c r="O1817" s="59">
        <f t="shared" si="172"/>
        <v>1.7123287671232876</v>
      </c>
      <c r="P1817" s="59">
        <f t="shared" si="170"/>
        <v>1.0273972602739727</v>
      </c>
    </row>
    <row r="1818" spans="12:16" ht="15" hidden="1" customHeight="1">
      <c r="L1818" s="58">
        <f t="shared" si="168"/>
        <v>48050</v>
      </c>
      <c r="M1818" s="59">
        <f t="shared" si="171"/>
        <v>0</v>
      </c>
      <c r="N1818" s="59">
        <f t="shared" si="169"/>
        <v>12500</v>
      </c>
      <c r="O1818" s="59">
        <f t="shared" si="172"/>
        <v>1.7123287671232876</v>
      </c>
      <c r="P1818" s="59">
        <f t="shared" si="170"/>
        <v>1.0273972602739727</v>
      </c>
    </row>
    <row r="1819" spans="12:16" ht="15" hidden="1" customHeight="1">
      <c r="L1819" s="58">
        <f t="shared" si="168"/>
        <v>48051</v>
      </c>
      <c r="M1819" s="59">
        <f t="shared" si="171"/>
        <v>0</v>
      </c>
      <c r="N1819" s="59">
        <f t="shared" si="169"/>
        <v>12500</v>
      </c>
      <c r="O1819" s="59">
        <f t="shared" si="172"/>
        <v>1.7123287671232876</v>
      </c>
      <c r="P1819" s="59">
        <f t="shared" si="170"/>
        <v>1.0273972602739727</v>
      </c>
    </row>
    <row r="1820" spans="12:16" ht="15" hidden="1" customHeight="1">
      <c r="L1820" s="58">
        <f t="shared" si="168"/>
        <v>48052</v>
      </c>
      <c r="M1820" s="59">
        <f t="shared" si="171"/>
        <v>0</v>
      </c>
      <c r="N1820" s="59">
        <f t="shared" si="169"/>
        <v>12500</v>
      </c>
      <c r="O1820" s="59">
        <f t="shared" si="172"/>
        <v>1.7123287671232876</v>
      </c>
      <c r="P1820" s="59">
        <f t="shared" si="170"/>
        <v>1.0273972602739727</v>
      </c>
    </row>
    <row r="1821" spans="12:16" ht="15" hidden="1" customHeight="1">
      <c r="L1821" s="58">
        <f t="shared" si="168"/>
        <v>48053</v>
      </c>
      <c r="M1821" s="59">
        <f t="shared" si="171"/>
        <v>0</v>
      </c>
      <c r="N1821" s="59">
        <f t="shared" si="169"/>
        <v>12500</v>
      </c>
      <c r="O1821" s="59">
        <f t="shared" si="172"/>
        <v>1.7123287671232876</v>
      </c>
      <c r="P1821" s="59">
        <f t="shared" si="170"/>
        <v>1.0273972602739727</v>
      </c>
    </row>
    <row r="1822" spans="12:16" ht="15" hidden="1" customHeight="1">
      <c r="L1822" s="58">
        <f t="shared" si="168"/>
        <v>48054</v>
      </c>
      <c r="M1822" s="59">
        <f t="shared" si="171"/>
        <v>0</v>
      </c>
      <c r="N1822" s="59">
        <f t="shared" si="169"/>
        <v>12500</v>
      </c>
      <c r="O1822" s="59">
        <f t="shared" si="172"/>
        <v>1.7123287671232876</v>
      </c>
      <c r="P1822" s="59">
        <f t="shared" si="170"/>
        <v>1.0273972602739727</v>
      </c>
    </row>
    <row r="1823" spans="12:16" ht="15" hidden="1" customHeight="1">
      <c r="L1823" s="58">
        <f t="shared" si="168"/>
        <v>48055</v>
      </c>
      <c r="M1823" s="59">
        <f t="shared" si="171"/>
        <v>0</v>
      </c>
      <c r="N1823" s="59">
        <f t="shared" si="169"/>
        <v>12500</v>
      </c>
      <c r="O1823" s="59">
        <f t="shared" si="172"/>
        <v>1.7123287671232876</v>
      </c>
      <c r="P1823" s="59">
        <f t="shared" si="170"/>
        <v>1.0273972602739727</v>
      </c>
    </row>
    <row r="1824" spans="12:16" ht="15" hidden="1" customHeight="1">
      <c r="L1824" s="58">
        <f t="shared" si="168"/>
        <v>48056</v>
      </c>
      <c r="M1824" s="59">
        <f t="shared" si="171"/>
        <v>0</v>
      </c>
      <c r="N1824" s="59">
        <f t="shared" si="169"/>
        <v>12500</v>
      </c>
      <c r="O1824" s="59">
        <f t="shared" si="172"/>
        <v>1.7123287671232876</v>
      </c>
      <c r="P1824" s="59">
        <f t="shared" si="170"/>
        <v>1.0273972602739727</v>
      </c>
    </row>
    <row r="1825" spans="12:16" ht="15" hidden="1" customHeight="1">
      <c r="L1825" s="58">
        <f t="shared" si="168"/>
        <v>48057</v>
      </c>
      <c r="M1825" s="59">
        <f t="shared" si="171"/>
        <v>0</v>
      </c>
      <c r="N1825" s="59">
        <f t="shared" si="169"/>
        <v>12500</v>
      </c>
      <c r="O1825" s="59">
        <f t="shared" si="172"/>
        <v>1.7123287671232876</v>
      </c>
      <c r="P1825" s="59">
        <f t="shared" si="170"/>
        <v>1.0273972602739727</v>
      </c>
    </row>
    <row r="1826" spans="12:16" ht="15" hidden="1" customHeight="1">
      <c r="L1826" s="58">
        <f t="shared" ref="L1826:L1889" si="173">IFERROR(IF(MAX(L1825+1,$F$5+1)&gt;Дата_погашения_Займа,"-",MAX(L1825+1,$F$5+1)),"-")</f>
        <v>48058</v>
      </c>
      <c r="M1826" s="59">
        <f t="shared" si="171"/>
        <v>0</v>
      </c>
      <c r="N1826" s="59">
        <f t="shared" si="169"/>
        <v>12500</v>
      </c>
      <c r="O1826" s="59">
        <f t="shared" si="172"/>
        <v>1.7123287671232876</v>
      </c>
      <c r="P1826" s="59">
        <f t="shared" si="170"/>
        <v>1.0273972602739727</v>
      </c>
    </row>
    <row r="1827" spans="12:16" ht="15" hidden="1" customHeight="1">
      <c r="L1827" s="58">
        <f t="shared" si="173"/>
        <v>48059</v>
      </c>
      <c r="M1827" s="59">
        <f t="shared" si="171"/>
        <v>0</v>
      </c>
      <c r="N1827" s="59">
        <f t="shared" si="169"/>
        <v>12500</v>
      </c>
      <c r="O1827" s="59">
        <f t="shared" si="172"/>
        <v>1.7123287671232876</v>
      </c>
      <c r="P1827" s="59">
        <f t="shared" si="170"/>
        <v>1.0273972602739727</v>
      </c>
    </row>
    <row r="1828" spans="12:16" ht="15" hidden="1" customHeight="1">
      <c r="L1828" s="58">
        <f t="shared" si="173"/>
        <v>48060</v>
      </c>
      <c r="M1828" s="59">
        <f t="shared" si="171"/>
        <v>0</v>
      </c>
      <c r="N1828" s="59">
        <f t="shared" si="169"/>
        <v>12500</v>
      </c>
      <c r="O1828" s="59">
        <f t="shared" si="172"/>
        <v>1.7123287671232876</v>
      </c>
      <c r="P1828" s="59">
        <f t="shared" si="170"/>
        <v>1.0273972602739727</v>
      </c>
    </row>
    <row r="1829" spans="12:16" ht="15" hidden="1" customHeight="1">
      <c r="L1829" s="58">
        <f t="shared" si="173"/>
        <v>48061</v>
      </c>
      <c r="M1829" s="59">
        <f t="shared" si="171"/>
        <v>0</v>
      </c>
      <c r="N1829" s="59">
        <f t="shared" si="169"/>
        <v>12500</v>
      </c>
      <c r="O1829" s="59">
        <f t="shared" si="172"/>
        <v>1.7123287671232876</v>
      </c>
      <c r="P1829" s="59">
        <f t="shared" si="170"/>
        <v>1.0273972602739727</v>
      </c>
    </row>
    <row r="1830" spans="12:16" ht="15" hidden="1" customHeight="1">
      <c r="L1830" s="58">
        <f t="shared" si="173"/>
        <v>48062</v>
      </c>
      <c r="M1830" s="59">
        <f t="shared" si="171"/>
        <v>0</v>
      </c>
      <c r="N1830" s="59">
        <f t="shared" si="169"/>
        <v>12500</v>
      </c>
      <c r="O1830" s="59">
        <f t="shared" si="172"/>
        <v>1.7123287671232876</v>
      </c>
      <c r="P1830" s="59">
        <f t="shared" si="170"/>
        <v>1.0273972602739727</v>
      </c>
    </row>
    <row r="1831" spans="12:16" ht="15" hidden="1" customHeight="1">
      <c r="L1831" s="58">
        <f t="shared" si="173"/>
        <v>48063</v>
      </c>
      <c r="M1831" s="59">
        <f t="shared" si="171"/>
        <v>0</v>
      </c>
      <c r="N1831" s="59">
        <f t="shared" si="169"/>
        <v>12500</v>
      </c>
      <c r="O1831" s="59">
        <f t="shared" si="172"/>
        <v>1.7123287671232876</v>
      </c>
      <c r="P1831" s="59">
        <f t="shared" si="170"/>
        <v>1.0273972602739727</v>
      </c>
    </row>
    <row r="1832" spans="12:16" ht="15" hidden="1" customHeight="1">
      <c r="L1832" s="58">
        <f t="shared" si="173"/>
        <v>48064</v>
      </c>
      <c r="M1832" s="59">
        <f t="shared" si="171"/>
        <v>0</v>
      </c>
      <c r="N1832" s="59">
        <f t="shared" si="169"/>
        <v>12500</v>
      </c>
      <c r="O1832" s="59">
        <f t="shared" si="172"/>
        <v>1.7123287671232876</v>
      </c>
      <c r="P1832" s="59">
        <f t="shared" si="170"/>
        <v>1.0273972602739727</v>
      </c>
    </row>
    <row r="1833" spans="12:16" ht="15" hidden="1" customHeight="1">
      <c r="L1833" s="58">
        <f t="shared" si="173"/>
        <v>48065</v>
      </c>
      <c r="M1833" s="59">
        <f t="shared" si="171"/>
        <v>0</v>
      </c>
      <c r="N1833" s="59">
        <f t="shared" si="169"/>
        <v>12500</v>
      </c>
      <c r="O1833" s="59">
        <f t="shared" si="172"/>
        <v>1.7123287671232876</v>
      </c>
      <c r="P1833" s="59">
        <f t="shared" si="170"/>
        <v>1.0273972602739727</v>
      </c>
    </row>
    <row r="1834" spans="12:16" ht="15" hidden="1" customHeight="1">
      <c r="L1834" s="58">
        <f t="shared" si="173"/>
        <v>48066</v>
      </c>
      <c r="M1834" s="59">
        <f t="shared" si="171"/>
        <v>0</v>
      </c>
      <c r="N1834" s="59">
        <f t="shared" si="169"/>
        <v>12500</v>
      </c>
      <c r="O1834" s="59">
        <f t="shared" si="172"/>
        <v>1.7123287671232876</v>
      </c>
      <c r="P1834" s="59">
        <f t="shared" si="170"/>
        <v>1.0273972602739727</v>
      </c>
    </row>
    <row r="1835" spans="12:16" ht="15" hidden="1" customHeight="1">
      <c r="L1835" s="58">
        <f t="shared" si="173"/>
        <v>48067</v>
      </c>
      <c r="M1835" s="59">
        <f t="shared" si="171"/>
        <v>0</v>
      </c>
      <c r="N1835" s="59">
        <f t="shared" si="169"/>
        <v>12500</v>
      </c>
      <c r="O1835" s="59">
        <f t="shared" si="172"/>
        <v>1.7123287671232876</v>
      </c>
      <c r="P1835" s="59">
        <f t="shared" si="170"/>
        <v>1.0273972602739727</v>
      </c>
    </row>
    <row r="1836" spans="12:16" ht="15" hidden="1" customHeight="1">
      <c r="L1836" s="58">
        <f t="shared" si="173"/>
        <v>48068</v>
      </c>
      <c r="M1836" s="59">
        <f t="shared" si="171"/>
        <v>0</v>
      </c>
      <c r="N1836" s="59">
        <f t="shared" si="169"/>
        <v>12500</v>
      </c>
      <c r="O1836" s="59">
        <f t="shared" si="172"/>
        <v>1.7123287671232876</v>
      </c>
      <c r="P1836" s="59">
        <f t="shared" si="170"/>
        <v>1.0273972602739727</v>
      </c>
    </row>
    <row r="1837" spans="12:16" ht="15" hidden="1" customHeight="1">
      <c r="L1837" s="58">
        <f t="shared" si="173"/>
        <v>48069</v>
      </c>
      <c r="M1837" s="59">
        <f t="shared" si="171"/>
        <v>0</v>
      </c>
      <c r="N1837" s="59">
        <f t="shared" si="169"/>
        <v>12500</v>
      </c>
      <c r="O1837" s="59">
        <f t="shared" si="172"/>
        <v>1.7123287671232876</v>
      </c>
      <c r="P1837" s="59">
        <f t="shared" si="170"/>
        <v>1.0273972602739727</v>
      </c>
    </row>
    <row r="1838" spans="12:16" ht="15" hidden="1" customHeight="1">
      <c r="L1838" s="58">
        <f t="shared" si="173"/>
        <v>48070</v>
      </c>
      <c r="M1838" s="59">
        <f t="shared" si="171"/>
        <v>0</v>
      </c>
      <c r="N1838" s="59">
        <f t="shared" si="169"/>
        <v>12500</v>
      </c>
      <c r="O1838" s="59">
        <f t="shared" si="172"/>
        <v>1.7123287671232876</v>
      </c>
      <c r="P1838" s="59">
        <f t="shared" si="170"/>
        <v>1.0273972602739727</v>
      </c>
    </row>
    <row r="1839" spans="12:16" ht="15" hidden="1" customHeight="1">
      <c r="L1839" s="58">
        <f t="shared" si="173"/>
        <v>48071</v>
      </c>
      <c r="M1839" s="59">
        <f t="shared" si="171"/>
        <v>0</v>
      </c>
      <c r="N1839" s="59">
        <f t="shared" si="169"/>
        <v>12500</v>
      </c>
      <c r="O1839" s="59">
        <f t="shared" si="172"/>
        <v>1.7123287671232876</v>
      </c>
      <c r="P1839" s="59">
        <f t="shared" si="170"/>
        <v>1.0273972602739727</v>
      </c>
    </row>
    <row r="1840" spans="12:16" ht="15" hidden="1" customHeight="1">
      <c r="L1840" s="58">
        <f t="shared" si="173"/>
        <v>48072</v>
      </c>
      <c r="M1840" s="59">
        <f t="shared" si="171"/>
        <v>0</v>
      </c>
      <c r="N1840" s="59">
        <f t="shared" ref="N1840:N1903" si="174">IF(ISNUMBER(N1839),N1839-M1840,$E$8)</f>
        <v>12500</v>
      </c>
      <c r="O1840" s="59">
        <f t="shared" si="172"/>
        <v>1.7123287671232876</v>
      </c>
      <c r="P1840" s="59">
        <f t="shared" ref="P1840:P1903" si="175">IFERROR(IF(ISNUMBER(N1839),N1839,$E$8)*3%/IF(MOD(YEAR(L1840),4),365,366)*IF(ISBLANK(L1839),(L1840-$F$5),L1840-L1839),0)</f>
        <v>1.0273972602739727</v>
      </c>
    </row>
    <row r="1841" spans="12:16" ht="15" hidden="1" customHeight="1">
      <c r="L1841" s="58">
        <f t="shared" si="173"/>
        <v>48073</v>
      </c>
      <c r="M1841" s="59">
        <f t="shared" si="171"/>
        <v>0</v>
      </c>
      <c r="N1841" s="59">
        <f t="shared" si="174"/>
        <v>12500</v>
      </c>
      <c r="O1841" s="59">
        <f t="shared" si="172"/>
        <v>1.7123287671232876</v>
      </c>
      <c r="P1841" s="59">
        <f t="shared" si="175"/>
        <v>1.0273972602739727</v>
      </c>
    </row>
    <row r="1842" spans="12:16" ht="15" hidden="1" customHeight="1">
      <c r="L1842" s="58">
        <f t="shared" si="173"/>
        <v>48074</v>
      </c>
      <c r="M1842" s="59">
        <f t="shared" si="171"/>
        <v>0</v>
      </c>
      <c r="N1842" s="59">
        <f t="shared" si="174"/>
        <v>12500</v>
      </c>
      <c r="O1842" s="59">
        <f t="shared" si="172"/>
        <v>1.7123287671232876</v>
      </c>
      <c r="P1842" s="59">
        <f t="shared" si="175"/>
        <v>1.0273972602739727</v>
      </c>
    </row>
    <row r="1843" spans="12:16" ht="15" hidden="1" customHeight="1">
      <c r="L1843" s="58">
        <f t="shared" si="173"/>
        <v>48075</v>
      </c>
      <c r="M1843" s="59">
        <f t="shared" si="171"/>
        <v>0</v>
      </c>
      <c r="N1843" s="59">
        <f t="shared" si="174"/>
        <v>12500</v>
      </c>
      <c r="O1843" s="59">
        <f t="shared" si="172"/>
        <v>1.7123287671232876</v>
      </c>
      <c r="P1843" s="59">
        <f t="shared" si="175"/>
        <v>1.0273972602739727</v>
      </c>
    </row>
    <row r="1844" spans="12:16" ht="15" hidden="1" customHeight="1">
      <c r="L1844" s="58">
        <f t="shared" si="173"/>
        <v>48076</v>
      </c>
      <c r="M1844" s="59">
        <f t="shared" si="171"/>
        <v>12500</v>
      </c>
      <c r="N1844" s="59">
        <f t="shared" si="174"/>
        <v>0</v>
      </c>
      <c r="O1844" s="59">
        <f t="shared" si="172"/>
        <v>1.7123287671232876</v>
      </c>
      <c r="P1844" s="59">
        <f t="shared" si="175"/>
        <v>1.0273972602739727</v>
      </c>
    </row>
    <row r="1845" spans="12:16" ht="15" hidden="1" customHeight="1">
      <c r="L1845" s="58" t="str">
        <f t="shared" si="173"/>
        <v>-</v>
      </c>
      <c r="M1845" s="59">
        <f t="shared" si="171"/>
        <v>0</v>
      </c>
      <c r="N1845" s="59">
        <f t="shared" si="174"/>
        <v>0</v>
      </c>
      <c r="O1845" s="59">
        <f t="shared" si="172"/>
        <v>0</v>
      </c>
      <c r="P1845" s="59">
        <f t="shared" si="175"/>
        <v>0</v>
      </c>
    </row>
    <row r="1846" spans="12:16" ht="15" hidden="1" customHeight="1">
      <c r="L1846" s="58" t="str">
        <f t="shared" si="173"/>
        <v>-</v>
      </c>
      <c r="M1846" s="59">
        <f t="shared" si="171"/>
        <v>0</v>
      </c>
      <c r="N1846" s="59">
        <f t="shared" si="174"/>
        <v>0</v>
      </c>
      <c r="O1846" s="59">
        <f t="shared" si="172"/>
        <v>0</v>
      </c>
      <c r="P1846" s="59">
        <f t="shared" si="175"/>
        <v>0</v>
      </c>
    </row>
    <row r="1847" spans="12:16" ht="15" hidden="1" customHeight="1">
      <c r="L1847" s="58" t="str">
        <f t="shared" si="173"/>
        <v>-</v>
      </c>
      <c r="M1847" s="59">
        <f t="shared" si="171"/>
        <v>0</v>
      </c>
      <c r="N1847" s="59">
        <f t="shared" si="174"/>
        <v>0</v>
      </c>
      <c r="O1847" s="59">
        <f t="shared" si="172"/>
        <v>0</v>
      </c>
      <c r="P1847" s="59">
        <f t="shared" si="175"/>
        <v>0</v>
      </c>
    </row>
    <row r="1848" spans="12:16" ht="15" hidden="1" customHeight="1">
      <c r="L1848" s="58" t="str">
        <f t="shared" si="173"/>
        <v>-</v>
      </c>
      <c r="M1848" s="59">
        <f t="shared" si="171"/>
        <v>0</v>
      </c>
      <c r="N1848" s="59">
        <f t="shared" si="174"/>
        <v>0</v>
      </c>
      <c r="O1848" s="59">
        <f t="shared" si="172"/>
        <v>0</v>
      </c>
      <c r="P1848" s="59">
        <f t="shared" si="175"/>
        <v>0</v>
      </c>
    </row>
    <row r="1849" spans="12:16" ht="15" hidden="1" customHeight="1">
      <c r="L1849" s="58" t="str">
        <f t="shared" si="173"/>
        <v>-</v>
      </c>
      <c r="M1849" s="59">
        <f t="shared" si="171"/>
        <v>0</v>
      </c>
      <c r="N1849" s="59">
        <f t="shared" si="174"/>
        <v>0</v>
      </c>
      <c r="O1849" s="59">
        <f t="shared" si="172"/>
        <v>0</v>
      </c>
      <c r="P1849" s="59">
        <f t="shared" si="175"/>
        <v>0</v>
      </c>
    </row>
    <row r="1850" spans="12:16" ht="15" hidden="1" customHeight="1">
      <c r="L1850" s="58" t="str">
        <f t="shared" si="173"/>
        <v>-</v>
      </c>
      <c r="M1850" s="59">
        <f t="shared" si="171"/>
        <v>0</v>
      </c>
      <c r="N1850" s="59">
        <f t="shared" si="174"/>
        <v>0</v>
      </c>
      <c r="O1850" s="59">
        <f t="shared" si="172"/>
        <v>0</v>
      </c>
      <c r="P1850" s="59">
        <f t="shared" si="175"/>
        <v>0</v>
      </c>
    </row>
    <row r="1851" spans="12:16" ht="15" hidden="1" customHeight="1">
      <c r="L1851" s="58" t="str">
        <f t="shared" si="173"/>
        <v>-</v>
      </c>
      <c r="M1851" s="59">
        <f t="shared" si="171"/>
        <v>0</v>
      </c>
      <c r="N1851" s="59">
        <f t="shared" si="174"/>
        <v>0</v>
      </c>
      <c r="O1851" s="59">
        <f t="shared" si="172"/>
        <v>0</v>
      </c>
      <c r="P1851" s="59">
        <f t="shared" si="175"/>
        <v>0</v>
      </c>
    </row>
    <row r="1852" spans="12:16" ht="15" hidden="1" customHeight="1">
      <c r="L1852" s="58" t="str">
        <f t="shared" si="173"/>
        <v>-</v>
      </c>
      <c r="M1852" s="59">
        <f t="shared" si="171"/>
        <v>0</v>
      </c>
      <c r="N1852" s="59">
        <f t="shared" si="174"/>
        <v>0</v>
      </c>
      <c r="O1852" s="59">
        <f t="shared" si="172"/>
        <v>0</v>
      </c>
      <c r="P1852" s="59">
        <f t="shared" si="175"/>
        <v>0</v>
      </c>
    </row>
    <row r="1853" spans="12:16" ht="15" hidden="1" customHeight="1">
      <c r="L1853" s="58" t="str">
        <f t="shared" si="173"/>
        <v>-</v>
      </c>
      <c r="M1853" s="59">
        <f t="shared" si="171"/>
        <v>0</v>
      </c>
      <c r="N1853" s="59">
        <f t="shared" si="174"/>
        <v>0</v>
      </c>
      <c r="O1853" s="59">
        <f t="shared" si="172"/>
        <v>0</v>
      </c>
      <c r="P1853" s="59">
        <f t="shared" si="175"/>
        <v>0</v>
      </c>
    </row>
    <row r="1854" spans="12:16" ht="15" hidden="1" customHeight="1">
      <c r="L1854" s="58" t="str">
        <f t="shared" si="173"/>
        <v>-</v>
      </c>
      <c r="M1854" s="59">
        <f t="shared" si="171"/>
        <v>0</v>
      </c>
      <c r="N1854" s="59">
        <f t="shared" si="174"/>
        <v>0</v>
      </c>
      <c r="O1854" s="59">
        <f t="shared" si="172"/>
        <v>0</v>
      </c>
      <c r="P1854" s="59">
        <f t="shared" si="175"/>
        <v>0</v>
      </c>
    </row>
    <row r="1855" spans="12:16" ht="15" hidden="1" customHeight="1">
      <c r="L1855" s="58" t="str">
        <f t="shared" si="173"/>
        <v>-</v>
      </c>
      <c r="M1855" s="59">
        <f t="shared" si="171"/>
        <v>0</v>
      </c>
      <c r="N1855" s="59">
        <f t="shared" si="174"/>
        <v>0</v>
      </c>
      <c r="O1855" s="59">
        <f t="shared" si="172"/>
        <v>0</v>
      </c>
      <c r="P1855" s="59">
        <f t="shared" si="175"/>
        <v>0</v>
      </c>
    </row>
    <row r="1856" spans="12:16" ht="15" hidden="1" customHeight="1">
      <c r="L1856" s="58" t="str">
        <f t="shared" si="173"/>
        <v>-</v>
      </c>
      <c r="M1856" s="59">
        <f t="shared" si="171"/>
        <v>0</v>
      </c>
      <c r="N1856" s="59">
        <f t="shared" si="174"/>
        <v>0</v>
      </c>
      <c r="O1856" s="59">
        <f t="shared" si="172"/>
        <v>0</v>
      </c>
      <c r="P1856" s="59">
        <f t="shared" si="175"/>
        <v>0</v>
      </c>
    </row>
    <row r="1857" spans="12:16" ht="15" hidden="1" customHeight="1">
      <c r="L1857" s="58" t="str">
        <f t="shared" si="173"/>
        <v>-</v>
      </c>
      <c r="M1857" s="59">
        <f t="shared" si="171"/>
        <v>0</v>
      </c>
      <c r="N1857" s="59">
        <f t="shared" si="174"/>
        <v>0</v>
      </c>
      <c r="O1857" s="59">
        <f t="shared" si="172"/>
        <v>0</v>
      </c>
      <c r="P1857" s="59">
        <f t="shared" si="175"/>
        <v>0</v>
      </c>
    </row>
    <row r="1858" spans="12:16" ht="15" hidden="1" customHeight="1">
      <c r="L1858" s="58" t="str">
        <f t="shared" si="173"/>
        <v>-</v>
      </c>
      <c r="M1858" s="59">
        <f t="shared" si="171"/>
        <v>0</v>
      </c>
      <c r="N1858" s="59">
        <f t="shared" si="174"/>
        <v>0</v>
      </c>
      <c r="O1858" s="59">
        <f t="shared" si="172"/>
        <v>0</v>
      </c>
      <c r="P1858" s="59">
        <f t="shared" si="175"/>
        <v>0</v>
      </c>
    </row>
    <row r="1859" spans="12:16" ht="15" hidden="1" customHeight="1">
      <c r="L1859" s="58" t="str">
        <f t="shared" si="173"/>
        <v>-</v>
      </c>
      <c r="M1859" s="59">
        <f t="shared" si="171"/>
        <v>0</v>
      </c>
      <c r="N1859" s="59">
        <f t="shared" si="174"/>
        <v>0</v>
      </c>
      <c r="O1859" s="59">
        <f t="shared" si="172"/>
        <v>0</v>
      </c>
      <c r="P1859" s="59">
        <f t="shared" si="175"/>
        <v>0</v>
      </c>
    </row>
    <row r="1860" spans="12:16" ht="15" hidden="1" customHeight="1">
      <c r="L1860" s="58" t="str">
        <f t="shared" si="173"/>
        <v>-</v>
      </c>
      <c r="M1860" s="59">
        <f t="shared" si="171"/>
        <v>0</v>
      </c>
      <c r="N1860" s="59">
        <f t="shared" si="174"/>
        <v>0</v>
      </c>
      <c r="O1860" s="59">
        <f t="shared" si="172"/>
        <v>0</v>
      </c>
      <c r="P1860" s="59">
        <f t="shared" si="175"/>
        <v>0</v>
      </c>
    </row>
    <row r="1861" spans="12:16" ht="15" hidden="1" customHeight="1">
      <c r="L1861" s="58" t="str">
        <f t="shared" si="173"/>
        <v>-</v>
      </c>
      <c r="M1861" s="59">
        <f t="shared" si="171"/>
        <v>0</v>
      </c>
      <c r="N1861" s="59">
        <f t="shared" si="174"/>
        <v>0</v>
      </c>
      <c r="O1861" s="59">
        <f t="shared" si="172"/>
        <v>0</v>
      </c>
      <c r="P1861" s="59">
        <f t="shared" si="175"/>
        <v>0</v>
      </c>
    </row>
    <row r="1862" spans="12:16" ht="15" hidden="1" customHeight="1">
      <c r="L1862" s="58" t="str">
        <f t="shared" si="173"/>
        <v>-</v>
      </c>
      <c r="M1862" s="59">
        <f t="shared" si="171"/>
        <v>0</v>
      </c>
      <c r="N1862" s="59">
        <f t="shared" si="174"/>
        <v>0</v>
      </c>
      <c r="O1862" s="59">
        <f t="shared" si="172"/>
        <v>0</v>
      </c>
      <c r="P1862" s="59">
        <f t="shared" si="175"/>
        <v>0</v>
      </c>
    </row>
    <row r="1863" spans="12:16" ht="15" hidden="1" customHeight="1">
      <c r="L1863" s="58" t="str">
        <f t="shared" si="173"/>
        <v>-</v>
      </c>
      <c r="M1863" s="59">
        <f t="shared" si="171"/>
        <v>0</v>
      </c>
      <c r="N1863" s="59">
        <f t="shared" si="174"/>
        <v>0</v>
      </c>
      <c r="O1863" s="59">
        <f t="shared" si="172"/>
        <v>0</v>
      </c>
      <c r="P1863" s="59">
        <f t="shared" si="175"/>
        <v>0</v>
      </c>
    </row>
    <row r="1864" spans="12:16" ht="15" hidden="1" customHeight="1">
      <c r="L1864" s="58" t="str">
        <f t="shared" si="173"/>
        <v>-</v>
      </c>
      <c r="M1864" s="59">
        <f t="shared" si="171"/>
        <v>0</v>
      </c>
      <c r="N1864" s="59">
        <f t="shared" si="174"/>
        <v>0</v>
      </c>
      <c r="O1864" s="59">
        <f t="shared" si="172"/>
        <v>0</v>
      </c>
      <c r="P1864" s="59">
        <f t="shared" si="175"/>
        <v>0</v>
      </c>
    </row>
    <row r="1865" spans="12:16" ht="15" hidden="1" customHeight="1">
      <c r="L1865" s="58" t="str">
        <f t="shared" si="173"/>
        <v>-</v>
      </c>
      <c r="M1865" s="59">
        <f t="shared" si="171"/>
        <v>0</v>
      </c>
      <c r="N1865" s="59">
        <f t="shared" si="174"/>
        <v>0</v>
      </c>
      <c r="O1865" s="59">
        <f t="shared" si="172"/>
        <v>0</v>
      </c>
      <c r="P1865" s="59">
        <f t="shared" si="175"/>
        <v>0</v>
      </c>
    </row>
    <row r="1866" spans="12:16" ht="15" hidden="1" customHeight="1">
      <c r="L1866" s="58" t="str">
        <f t="shared" si="173"/>
        <v>-</v>
      </c>
      <c r="M1866" s="59">
        <f t="shared" si="171"/>
        <v>0</v>
      </c>
      <c r="N1866" s="59">
        <f t="shared" si="174"/>
        <v>0</v>
      </c>
      <c r="O1866" s="59">
        <f t="shared" si="172"/>
        <v>0</v>
      </c>
      <c r="P1866" s="59">
        <f t="shared" si="175"/>
        <v>0</v>
      </c>
    </row>
    <row r="1867" spans="12:16" ht="15" hidden="1" customHeight="1">
      <c r="L1867" s="58" t="str">
        <f t="shared" si="173"/>
        <v>-</v>
      </c>
      <c r="M1867" s="59">
        <f t="shared" si="171"/>
        <v>0</v>
      </c>
      <c r="N1867" s="59">
        <f t="shared" si="174"/>
        <v>0</v>
      </c>
      <c r="O1867" s="59">
        <f t="shared" si="172"/>
        <v>0</v>
      </c>
      <c r="P1867" s="59">
        <f t="shared" si="175"/>
        <v>0</v>
      </c>
    </row>
    <row r="1868" spans="12:16" ht="15" hidden="1" customHeight="1">
      <c r="L1868" s="58" t="str">
        <f t="shared" si="173"/>
        <v>-</v>
      </c>
      <c r="M1868" s="59">
        <f t="shared" si="171"/>
        <v>0</v>
      </c>
      <c r="N1868" s="59">
        <f t="shared" si="174"/>
        <v>0</v>
      </c>
      <c r="O1868" s="59">
        <f t="shared" si="172"/>
        <v>0</v>
      </c>
      <c r="P1868" s="59">
        <f t="shared" si="175"/>
        <v>0</v>
      </c>
    </row>
    <row r="1869" spans="12:16" ht="15" hidden="1" customHeight="1">
      <c r="L1869" s="58" t="str">
        <f t="shared" si="173"/>
        <v>-</v>
      </c>
      <c r="M1869" s="59">
        <f t="shared" si="171"/>
        <v>0</v>
      </c>
      <c r="N1869" s="59">
        <f t="shared" si="174"/>
        <v>0</v>
      </c>
      <c r="O1869" s="59">
        <f t="shared" si="172"/>
        <v>0</v>
      </c>
      <c r="P1869" s="59">
        <f t="shared" si="175"/>
        <v>0</v>
      </c>
    </row>
    <row r="1870" spans="12:16" ht="15" hidden="1" customHeight="1">
      <c r="L1870" s="58" t="str">
        <f t="shared" si="173"/>
        <v>-</v>
      </c>
      <c r="M1870" s="59">
        <f t="shared" si="171"/>
        <v>0</v>
      </c>
      <c r="N1870" s="59">
        <f t="shared" si="174"/>
        <v>0</v>
      </c>
      <c r="O1870" s="59">
        <f t="shared" si="172"/>
        <v>0</v>
      </c>
      <c r="P1870" s="59">
        <f t="shared" si="175"/>
        <v>0</v>
      </c>
    </row>
    <row r="1871" spans="12:16" ht="15" hidden="1" customHeight="1">
      <c r="L1871" s="58" t="str">
        <f t="shared" si="173"/>
        <v>-</v>
      </c>
      <c r="M1871" s="59">
        <f t="shared" si="171"/>
        <v>0</v>
      </c>
      <c r="N1871" s="59">
        <f t="shared" si="174"/>
        <v>0</v>
      </c>
      <c r="O1871" s="59">
        <f t="shared" si="172"/>
        <v>0</v>
      </c>
      <c r="P1871" s="59">
        <f t="shared" si="175"/>
        <v>0</v>
      </c>
    </row>
    <row r="1872" spans="12:16" ht="15" hidden="1" customHeight="1">
      <c r="L1872" s="58" t="str">
        <f t="shared" si="173"/>
        <v>-</v>
      </c>
      <c r="M1872" s="59">
        <f t="shared" si="171"/>
        <v>0</v>
      </c>
      <c r="N1872" s="59">
        <f t="shared" si="174"/>
        <v>0</v>
      </c>
      <c r="O1872" s="59">
        <f t="shared" si="172"/>
        <v>0</v>
      </c>
      <c r="P1872" s="59">
        <f t="shared" si="175"/>
        <v>0</v>
      </c>
    </row>
    <row r="1873" spans="12:16" ht="15" hidden="1" customHeight="1">
      <c r="L1873" s="58" t="str">
        <f t="shared" si="173"/>
        <v>-</v>
      </c>
      <c r="M1873" s="59">
        <f t="shared" si="171"/>
        <v>0</v>
      </c>
      <c r="N1873" s="59">
        <f t="shared" si="174"/>
        <v>0</v>
      </c>
      <c r="O1873" s="59">
        <f t="shared" si="172"/>
        <v>0</v>
      </c>
      <c r="P1873" s="59">
        <f t="shared" si="175"/>
        <v>0</v>
      </c>
    </row>
    <row r="1874" spans="12:16" ht="15" hidden="1" customHeight="1">
      <c r="L1874" s="58" t="str">
        <f t="shared" si="173"/>
        <v>-</v>
      </c>
      <c r="M1874" s="59">
        <f t="shared" si="171"/>
        <v>0</v>
      </c>
      <c r="N1874" s="59">
        <f t="shared" si="174"/>
        <v>0</v>
      </c>
      <c r="O1874" s="59">
        <f t="shared" si="172"/>
        <v>0</v>
      </c>
      <c r="P1874" s="59">
        <f t="shared" si="175"/>
        <v>0</v>
      </c>
    </row>
    <row r="1875" spans="12:16" ht="15" hidden="1" customHeight="1">
      <c r="L1875" s="58" t="str">
        <f t="shared" si="173"/>
        <v>-</v>
      </c>
      <c r="M1875" s="59">
        <f t="shared" ref="M1875:M1938" si="176">IFERROR(VLOOKUP(L1875,$B$19:$E$80,4,FALSE),0)</f>
        <v>0</v>
      </c>
      <c r="N1875" s="59">
        <f t="shared" si="174"/>
        <v>0</v>
      </c>
      <c r="O1875" s="59">
        <f t="shared" ref="O1875:O1938" si="177">IFERROR(IF(ISNUMBER(N1874),N1874,$E$8)*IF(L1875&gt;=$J$8,$E$12,$E$12)/IF(MOD(YEAR(L1875),4),365,366)*IF(ISBLANK(L1874),L1875-$F$5,L1875-L1874),0)</f>
        <v>0</v>
      </c>
      <c r="P1875" s="59">
        <f t="shared" si="175"/>
        <v>0</v>
      </c>
    </row>
    <row r="1876" spans="12:16" ht="15" hidden="1" customHeight="1">
      <c r="L1876" s="58" t="str">
        <f t="shared" si="173"/>
        <v>-</v>
      </c>
      <c r="M1876" s="59">
        <f t="shared" si="176"/>
        <v>0</v>
      </c>
      <c r="N1876" s="59">
        <f t="shared" si="174"/>
        <v>0</v>
      </c>
      <c r="O1876" s="59">
        <f t="shared" si="177"/>
        <v>0</v>
      </c>
      <c r="P1876" s="59">
        <f t="shared" si="175"/>
        <v>0</v>
      </c>
    </row>
    <row r="1877" spans="12:16" ht="15" hidden="1" customHeight="1">
      <c r="L1877" s="58" t="str">
        <f t="shared" si="173"/>
        <v>-</v>
      </c>
      <c r="M1877" s="59">
        <f t="shared" si="176"/>
        <v>0</v>
      </c>
      <c r="N1877" s="59">
        <f t="shared" si="174"/>
        <v>0</v>
      </c>
      <c r="O1877" s="59">
        <f t="shared" si="177"/>
        <v>0</v>
      </c>
      <c r="P1877" s="59">
        <f t="shared" si="175"/>
        <v>0</v>
      </c>
    </row>
    <row r="1878" spans="12:16" ht="15" hidden="1" customHeight="1">
      <c r="L1878" s="58" t="str">
        <f t="shared" si="173"/>
        <v>-</v>
      </c>
      <c r="M1878" s="59">
        <f t="shared" si="176"/>
        <v>0</v>
      </c>
      <c r="N1878" s="59">
        <f t="shared" si="174"/>
        <v>0</v>
      </c>
      <c r="O1878" s="59">
        <f t="shared" si="177"/>
        <v>0</v>
      </c>
      <c r="P1878" s="59">
        <f t="shared" si="175"/>
        <v>0</v>
      </c>
    </row>
    <row r="1879" spans="12:16" ht="15" hidden="1" customHeight="1">
      <c r="L1879" s="58" t="str">
        <f t="shared" si="173"/>
        <v>-</v>
      </c>
      <c r="M1879" s="59">
        <f t="shared" si="176"/>
        <v>0</v>
      </c>
      <c r="N1879" s="59">
        <f t="shared" si="174"/>
        <v>0</v>
      </c>
      <c r="O1879" s="59">
        <f t="shared" si="177"/>
        <v>0</v>
      </c>
      <c r="P1879" s="59">
        <f t="shared" si="175"/>
        <v>0</v>
      </c>
    </row>
    <row r="1880" spans="12:16" ht="15" hidden="1" customHeight="1">
      <c r="L1880" s="58" t="str">
        <f t="shared" si="173"/>
        <v>-</v>
      </c>
      <c r="M1880" s="59">
        <f t="shared" si="176"/>
        <v>0</v>
      </c>
      <c r="N1880" s="59">
        <f t="shared" si="174"/>
        <v>0</v>
      </c>
      <c r="O1880" s="59">
        <f t="shared" si="177"/>
        <v>0</v>
      </c>
      <c r="P1880" s="59">
        <f t="shared" si="175"/>
        <v>0</v>
      </c>
    </row>
    <row r="1881" spans="12:16" ht="15" hidden="1" customHeight="1">
      <c r="L1881" s="58" t="str">
        <f t="shared" si="173"/>
        <v>-</v>
      </c>
      <c r="M1881" s="59">
        <f t="shared" si="176"/>
        <v>0</v>
      </c>
      <c r="N1881" s="59">
        <f t="shared" si="174"/>
        <v>0</v>
      </c>
      <c r="O1881" s="59">
        <f t="shared" si="177"/>
        <v>0</v>
      </c>
      <c r="P1881" s="59">
        <f t="shared" si="175"/>
        <v>0</v>
      </c>
    </row>
    <row r="1882" spans="12:16" ht="15" hidden="1" customHeight="1">
      <c r="L1882" s="58" t="str">
        <f t="shared" si="173"/>
        <v>-</v>
      </c>
      <c r="M1882" s="59">
        <f t="shared" si="176"/>
        <v>0</v>
      </c>
      <c r="N1882" s="59">
        <f t="shared" si="174"/>
        <v>0</v>
      </c>
      <c r="O1882" s="59">
        <f t="shared" si="177"/>
        <v>0</v>
      </c>
      <c r="P1882" s="59">
        <f t="shared" si="175"/>
        <v>0</v>
      </c>
    </row>
    <row r="1883" spans="12:16" ht="15" hidden="1" customHeight="1">
      <c r="L1883" s="58" t="str">
        <f t="shared" si="173"/>
        <v>-</v>
      </c>
      <c r="M1883" s="59">
        <f t="shared" si="176"/>
        <v>0</v>
      </c>
      <c r="N1883" s="59">
        <f t="shared" si="174"/>
        <v>0</v>
      </c>
      <c r="O1883" s="59">
        <f t="shared" si="177"/>
        <v>0</v>
      </c>
      <c r="P1883" s="59">
        <f t="shared" si="175"/>
        <v>0</v>
      </c>
    </row>
    <row r="1884" spans="12:16" ht="15" hidden="1" customHeight="1">
      <c r="L1884" s="58" t="str">
        <f t="shared" si="173"/>
        <v>-</v>
      </c>
      <c r="M1884" s="59">
        <f t="shared" si="176"/>
        <v>0</v>
      </c>
      <c r="N1884" s="59">
        <f t="shared" si="174"/>
        <v>0</v>
      </c>
      <c r="O1884" s="59">
        <f t="shared" si="177"/>
        <v>0</v>
      </c>
      <c r="P1884" s="59">
        <f t="shared" si="175"/>
        <v>0</v>
      </c>
    </row>
    <row r="1885" spans="12:16" ht="15" hidden="1" customHeight="1">
      <c r="L1885" s="58" t="str">
        <f t="shared" si="173"/>
        <v>-</v>
      </c>
      <c r="M1885" s="59">
        <f t="shared" si="176"/>
        <v>0</v>
      </c>
      <c r="N1885" s="59">
        <f t="shared" si="174"/>
        <v>0</v>
      </c>
      <c r="O1885" s="59">
        <f t="shared" si="177"/>
        <v>0</v>
      </c>
      <c r="P1885" s="59">
        <f t="shared" si="175"/>
        <v>0</v>
      </c>
    </row>
    <row r="1886" spans="12:16" ht="15" hidden="1" customHeight="1">
      <c r="L1886" s="58" t="str">
        <f t="shared" si="173"/>
        <v>-</v>
      </c>
      <c r="M1886" s="59">
        <f t="shared" si="176"/>
        <v>0</v>
      </c>
      <c r="N1886" s="59">
        <f t="shared" si="174"/>
        <v>0</v>
      </c>
      <c r="O1886" s="59">
        <f t="shared" si="177"/>
        <v>0</v>
      </c>
      <c r="P1886" s="59">
        <f t="shared" si="175"/>
        <v>0</v>
      </c>
    </row>
    <row r="1887" spans="12:16" ht="15" hidden="1" customHeight="1">
      <c r="L1887" s="58" t="str">
        <f t="shared" si="173"/>
        <v>-</v>
      </c>
      <c r="M1887" s="59">
        <f t="shared" si="176"/>
        <v>0</v>
      </c>
      <c r="N1887" s="59">
        <f t="shared" si="174"/>
        <v>0</v>
      </c>
      <c r="O1887" s="59">
        <f t="shared" si="177"/>
        <v>0</v>
      </c>
      <c r="P1887" s="59">
        <f t="shared" si="175"/>
        <v>0</v>
      </c>
    </row>
    <row r="1888" spans="12:16" ht="15" hidden="1" customHeight="1">
      <c r="L1888" s="58" t="str">
        <f t="shared" si="173"/>
        <v>-</v>
      </c>
      <c r="M1888" s="59">
        <f t="shared" si="176"/>
        <v>0</v>
      </c>
      <c r="N1888" s="59">
        <f t="shared" si="174"/>
        <v>0</v>
      </c>
      <c r="O1888" s="59">
        <f t="shared" si="177"/>
        <v>0</v>
      </c>
      <c r="P1888" s="59">
        <f t="shared" si="175"/>
        <v>0</v>
      </c>
    </row>
    <row r="1889" spans="12:16" ht="15" hidden="1" customHeight="1">
      <c r="L1889" s="58" t="str">
        <f t="shared" si="173"/>
        <v>-</v>
      </c>
      <c r="M1889" s="59">
        <f t="shared" si="176"/>
        <v>0</v>
      </c>
      <c r="N1889" s="59">
        <f t="shared" si="174"/>
        <v>0</v>
      </c>
      <c r="O1889" s="59">
        <f t="shared" si="177"/>
        <v>0</v>
      </c>
      <c r="P1889" s="59">
        <f t="shared" si="175"/>
        <v>0</v>
      </c>
    </row>
    <row r="1890" spans="12:16" ht="15" hidden="1" customHeight="1">
      <c r="L1890" s="58" t="str">
        <f t="shared" ref="L1890:L1953" si="178">IFERROR(IF(MAX(L1889+1,$F$5+1)&gt;Дата_погашения_Займа,"-",MAX(L1889+1,$F$5+1)),"-")</f>
        <v>-</v>
      </c>
      <c r="M1890" s="59">
        <f t="shared" si="176"/>
        <v>0</v>
      </c>
      <c r="N1890" s="59">
        <f t="shared" si="174"/>
        <v>0</v>
      </c>
      <c r="O1890" s="59">
        <f t="shared" si="177"/>
        <v>0</v>
      </c>
      <c r="P1890" s="59">
        <f t="shared" si="175"/>
        <v>0</v>
      </c>
    </row>
    <row r="1891" spans="12:16" ht="15" hidden="1" customHeight="1">
      <c r="L1891" s="58" t="str">
        <f t="shared" si="178"/>
        <v>-</v>
      </c>
      <c r="M1891" s="59">
        <f t="shared" si="176"/>
        <v>0</v>
      </c>
      <c r="N1891" s="59">
        <f t="shared" si="174"/>
        <v>0</v>
      </c>
      <c r="O1891" s="59">
        <f t="shared" si="177"/>
        <v>0</v>
      </c>
      <c r="P1891" s="59">
        <f t="shared" si="175"/>
        <v>0</v>
      </c>
    </row>
    <row r="1892" spans="12:16" ht="15" hidden="1" customHeight="1">
      <c r="L1892" s="58" t="str">
        <f t="shared" si="178"/>
        <v>-</v>
      </c>
      <c r="M1892" s="59">
        <f t="shared" si="176"/>
        <v>0</v>
      </c>
      <c r="N1892" s="59">
        <f t="shared" si="174"/>
        <v>0</v>
      </c>
      <c r="O1892" s="59">
        <f t="shared" si="177"/>
        <v>0</v>
      </c>
      <c r="P1892" s="59">
        <f t="shared" si="175"/>
        <v>0</v>
      </c>
    </row>
    <row r="1893" spans="12:16" ht="15" hidden="1" customHeight="1">
      <c r="L1893" s="58" t="str">
        <f t="shared" si="178"/>
        <v>-</v>
      </c>
      <c r="M1893" s="59">
        <f t="shared" si="176"/>
        <v>0</v>
      </c>
      <c r="N1893" s="59">
        <f t="shared" si="174"/>
        <v>0</v>
      </c>
      <c r="O1893" s="59">
        <f t="shared" si="177"/>
        <v>0</v>
      </c>
      <c r="P1893" s="59">
        <f t="shared" si="175"/>
        <v>0</v>
      </c>
    </row>
    <row r="1894" spans="12:16" ht="15" hidden="1" customHeight="1">
      <c r="L1894" s="58" t="str">
        <f t="shared" si="178"/>
        <v>-</v>
      </c>
      <c r="M1894" s="59">
        <f t="shared" si="176"/>
        <v>0</v>
      </c>
      <c r="N1894" s="59">
        <f t="shared" si="174"/>
        <v>0</v>
      </c>
      <c r="O1894" s="59">
        <f t="shared" si="177"/>
        <v>0</v>
      </c>
      <c r="P1894" s="59">
        <f t="shared" si="175"/>
        <v>0</v>
      </c>
    </row>
    <row r="1895" spans="12:16" ht="15" hidden="1" customHeight="1">
      <c r="L1895" s="58" t="str">
        <f t="shared" si="178"/>
        <v>-</v>
      </c>
      <c r="M1895" s="59">
        <f t="shared" si="176"/>
        <v>0</v>
      </c>
      <c r="N1895" s="59">
        <f t="shared" si="174"/>
        <v>0</v>
      </c>
      <c r="O1895" s="59">
        <f t="shared" si="177"/>
        <v>0</v>
      </c>
      <c r="P1895" s="59">
        <f t="shared" si="175"/>
        <v>0</v>
      </c>
    </row>
    <row r="1896" spans="12:16" ht="15" hidden="1" customHeight="1">
      <c r="L1896" s="58" t="str">
        <f t="shared" si="178"/>
        <v>-</v>
      </c>
      <c r="M1896" s="59">
        <f t="shared" si="176"/>
        <v>0</v>
      </c>
      <c r="N1896" s="59">
        <f t="shared" si="174"/>
        <v>0</v>
      </c>
      <c r="O1896" s="59">
        <f t="shared" si="177"/>
        <v>0</v>
      </c>
      <c r="P1896" s="59">
        <f t="shared" si="175"/>
        <v>0</v>
      </c>
    </row>
    <row r="1897" spans="12:16" ht="15" hidden="1" customHeight="1">
      <c r="L1897" s="58" t="str">
        <f t="shared" si="178"/>
        <v>-</v>
      </c>
      <c r="M1897" s="59">
        <f t="shared" si="176"/>
        <v>0</v>
      </c>
      <c r="N1897" s="59">
        <f t="shared" si="174"/>
        <v>0</v>
      </c>
      <c r="O1897" s="59">
        <f t="shared" si="177"/>
        <v>0</v>
      </c>
      <c r="P1897" s="59">
        <f t="shared" si="175"/>
        <v>0</v>
      </c>
    </row>
    <row r="1898" spans="12:16" ht="15" hidden="1" customHeight="1">
      <c r="L1898" s="58" t="str">
        <f t="shared" si="178"/>
        <v>-</v>
      </c>
      <c r="M1898" s="59">
        <f t="shared" si="176"/>
        <v>0</v>
      </c>
      <c r="N1898" s="59">
        <f t="shared" si="174"/>
        <v>0</v>
      </c>
      <c r="O1898" s="59">
        <f t="shared" si="177"/>
        <v>0</v>
      </c>
      <c r="P1898" s="59">
        <f t="shared" si="175"/>
        <v>0</v>
      </c>
    </row>
    <row r="1899" spans="12:16" ht="15" hidden="1" customHeight="1">
      <c r="L1899" s="58" t="str">
        <f t="shared" si="178"/>
        <v>-</v>
      </c>
      <c r="M1899" s="59">
        <f t="shared" si="176"/>
        <v>0</v>
      </c>
      <c r="N1899" s="59">
        <f t="shared" si="174"/>
        <v>0</v>
      </c>
      <c r="O1899" s="59">
        <f t="shared" si="177"/>
        <v>0</v>
      </c>
      <c r="P1899" s="59">
        <f t="shared" si="175"/>
        <v>0</v>
      </c>
    </row>
    <row r="1900" spans="12:16" ht="15" hidden="1" customHeight="1">
      <c r="L1900" s="58" t="str">
        <f t="shared" si="178"/>
        <v>-</v>
      </c>
      <c r="M1900" s="59">
        <f t="shared" si="176"/>
        <v>0</v>
      </c>
      <c r="N1900" s="59">
        <f t="shared" si="174"/>
        <v>0</v>
      </c>
      <c r="O1900" s="59">
        <f t="shared" si="177"/>
        <v>0</v>
      </c>
      <c r="P1900" s="59">
        <f t="shared" si="175"/>
        <v>0</v>
      </c>
    </row>
    <row r="1901" spans="12:16" ht="15" hidden="1" customHeight="1">
      <c r="L1901" s="58" t="str">
        <f t="shared" si="178"/>
        <v>-</v>
      </c>
      <c r="M1901" s="59">
        <f t="shared" si="176"/>
        <v>0</v>
      </c>
      <c r="N1901" s="59">
        <f t="shared" si="174"/>
        <v>0</v>
      </c>
      <c r="O1901" s="59">
        <f t="shared" si="177"/>
        <v>0</v>
      </c>
      <c r="P1901" s="59">
        <f t="shared" si="175"/>
        <v>0</v>
      </c>
    </row>
    <row r="1902" spans="12:16" ht="15" hidden="1" customHeight="1">
      <c r="L1902" s="58" t="str">
        <f t="shared" si="178"/>
        <v>-</v>
      </c>
      <c r="M1902" s="59">
        <f t="shared" si="176"/>
        <v>0</v>
      </c>
      <c r="N1902" s="59">
        <f t="shared" si="174"/>
        <v>0</v>
      </c>
      <c r="O1902" s="59">
        <f t="shared" si="177"/>
        <v>0</v>
      </c>
      <c r="P1902" s="59">
        <f t="shared" si="175"/>
        <v>0</v>
      </c>
    </row>
    <row r="1903" spans="12:16" ht="15" hidden="1" customHeight="1">
      <c r="L1903" s="58" t="str">
        <f t="shared" si="178"/>
        <v>-</v>
      </c>
      <c r="M1903" s="59">
        <f t="shared" si="176"/>
        <v>0</v>
      </c>
      <c r="N1903" s="59">
        <f t="shared" si="174"/>
        <v>0</v>
      </c>
      <c r="O1903" s="59">
        <f t="shared" si="177"/>
        <v>0</v>
      </c>
      <c r="P1903" s="59">
        <f t="shared" si="175"/>
        <v>0</v>
      </c>
    </row>
    <row r="1904" spans="12:16" ht="15" hidden="1" customHeight="1">
      <c r="L1904" s="58" t="str">
        <f t="shared" si="178"/>
        <v>-</v>
      </c>
      <c r="M1904" s="59">
        <f t="shared" si="176"/>
        <v>0</v>
      </c>
      <c r="N1904" s="59">
        <f t="shared" ref="N1904:N1967" si="179">IF(ISNUMBER(N1903),N1903-M1904,$E$8)</f>
        <v>0</v>
      </c>
      <c r="O1904" s="59">
        <f t="shared" si="177"/>
        <v>0</v>
      </c>
      <c r="P1904" s="59">
        <f t="shared" ref="P1904:P1967" si="180">IFERROR(IF(ISNUMBER(N1903),N1903,$E$8)*3%/IF(MOD(YEAR(L1904),4),365,366)*IF(ISBLANK(L1903),(L1904-$F$5),L1904-L1903),0)</f>
        <v>0</v>
      </c>
    </row>
    <row r="1905" spans="12:16" ht="15" hidden="1" customHeight="1">
      <c r="L1905" s="58" t="str">
        <f t="shared" si="178"/>
        <v>-</v>
      </c>
      <c r="M1905" s="59">
        <f t="shared" si="176"/>
        <v>0</v>
      </c>
      <c r="N1905" s="59">
        <f t="shared" si="179"/>
        <v>0</v>
      </c>
      <c r="O1905" s="59">
        <f t="shared" si="177"/>
        <v>0</v>
      </c>
      <c r="P1905" s="59">
        <f t="shared" si="180"/>
        <v>0</v>
      </c>
    </row>
    <row r="1906" spans="12:16" ht="15" hidden="1" customHeight="1">
      <c r="L1906" s="58" t="str">
        <f t="shared" si="178"/>
        <v>-</v>
      </c>
      <c r="M1906" s="59">
        <f t="shared" si="176"/>
        <v>0</v>
      </c>
      <c r="N1906" s="59">
        <f t="shared" si="179"/>
        <v>0</v>
      </c>
      <c r="O1906" s="59">
        <f t="shared" si="177"/>
        <v>0</v>
      </c>
      <c r="P1906" s="59">
        <f t="shared" si="180"/>
        <v>0</v>
      </c>
    </row>
    <row r="1907" spans="12:16" ht="15" hidden="1" customHeight="1">
      <c r="L1907" s="58" t="str">
        <f t="shared" si="178"/>
        <v>-</v>
      </c>
      <c r="M1907" s="59">
        <f t="shared" si="176"/>
        <v>0</v>
      </c>
      <c r="N1907" s="59">
        <f t="shared" si="179"/>
        <v>0</v>
      </c>
      <c r="O1907" s="59">
        <f t="shared" si="177"/>
        <v>0</v>
      </c>
      <c r="P1907" s="59">
        <f t="shared" si="180"/>
        <v>0</v>
      </c>
    </row>
    <row r="1908" spans="12:16" ht="15" hidden="1" customHeight="1">
      <c r="L1908" s="58" t="str">
        <f t="shared" si="178"/>
        <v>-</v>
      </c>
      <c r="M1908" s="59">
        <f t="shared" si="176"/>
        <v>0</v>
      </c>
      <c r="N1908" s="59">
        <f t="shared" si="179"/>
        <v>0</v>
      </c>
      <c r="O1908" s="59">
        <f t="shared" si="177"/>
        <v>0</v>
      </c>
      <c r="P1908" s="59">
        <f t="shared" si="180"/>
        <v>0</v>
      </c>
    </row>
    <row r="1909" spans="12:16" ht="15" hidden="1" customHeight="1">
      <c r="L1909" s="58" t="str">
        <f t="shared" si="178"/>
        <v>-</v>
      </c>
      <c r="M1909" s="59">
        <f t="shared" si="176"/>
        <v>0</v>
      </c>
      <c r="N1909" s="59">
        <f t="shared" si="179"/>
        <v>0</v>
      </c>
      <c r="O1909" s="59">
        <f t="shared" si="177"/>
        <v>0</v>
      </c>
      <c r="P1909" s="59">
        <f t="shared" si="180"/>
        <v>0</v>
      </c>
    </row>
    <row r="1910" spans="12:16" ht="15" hidden="1" customHeight="1">
      <c r="L1910" s="58" t="str">
        <f t="shared" si="178"/>
        <v>-</v>
      </c>
      <c r="M1910" s="59">
        <f t="shared" si="176"/>
        <v>0</v>
      </c>
      <c r="N1910" s="59">
        <f t="shared" si="179"/>
        <v>0</v>
      </c>
      <c r="O1910" s="59">
        <f t="shared" si="177"/>
        <v>0</v>
      </c>
      <c r="P1910" s="59">
        <f t="shared" si="180"/>
        <v>0</v>
      </c>
    </row>
    <row r="1911" spans="12:16" ht="15" hidden="1" customHeight="1">
      <c r="L1911" s="58" t="str">
        <f t="shared" si="178"/>
        <v>-</v>
      </c>
      <c r="M1911" s="59">
        <f t="shared" si="176"/>
        <v>0</v>
      </c>
      <c r="N1911" s="59">
        <f t="shared" si="179"/>
        <v>0</v>
      </c>
      <c r="O1911" s="59">
        <f t="shared" si="177"/>
        <v>0</v>
      </c>
      <c r="P1911" s="59">
        <f t="shared" si="180"/>
        <v>0</v>
      </c>
    </row>
    <row r="1912" spans="12:16" ht="15" hidden="1" customHeight="1">
      <c r="L1912" s="58" t="str">
        <f t="shared" si="178"/>
        <v>-</v>
      </c>
      <c r="M1912" s="59">
        <f t="shared" si="176"/>
        <v>0</v>
      </c>
      <c r="N1912" s="59">
        <f t="shared" si="179"/>
        <v>0</v>
      </c>
      <c r="O1912" s="59">
        <f t="shared" si="177"/>
        <v>0</v>
      </c>
      <c r="P1912" s="59">
        <f t="shared" si="180"/>
        <v>0</v>
      </c>
    </row>
    <row r="1913" spans="12:16" ht="15" hidden="1" customHeight="1">
      <c r="L1913" s="58" t="str">
        <f t="shared" si="178"/>
        <v>-</v>
      </c>
      <c r="M1913" s="59">
        <f t="shared" si="176"/>
        <v>0</v>
      </c>
      <c r="N1913" s="59">
        <f t="shared" si="179"/>
        <v>0</v>
      </c>
      <c r="O1913" s="59">
        <f t="shared" si="177"/>
        <v>0</v>
      </c>
      <c r="P1913" s="59">
        <f t="shared" si="180"/>
        <v>0</v>
      </c>
    </row>
    <row r="1914" spans="12:16" ht="15" hidden="1" customHeight="1">
      <c r="L1914" s="58" t="str">
        <f t="shared" si="178"/>
        <v>-</v>
      </c>
      <c r="M1914" s="59">
        <f t="shared" si="176"/>
        <v>0</v>
      </c>
      <c r="N1914" s="59">
        <f t="shared" si="179"/>
        <v>0</v>
      </c>
      <c r="O1914" s="59">
        <f t="shared" si="177"/>
        <v>0</v>
      </c>
      <c r="P1914" s="59">
        <f t="shared" si="180"/>
        <v>0</v>
      </c>
    </row>
    <row r="1915" spans="12:16" ht="15" hidden="1" customHeight="1">
      <c r="L1915" s="58" t="str">
        <f t="shared" si="178"/>
        <v>-</v>
      </c>
      <c r="M1915" s="59">
        <f t="shared" si="176"/>
        <v>0</v>
      </c>
      <c r="N1915" s="59">
        <f t="shared" si="179"/>
        <v>0</v>
      </c>
      <c r="O1915" s="59">
        <f t="shared" si="177"/>
        <v>0</v>
      </c>
      <c r="P1915" s="59">
        <f t="shared" si="180"/>
        <v>0</v>
      </c>
    </row>
    <row r="1916" spans="12:16" ht="15" hidden="1" customHeight="1">
      <c r="L1916" s="58" t="str">
        <f t="shared" si="178"/>
        <v>-</v>
      </c>
      <c r="M1916" s="59">
        <f t="shared" si="176"/>
        <v>0</v>
      </c>
      <c r="N1916" s="59">
        <f t="shared" si="179"/>
        <v>0</v>
      </c>
      <c r="O1916" s="59">
        <f t="shared" si="177"/>
        <v>0</v>
      </c>
      <c r="P1916" s="59">
        <f t="shared" si="180"/>
        <v>0</v>
      </c>
    </row>
    <row r="1917" spans="12:16" ht="15" hidden="1" customHeight="1">
      <c r="L1917" s="58" t="str">
        <f t="shared" si="178"/>
        <v>-</v>
      </c>
      <c r="M1917" s="59">
        <f t="shared" si="176"/>
        <v>0</v>
      </c>
      <c r="N1917" s="59">
        <f t="shared" si="179"/>
        <v>0</v>
      </c>
      <c r="O1917" s="59">
        <f t="shared" si="177"/>
        <v>0</v>
      </c>
      <c r="P1917" s="59">
        <f t="shared" si="180"/>
        <v>0</v>
      </c>
    </row>
    <row r="1918" spans="12:16" ht="15" hidden="1" customHeight="1">
      <c r="L1918" s="58" t="str">
        <f t="shared" si="178"/>
        <v>-</v>
      </c>
      <c r="M1918" s="59">
        <f t="shared" si="176"/>
        <v>0</v>
      </c>
      <c r="N1918" s="59">
        <f t="shared" si="179"/>
        <v>0</v>
      </c>
      <c r="O1918" s="59">
        <f t="shared" si="177"/>
        <v>0</v>
      </c>
      <c r="P1918" s="59">
        <f t="shared" si="180"/>
        <v>0</v>
      </c>
    </row>
    <row r="1919" spans="12:16" ht="15" hidden="1" customHeight="1">
      <c r="L1919" s="58" t="str">
        <f t="shared" si="178"/>
        <v>-</v>
      </c>
      <c r="M1919" s="59">
        <f t="shared" si="176"/>
        <v>0</v>
      </c>
      <c r="N1919" s="59">
        <f t="shared" si="179"/>
        <v>0</v>
      </c>
      <c r="O1919" s="59">
        <f t="shared" si="177"/>
        <v>0</v>
      </c>
      <c r="P1919" s="59">
        <f t="shared" si="180"/>
        <v>0</v>
      </c>
    </row>
    <row r="1920" spans="12:16" ht="15" hidden="1" customHeight="1">
      <c r="L1920" s="58" t="str">
        <f t="shared" si="178"/>
        <v>-</v>
      </c>
      <c r="M1920" s="59">
        <f t="shared" si="176"/>
        <v>0</v>
      </c>
      <c r="N1920" s="59">
        <f t="shared" si="179"/>
        <v>0</v>
      </c>
      <c r="O1920" s="59">
        <f t="shared" si="177"/>
        <v>0</v>
      </c>
      <c r="P1920" s="59">
        <f t="shared" si="180"/>
        <v>0</v>
      </c>
    </row>
    <row r="1921" spans="12:16" ht="15" hidden="1" customHeight="1">
      <c r="L1921" s="58" t="str">
        <f t="shared" si="178"/>
        <v>-</v>
      </c>
      <c r="M1921" s="59">
        <f t="shared" si="176"/>
        <v>0</v>
      </c>
      <c r="N1921" s="59">
        <f t="shared" si="179"/>
        <v>0</v>
      </c>
      <c r="O1921" s="59">
        <f t="shared" si="177"/>
        <v>0</v>
      </c>
      <c r="P1921" s="59">
        <f t="shared" si="180"/>
        <v>0</v>
      </c>
    </row>
    <row r="1922" spans="12:16" ht="15" hidden="1" customHeight="1">
      <c r="L1922" s="58" t="str">
        <f t="shared" si="178"/>
        <v>-</v>
      </c>
      <c r="M1922" s="59">
        <f t="shared" si="176"/>
        <v>0</v>
      </c>
      <c r="N1922" s="59">
        <f t="shared" si="179"/>
        <v>0</v>
      </c>
      <c r="O1922" s="59">
        <f t="shared" si="177"/>
        <v>0</v>
      </c>
      <c r="P1922" s="59">
        <f t="shared" si="180"/>
        <v>0</v>
      </c>
    </row>
    <row r="1923" spans="12:16" ht="15" hidden="1" customHeight="1">
      <c r="L1923" s="58" t="str">
        <f t="shared" si="178"/>
        <v>-</v>
      </c>
      <c r="M1923" s="59">
        <f t="shared" si="176"/>
        <v>0</v>
      </c>
      <c r="N1923" s="59">
        <f t="shared" si="179"/>
        <v>0</v>
      </c>
      <c r="O1923" s="59">
        <f t="shared" si="177"/>
        <v>0</v>
      </c>
      <c r="P1923" s="59">
        <f t="shared" si="180"/>
        <v>0</v>
      </c>
    </row>
    <row r="1924" spans="12:16" ht="15" hidden="1" customHeight="1">
      <c r="L1924" s="58" t="str">
        <f t="shared" si="178"/>
        <v>-</v>
      </c>
      <c r="M1924" s="59">
        <f t="shared" si="176"/>
        <v>0</v>
      </c>
      <c r="N1924" s="59">
        <f t="shared" si="179"/>
        <v>0</v>
      </c>
      <c r="O1924" s="59">
        <f t="shared" si="177"/>
        <v>0</v>
      </c>
      <c r="P1924" s="59">
        <f t="shared" si="180"/>
        <v>0</v>
      </c>
    </row>
    <row r="1925" spans="12:16" ht="15" hidden="1" customHeight="1">
      <c r="L1925" s="58" t="str">
        <f t="shared" si="178"/>
        <v>-</v>
      </c>
      <c r="M1925" s="59">
        <f t="shared" si="176"/>
        <v>0</v>
      </c>
      <c r="N1925" s="59">
        <f t="shared" si="179"/>
        <v>0</v>
      </c>
      <c r="O1925" s="59">
        <f t="shared" si="177"/>
        <v>0</v>
      </c>
      <c r="P1925" s="59">
        <f t="shared" si="180"/>
        <v>0</v>
      </c>
    </row>
    <row r="1926" spans="12:16" ht="15" hidden="1" customHeight="1">
      <c r="L1926" s="58" t="str">
        <f t="shared" si="178"/>
        <v>-</v>
      </c>
      <c r="M1926" s="59">
        <f t="shared" si="176"/>
        <v>0</v>
      </c>
      <c r="N1926" s="59">
        <f t="shared" si="179"/>
        <v>0</v>
      </c>
      <c r="O1926" s="59">
        <f t="shared" si="177"/>
        <v>0</v>
      </c>
      <c r="P1926" s="59">
        <f t="shared" si="180"/>
        <v>0</v>
      </c>
    </row>
    <row r="1927" spans="12:16" ht="15" hidden="1" customHeight="1">
      <c r="L1927" s="58" t="str">
        <f t="shared" si="178"/>
        <v>-</v>
      </c>
      <c r="M1927" s="59">
        <f t="shared" si="176"/>
        <v>0</v>
      </c>
      <c r="N1927" s="59">
        <f t="shared" si="179"/>
        <v>0</v>
      </c>
      <c r="O1927" s="59">
        <f t="shared" si="177"/>
        <v>0</v>
      </c>
      <c r="P1927" s="59">
        <f t="shared" si="180"/>
        <v>0</v>
      </c>
    </row>
    <row r="1928" spans="12:16" ht="15" hidden="1" customHeight="1">
      <c r="L1928" s="58" t="str">
        <f t="shared" si="178"/>
        <v>-</v>
      </c>
      <c r="M1928" s="59">
        <f t="shared" si="176"/>
        <v>0</v>
      </c>
      <c r="N1928" s="59">
        <f t="shared" si="179"/>
        <v>0</v>
      </c>
      <c r="O1928" s="59">
        <f t="shared" si="177"/>
        <v>0</v>
      </c>
      <c r="P1928" s="59">
        <f t="shared" si="180"/>
        <v>0</v>
      </c>
    </row>
    <row r="1929" spans="12:16" ht="15" hidden="1" customHeight="1">
      <c r="L1929" s="58" t="str">
        <f t="shared" si="178"/>
        <v>-</v>
      </c>
      <c r="M1929" s="59">
        <f t="shared" si="176"/>
        <v>0</v>
      </c>
      <c r="N1929" s="59">
        <f t="shared" si="179"/>
        <v>0</v>
      </c>
      <c r="O1929" s="59">
        <f t="shared" si="177"/>
        <v>0</v>
      </c>
      <c r="P1929" s="59">
        <f t="shared" si="180"/>
        <v>0</v>
      </c>
    </row>
    <row r="1930" spans="12:16" ht="15" hidden="1" customHeight="1">
      <c r="L1930" s="58" t="str">
        <f t="shared" si="178"/>
        <v>-</v>
      </c>
      <c r="M1930" s="59">
        <f t="shared" si="176"/>
        <v>0</v>
      </c>
      <c r="N1930" s="59">
        <f t="shared" si="179"/>
        <v>0</v>
      </c>
      <c r="O1930" s="59">
        <f t="shared" si="177"/>
        <v>0</v>
      </c>
      <c r="P1930" s="59">
        <f t="shared" si="180"/>
        <v>0</v>
      </c>
    </row>
    <row r="1931" spans="12:16" ht="15" hidden="1" customHeight="1">
      <c r="L1931" s="58" t="str">
        <f t="shared" si="178"/>
        <v>-</v>
      </c>
      <c r="M1931" s="59">
        <f t="shared" si="176"/>
        <v>0</v>
      </c>
      <c r="N1931" s="59">
        <f t="shared" si="179"/>
        <v>0</v>
      </c>
      <c r="O1931" s="59">
        <f t="shared" si="177"/>
        <v>0</v>
      </c>
      <c r="P1931" s="59">
        <f t="shared" si="180"/>
        <v>0</v>
      </c>
    </row>
    <row r="1932" spans="12:16" ht="15" hidden="1" customHeight="1">
      <c r="L1932" s="58" t="str">
        <f t="shared" si="178"/>
        <v>-</v>
      </c>
      <c r="M1932" s="59">
        <f t="shared" si="176"/>
        <v>0</v>
      </c>
      <c r="N1932" s="59">
        <f t="shared" si="179"/>
        <v>0</v>
      </c>
      <c r="O1932" s="59">
        <f t="shared" si="177"/>
        <v>0</v>
      </c>
      <c r="P1932" s="59">
        <f t="shared" si="180"/>
        <v>0</v>
      </c>
    </row>
    <row r="1933" spans="12:16" ht="15" hidden="1" customHeight="1">
      <c r="L1933" s="58" t="str">
        <f t="shared" si="178"/>
        <v>-</v>
      </c>
      <c r="M1933" s="59">
        <f t="shared" si="176"/>
        <v>0</v>
      </c>
      <c r="N1933" s="59">
        <f t="shared" si="179"/>
        <v>0</v>
      </c>
      <c r="O1933" s="59">
        <f t="shared" si="177"/>
        <v>0</v>
      </c>
      <c r="P1933" s="59">
        <f t="shared" si="180"/>
        <v>0</v>
      </c>
    </row>
    <row r="1934" spans="12:16" ht="15" hidden="1" customHeight="1">
      <c r="L1934" s="58" t="str">
        <f t="shared" si="178"/>
        <v>-</v>
      </c>
      <c r="M1934" s="59">
        <f t="shared" si="176"/>
        <v>0</v>
      </c>
      <c r="N1934" s="59">
        <f t="shared" si="179"/>
        <v>0</v>
      </c>
      <c r="O1934" s="59">
        <f t="shared" si="177"/>
        <v>0</v>
      </c>
      <c r="P1934" s="59">
        <f t="shared" si="180"/>
        <v>0</v>
      </c>
    </row>
    <row r="1935" spans="12:16" ht="15" hidden="1" customHeight="1">
      <c r="L1935" s="58" t="str">
        <f t="shared" si="178"/>
        <v>-</v>
      </c>
      <c r="M1935" s="59">
        <f t="shared" si="176"/>
        <v>0</v>
      </c>
      <c r="N1935" s="59">
        <f t="shared" si="179"/>
        <v>0</v>
      </c>
      <c r="O1935" s="59">
        <f t="shared" si="177"/>
        <v>0</v>
      </c>
      <c r="P1935" s="59">
        <f t="shared" si="180"/>
        <v>0</v>
      </c>
    </row>
    <row r="1936" spans="12:16" ht="15" hidden="1" customHeight="1">
      <c r="L1936" s="58" t="str">
        <f t="shared" si="178"/>
        <v>-</v>
      </c>
      <c r="M1936" s="59">
        <f t="shared" si="176"/>
        <v>0</v>
      </c>
      <c r="N1936" s="59">
        <f t="shared" si="179"/>
        <v>0</v>
      </c>
      <c r="O1936" s="59">
        <f t="shared" si="177"/>
        <v>0</v>
      </c>
      <c r="P1936" s="59">
        <f t="shared" si="180"/>
        <v>0</v>
      </c>
    </row>
    <row r="1937" spans="12:16" ht="15" hidden="1" customHeight="1">
      <c r="L1937" s="58" t="str">
        <f t="shared" si="178"/>
        <v>-</v>
      </c>
      <c r="M1937" s="59">
        <f t="shared" si="176"/>
        <v>0</v>
      </c>
      <c r="N1937" s="59">
        <f t="shared" si="179"/>
        <v>0</v>
      </c>
      <c r="O1937" s="59">
        <f t="shared" si="177"/>
        <v>0</v>
      </c>
      <c r="P1937" s="59">
        <f t="shared" si="180"/>
        <v>0</v>
      </c>
    </row>
    <row r="1938" spans="12:16" ht="15" hidden="1" customHeight="1">
      <c r="L1938" s="58" t="str">
        <f t="shared" si="178"/>
        <v>-</v>
      </c>
      <c r="M1938" s="59">
        <f t="shared" si="176"/>
        <v>0</v>
      </c>
      <c r="N1938" s="59">
        <f t="shared" si="179"/>
        <v>0</v>
      </c>
      <c r="O1938" s="59">
        <f t="shared" si="177"/>
        <v>0</v>
      </c>
      <c r="P1938" s="59">
        <f t="shared" si="180"/>
        <v>0</v>
      </c>
    </row>
    <row r="1939" spans="12:16" ht="15" hidden="1" customHeight="1">
      <c r="L1939" s="58" t="str">
        <f t="shared" si="178"/>
        <v>-</v>
      </c>
      <c r="M1939" s="59">
        <f t="shared" ref="M1939:M2002" si="181">IFERROR(VLOOKUP(L1939,$B$19:$E$80,4,FALSE),0)</f>
        <v>0</v>
      </c>
      <c r="N1939" s="59">
        <f t="shared" si="179"/>
        <v>0</v>
      </c>
      <c r="O1939" s="59">
        <f t="shared" ref="O1939:O2002" si="182">IFERROR(IF(ISNUMBER(N1938),N1938,$E$8)*IF(L1939&gt;=$J$8,$E$12,$E$12)/IF(MOD(YEAR(L1939),4),365,366)*IF(ISBLANK(L1938),L1939-$F$5,L1939-L1938),0)</f>
        <v>0</v>
      </c>
      <c r="P1939" s="59">
        <f t="shared" si="180"/>
        <v>0</v>
      </c>
    </row>
    <row r="1940" spans="12:16" ht="15" hidden="1" customHeight="1">
      <c r="L1940" s="58" t="str">
        <f t="shared" si="178"/>
        <v>-</v>
      </c>
      <c r="M1940" s="59">
        <f t="shared" si="181"/>
        <v>0</v>
      </c>
      <c r="N1940" s="59">
        <f t="shared" si="179"/>
        <v>0</v>
      </c>
      <c r="O1940" s="59">
        <f t="shared" si="182"/>
        <v>0</v>
      </c>
      <c r="P1940" s="59">
        <f t="shared" si="180"/>
        <v>0</v>
      </c>
    </row>
    <row r="1941" spans="12:16" ht="15" hidden="1" customHeight="1">
      <c r="L1941" s="58" t="str">
        <f t="shared" si="178"/>
        <v>-</v>
      </c>
      <c r="M1941" s="59">
        <f t="shared" si="181"/>
        <v>0</v>
      </c>
      <c r="N1941" s="59">
        <f t="shared" si="179"/>
        <v>0</v>
      </c>
      <c r="O1941" s="59">
        <f t="shared" si="182"/>
        <v>0</v>
      </c>
      <c r="P1941" s="59">
        <f t="shared" si="180"/>
        <v>0</v>
      </c>
    </row>
    <row r="1942" spans="12:16" ht="15" hidden="1" customHeight="1">
      <c r="L1942" s="58" t="str">
        <f t="shared" si="178"/>
        <v>-</v>
      </c>
      <c r="M1942" s="59">
        <f t="shared" si="181"/>
        <v>0</v>
      </c>
      <c r="N1942" s="59">
        <f t="shared" si="179"/>
        <v>0</v>
      </c>
      <c r="O1942" s="59">
        <f t="shared" si="182"/>
        <v>0</v>
      </c>
      <c r="P1942" s="59">
        <f t="shared" si="180"/>
        <v>0</v>
      </c>
    </row>
    <row r="1943" spans="12:16" ht="15" hidden="1" customHeight="1">
      <c r="L1943" s="58" t="str">
        <f t="shared" si="178"/>
        <v>-</v>
      </c>
      <c r="M1943" s="59">
        <f t="shared" si="181"/>
        <v>0</v>
      </c>
      <c r="N1943" s="59">
        <f t="shared" si="179"/>
        <v>0</v>
      </c>
      <c r="O1943" s="59">
        <f t="shared" si="182"/>
        <v>0</v>
      </c>
      <c r="P1943" s="59">
        <f t="shared" si="180"/>
        <v>0</v>
      </c>
    </row>
    <row r="1944" spans="12:16" ht="15" hidden="1" customHeight="1">
      <c r="L1944" s="58" t="str">
        <f t="shared" si="178"/>
        <v>-</v>
      </c>
      <c r="M1944" s="59">
        <f t="shared" si="181"/>
        <v>0</v>
      </c>
      <c r="N1944" s="59">
        <f t="shared" si="179"/>
        <v>0</v>
      </c>
      <c r="O1944" s="59">
        <f t="shared" si="182"/>
        <v>0</v>
      </c>
      <c r="P1944" s="59">
        <f t="shared" si="180"/>
        <v>0</v>
      </c>
    </row>
    <row r="1945" spans="12:16" ht="15" hidden="1" customHeight="1">
      <c r="L1945" s="58" t="str">
        <f t="shared" si="178"/>
        <v>-</v>
      </c>
      <c r="M1945" s="59">
        <f t="shared" si="181"/>
        <v>0</v>
      </c>
      <c r="N1945" s="59">
        <f t="shared" si="179"/>
        <v>0</v>
      </c>
      <c r="O1945" s="59">
        <f t="shared" si="182"/>
        <v>0</v>
      </c>
      <c r="P1945" s="59">
        <f t="shared" si="180"/>
        <v>0</v>
      </c>
    </row>
    <row r="1946" spans="12:16" ht="15" hidden="1" customHeight="1">
      <c r="L1946" s="58" t="str">
        <f t="shared" si="178"/>
        <v>-</v>
      </c>
      <c r="M1946" s="59">
        <f t="shared" si="181"/>
        <v>0</v>
      </c>
      <c r="N1946" s="59">
        <f t="shared" si="179"/>
        <v>0</v>
      </c>
      <c r="O1946" s="59">
        <f t="shared" si="182"/>
        <v>0</v>
      </c>
      <c r="P1946" s="59">
        <f t="shared" si="180"/>
        <v>0</v>
      </c>
    </row>
    <row r="1947" spans="12:16" ht="15" hidden="1" customHeight="1">
      <c r="L1947" s="58" t="str">
        <f t="shared" si="178"/>
        <v>-</v>
      </c>
      <c r="M1947" s="59">
        <f t="shared" si="181"/>
        <v>0</v>
      </c>
      <c r="N1947" s="59">
        <f t="shared" si="179"/>
        <v>0</v>
      </c>
      <c r="O1947" s="59">
        <f t="shared" si="182"/>
        <v>0</v>
      </c>
      <c r="P1947" s="59">
        <f t="shared" si="180"/>
        <v>0</v>
      </c>
    </row>
    <row r="1948" spans="12:16" ht="15" hidden="1" customHeight="1">
      <c r="L1948" s="58" t="str">
        <f t="shared" si="178"/>
        <v>-</v>
      </c>
      <c r="M1948" s="59">
        <f t="shared" si="181"/>
        <v>0</v>
      </c>
      <c r="N1948" s="59">
        <f t="shared" si="179"/>
        <v>0</v>
      </c>
      <c r="O1948" s="59">
        <f t="shared" si="182"/>
        <v>0</v>
      </c>
      <c r="P1948" s="59">
        <f t="shared" si="180"/>
        <v>0</v>
      </c>
    </row>
    <row r="1949" spans="12:16" ht="15" hidden="1" customHeight="1">
      <c r="L1949" s="58" t="str">
        <f t="shared" si="178"/>
        <v>-</v>
      </c>
      <c r="M1949" s="59">
        <f t="shared" si="181"/>
        <v>0</v>
      </c>
      <c r="N1949" s="59">
        <f t="shared" si="179"/>
        <v>0</v>
      </c>
      <c r="O1949" s="59">
        <f t="shared" si="182"/>
        <v>0</v>
      </c>
      <c r="P1949" s="59">
        <f t="shared" si="180"/>
        <v>0</v>
      </c>
    </row>
    <row r="1950" spans="12:16" ht="15" hidden="1" customHeight="1">
      <c r="L1950" s="58" t="str">
        <f t="shared" si="178"/>
        <v>-</v>
      </c>
      <c r="M1950" s="59">
        <f t="shared" si="181"/>
        <v>0</v>
      </c>
      <c r="N1950" s="59">
        <f t="shared" si="179"/>
        <v>0</v>
      </c>
      <c r="O1950" s="59">
        <f t="shared" si="182"/>
        <v>0</v>
      </c>
      <c r="P1950" s="59">
        <f t="shared" si="180"/>
        <v>0</v>
      </c>
    </row>
    <row r="1951" spans="12:16" ht="15" hidden="1" customHeight="1">
      <c r="L1951" s="58" t="str">
        <f t="shared" si="178"/>
        <v>-</v>
      </c>
      <c r="M1951" s="59">
        <f t="shared" si="181"/>
        <v>0</v>
      </c>
      <c r="N1951" s="59">
        <f t="shared" si="179"/>
        <v>0</v>
      </c>
      <c r="O1951" s="59">
        <f t="shared" si="182"/>
        <v>0</v>
      </c>
      <c r="P1951" s="59">
        <f t="shared" si="180"/>
        <v>0</v>
      </c>
    </row>
    <row r="1952" spans="12:16" ht="15" hidden="1" customHeight="1">
      <c r="L1952" s="58" t="str">
        <f t="shared" si="178"/>
        <v>-</v>
      </c>
      <c r="M1952" s="59">
        <f t="shared" si="181"/>
        <v>0</v>
      </c>
      <c r="N1952" s="59">
        <f t="shared" si="179"/>
        <v>0</v>
      </c>
      <c r="O1952" s="59">
        <f t="shared" si="182"/>
        <v>0</v>
      </c>
      <c r="P1952" s="59">
        <f t="shared" si="180"/>
        <v>0</v>
      </c>
    </row>
    <row r="1953" spans="12:16" ht="15" hidden="1" customHeight="1">
      <c r="L1953" s="58" t="str">
        <f t="shared" si="178"/>
        <v>-</v>
      </c>
      <c r="M1953" s="59">
        <f t="shared" si="181"/>
        <v>0</v>
      </c>
      <c r="N1953" s="59">
        <f t="shared" si="179"/>
        <v>0</v>
      </c>
      <c r="O1953" s="59">
        <f t="shared" si="182"/>
        <v>0</v>
      </c>
      <c r="P1953" s="59">
        <f t="shared" si="180"/>
        <v>0</v>
      </c>
    </row>
    <row r="1954" spans="12:16" ht="15" hidden="1" customHeight="1">
      <c r="L1954" s="58" t="str">
        <f t="shared" ref="L1954:L2017" si="183">IFERROR(IF(MAX(L1953+1,$F$5+1)&gt;Дата_погашения_Займа,"-",MAX(L1953+1,$F$5+1)),"-")</f>
        <v>-</v>
      </c>
      <c r="M1954" s="59">
        <f t="shared" si="181"/>
        <v>0</v>
      </c>
      <c r="N1954" s="59">
        <f t="shared" si="179"/>
        <v>0</v>
      </c>
      <c r="O1954" s="59">
        <f t="shared" si="182"/>
        <v>0</v>
      </c>
      <c r="P1954" s="59">
        <f t="shared" si="180"/>
        <v>0</v>
      </c>
    </row>
    <row r="1955" spans="12:16" ht="15" hidden="1" customHeight="1">
      <c r="L1955" s="58" t="str">
        <f t="shared" si="183"/>
        <v>-</v>
      </c>
      <c r="M1955" s="59">
        <f t="shared" si="181"/>
        <v>0</v>
      </c>
      <c r="N1955" s="59">
        <f t="shared" si="179"/>
        <v>0</v>
      </c>
      <c r="O1955" s="59">
        <f t="shared" si="182"/>
        <v>0</v>
      </c>
      <c r="P1955" s="59">
        <f t="shared" si="180"/>
        <v>0</v>
      </c>
    </row>
    <row r="1956" spans="12:16" ht="15" hidden="1" customHeight="1">
      <c r="L1956" s="58" t="str">
        <f t="shared" si="183"/>
        <v>-</v>
      </c>
      <c r="M1956" s="59">
        <f t="shared" si="181"/>
        <v>0</v>
      </c>
      <c r="N1956" s="59">
        <f t="shared" si="179"/>
        <v>0</v>
      </c>
      <c r="O1956" s="59">
        <f t="shared" si="182"/>
        <v>0</v>
      </c>
      <c r="P1956" s="59">
        <f t="shared" si="180"/>
        <v>0</v>
      </c>
    </row>
    <row r="1957" spans="12:16" ht="15" hidden="1" customHeight="1">
      <c r="L1957" s="58" t="str">
        <f t="shared" si="183"/>
        <v>-</v>
      </c>
      <c r="M1957" s="59">
        <f t="shared" si="181"/>
        <v>0</v>
      </c>
      <c r="N1957" s="59">
        <f t="shared" si="179"/>
        <v>0</v>
      </c>
      <c r="O1957" s="59">
        <f t="shared" si="182"/>
        <v>0</v>
      </c>
      <c r="P1957" s="59">
        <f t="shared" si="180"/>
        <v>0</v>
      </c>
    </row>
    <row r="1958" spans="12:16" ht="15" hidden="1" customHeight="1">
      <c r="L1958" s="58" t="str">
        <f t="shared" si="183"/>
        <v>-</v>
      </c>
      <c r="M1958" s="59">
        <f t="shared" si="181"/>
        <v>0</v>
      </c>
      <c r="N1958" s="59">
        <f t="shared" si="179"/>
        <v>0</v>
      </c>
      <c r="O1958" s="59">
        <f t="shared" si="182"/>
        <v>0</v>
      </c>
      <c r="P1958" s="59">
        <f t="shared" si="180"/>
        <v>0</v>
      </c>
    </row>
    <row r="1959" spans="12:16" ht="15" hidden="1" customHeight="1">
      <c r="L1959" s="58" t="str">
        <f t="shared" si="183"/>
        <v>-</v>
      </c>
      <c r="M1959" s="59">
        <f t="shared" si="181"/>
        <v>0</v>
      </c>
      <c r="N1959" s="59">
        <f t="shared" si="179"/>
        <v>0</v>
      </c>
      <c r="O1959" s="59">
        <f t="shared" si="182"/>
        <v>0</v>
      </c>
      <c r="P1959" s="59">
        <f t="shared" si="180"/>
        <v>0</v>
      </c>
    </row>
    <row r="1960" spans="12:16" ht="15" hidden="1" customHeight="1">
      <c r="L1960" s="58" t="str">
        <f t="shared" si="183"/>
        <v>-</v>
      </c>
      <c r="M1960" s="59">
        <f t="shared" si="181"/>
        <v>0</v>
      </c>
      <c r="N1960" s="59">
        <f t="shared" si="179"/>
        <v>0</v>
      </c>
      <c r="O1960" s="59">
        <f t="shared" si="182"/>
        <v>0</v>
      </c>
      <c r="P1960" s="59">
        <f t="shared" si="180"/>
        <v>0</v>
      </c>
    </row>
    <row r="1961" spans="12:16" ht="15" hidden="1" customHeight="1">
      <c r="L1961" s="58" t="str">
        <f t="shared" si="183"/>
        <v>-</v>
      </c>
      <c r="M1961" s="59">
        <f t="shared" si="181"/>
        <v>0</v>
      </c>
      <c r="N1961" s="59">
        <f t="shared" si="179"/>
        <v>0</v>
      </c>
      <c r="O1961" s="59">
        <f t="shared" si="182"/>
        <v>0</v>
      </c>
      <c r="P1961" s="59">
        <f t="shared" si="180"/>
        <v>0</v>
      </c>
    </row>
    <row r="1962" spans="12:16" ht="15" hidden="1" customHeight="1">
      <c r="L1962" s="58" t="str">
        <f t="shared" si="183"/>
        <v>-</v>
      </c>
      <c r="M1962" s="59">
        <f t="shared" si="181"/>
        <v>0</v>
      </c>
      <c r="N1962" s="59">
        <f t="shared" si="179"/>
        <v>0</v>
      </c>
      <c r="O1962" s="59">
        <f t="shared" si="182"/>
        <v>0</v>
      </c>
      <c r="P1962" s="59">
        <f t="shared" si="180"/>
        <v>0</v>
      </c>
    </row>
    <row r="1963" spans="12:16" ht="15" hidden="1" customHeight="1">
      <c r="L1963" s="58" t="str">
        <f t="shared" si="183"/>
        <v>-</v>
      </c>
      <c r="M1963" s="59">
        <f t="shared" si="181"/>
        <v>0</v>
      </c>
      <c r="N1963" s="59">
        <f t="shared" si="179"/>
        <v>0</v>
      </c>
      <c r="O1963" s="59">
        <f t="shared" si="182"/>
        <v>0</v>
      </c>
      <c r="P1963" s="59">
        <f t="shared" si="180"/>
        <v>0</v>
      </c>
    </row>
    <row r="1964" spans="12:16" ht="15" hidden="1" customHeight="1">
      <c r="L1964" s="58" t="str">
        <f t="shared" si="183"/>
        <v>-</v>
      </c>
      <c r="M1964" s="59">
        <f t="shared" si="181"/>
        <v>0</v>
      </c>
      <c r="N1964" s="59">
        <f t="shared" si="179"/>
        <v>0</v>
      </c>
      <c r="O1964" s="59">
        <f t="shared" si="182"/>
        <v>0</v>
      </c>
      <c r="P1964" s="59">
        <f t="shared" si="180"/>
        <v>0</v>
      </c>
    </row>
    <row r="1965" spans="12:16" ht="15" hidden="1" customHeight="1">
      <c r="L1965" s="58" t="str">
        <f t="shared" si="183"/>
        <v>-</v>
      </c>
      <c r="M1965" s="59">
        <f t="shared" si="181"/>
        <v>0</v>
      </c>
      <c r="N1965" s="59">
        <f t="shared" si="179"/>
        <v>0</v>
      </c>
      <c r="O1965" s="59">
        <f t="shared" si="182"/>
        <v>0</v>
      </c>
      <c r="P1965" s="59">
        <f t="shared" si="180"/>
        <v>0</v>
      </c>
    </row>
    <row r="1966" spans="12:16" ht="15" hidden="1" customHeight="1">
      <c r="L1966" s="58" t="str">
        <f t="shared" si="183"/>
        <v>-</v>
      </c>
      <c r="M1966" s="59">
        <f t="shared" si="181"/>
        <v>0</v>
      </c>
      <c r="N1966" s="59">
        <f t="shared" si="179"/>
        <v>0</v>
      </c>
      <c r="O1966" s="59">
        <f t="shared" si="182"/>
        <v>0</v>
      </c>
      <c r="P1966" s="59">
        <f t="shared" si="180"/>
        <v>0</v>
      </c>
    </row>
    <row r="1967" spans="12:16" ht="15" hidden="1" customHeight="1">
      <c r="L1967" s="58" t="str">
        <f t="shared" si="183"/>
        <v>-</v>
      </c>
      <c r="M1967" s="59">
        <f t="shared" si="181"/>
        <v>0</v>
      </c>
      <c r="N1967" s="59">
        <f t="shared" si="179"/>
        <v>0</v>
      </c>
      <c r="O1967" s="59">
        <f t="shared" si="182"/>
        <v>0</v>
      </c>
      <c r="P1967" s="59">
        <f t="shared" si="180"/>
        <v>0</v>
      </c>
    </row>
    <row r="1968" spans="12:16" ht="15" hidden="1" customHeight="1">
      <c r="L1968" s="58" t="str">
        <f t="shared" si="183"/>
        <v>-</v>
      </c>
      <c r="M1968" s="59">
        <f t="shared" si="181"/>
        <v>0</v>
      </c>
      <c r="N1968" s="59">
        <f t="shared" ref="N1968:N2031" si="184">IF(ISNUMBER(N1967),N1967-M1968,$E$8)</f>
        <v>0</v>
      </c>
      <c r="O1968" s="59">
        <f t="shared" si="182"/>
        <v>0</v>
      </c>
      <c r="P1968" s="59">
        <f t="shared" ref="P1968:P2031" si="185">IFERROR(IF(ISNUMBER(N1967),N1967,$E$8)*3%/IF(MOD(YEAR(L1968),4),365,366)*IF(ISBLANK(L1967),(L1968-$F$5),L1968-L1967),0)</f>
        <v>0</v>
      </c>
    </row>
    <row r="1969" spans="12:16" ht="15" hidden="1" customHeight="1">
      <c r="L1969" s="58" t="str">
        <f t="shared" si="183"/>
        <v>-</v>
      </c>
      <c r="M1969" s="59">
        <f t="shared" si="181"/>
        <v>0</v>
      </c>
      <c r="N1969" s="59">
        <f t="shared" si="184"/>
        <v>0</v>
      </c>
      <c r="O1969" s="59">
        <f t="shared" si="182"/>
        <v>0</v>
      </c>
      <c r="P1969" s="59">
        <f t="shared" si="185"/>
        <v>0</v>
      </c>
    </row>
    <row r="1970" spans="12:16" ht="15" hidden="1" customHeight="1">
      <c r="L1970" s="58" t="str">
        <f t="shared" si="183"/>
        <v>-</v>
      </c>
      <c r="M1970" s="59">
        <f t="shared" si="181"/>
        <v>0</v>
      </c>
      <c r="N1970" s="59">
        <f t="shared" si="184"/>
        <v>0</v>
      </c>
      <c r="O1970" s="59">
        <f t="shared" si="182"/>
        <v>0</v>
      </c>
      <c r="P1970" s="59">
        <f t="shared" si="185"/>
        <v>0</v>
      </c>
    </row>
    <row r="1971" spans="12:16" ht="15" hidden="1" customHeight="1">
      <c r="L1971" s="58" t="str">
        <f t="shared" si="183"/>
        <v>-</v>
      </c>
      <c r="M1971" s="59">
        <f t="shared" si="181"/>
        <v>0</v>
      </c>
      <c r="N1971" s="59">
        <f t="shared" si="184"/>
        <v>0</v>
      </c>
      <c r="O1971" s="59">
        <f t="shared" si="182"/>
        <v>0</v>
      </c>
      <c r="P1971" s="59">
        <f t="shared" si="185"/>
        <v>0</v>
      </c>
    </row>
    <row r="1972" spans="12:16" ht="15" hidden="1" customHeight="1">
      <c r="L1972" s="58" t="str">
        <f t="shared" si="183"/>
        <v>-</v>
      </c>
      <c r="M1972" s="59">
        <f t="shared" si="181"/>
        <v>0</v>
      </c>
      <c r="N1972" s="59">
        <f t="shared" si="184"/>
        <v>0</v>
      </c>
      <c r="O1972" s="59">
        <f t="shared" si="182"/>
        <v>0</v>
      </c>
      <c r="P1972" s="59">
        <f t="shared" si="185"/>
        <v>0</v>
      </c>
    </row>
    <row r="1973" spans="12:16" ht="15" hidden="1" customHeight="1">
      <c r="L1973" s="58" t="str">
        <f t="shared" si="183"/>
        <v>-</v>
      </c>
      <c r="M1973" s="59">
        <f t="shared" si="181"/>
        <v>0</v>
      </c>
      <c r="N1973" s="59">
        <f t="shared" si="184"/>
        <v>0</v>
      </c>
      <c r="O1973" s="59">
        <f t="shared" si="182"/>
        <v>0</v>
      </c>
      <c r="P1973" s="59">
        <f t="shared" si="185"/>
        <v>0</v>
      </c>
    </row>
    <row r="1974" spans="12:16" ht="15" hidden="1" customHeight="1">
      <c r="L1974" s="58" t="str">
        <f t="shared" si="183"/>
        <v>-</v>
      </c>
      <c r="M1974" s="59">
        <f t="shared" si="181"/>
        <v>0</v>
      </c>
      <c r="N1974" s="59">
        <f t="shared" si="184"/>
        <v>0</v>
      </c>
      <c r="O1974" s="59">
        <f t="shared" si="182"/>
        <v>0</v>
      </c>
      <c r="P1974" s="59">
        <f t="shared" si="185"/>
        <v>0</v>
      </c>
    </row>
    <row r="1975" spans="12:16" ht="15" hidden="1" customHeight="1">
      <c r="L1975" s="58" t="str">
        <f t="shared" si="183"/>
        <v>-</v>
      </c>
      <c r="M1975" s="59">
        <f t="shared" si="181"/>
        <v>0</v>
      </c>
      <c r="N1975" s="59">
        <f t="shared" si="184"/>
        <v>0</v>
      </c>
      <c r="O1975" s="59">
        <f t="shared" si="182"/>
        <v>0</v>
      </c>
      <c r="P1975" s="59">
        <f t="shared" si="185"/>
        <v>0</v>
      </c>
    </row>
    <row r="1976" spans="12:16" ht="15" hidden="1" customHeight="1">
      <c r="L1976" s="58" t="str">
        <f t="shared" si="183"/>
        <v>-</v>
      </c>
      <c r="M1976" s="59">
        <f t="shared" si="181"/>
        <v>0</v>
      </c>
      <c r="N1976" s="59">
        <f t="shared" si="184"/>
        <v>0</v>
      </c>
      <c r="O1976" s="59">
        <f t="shared" si="182"/>
        <v>0</v>
      </c>
      <c r="P1976" s="59">
        <f t="shared" si="185"/>
        <v>0</v>
      </c>
    </row>
    <row r="1977" spans="12:16" ht="15" hidden="1" customHeight="1">
      <c r="L1977" s="58" t="str">
        <f t="shared" si="183"/>
        <v>-</v>
      </c>
      <c r="M1977" s="59">
        <f t="shared" si="181"/>
        <v>0</v>
      </c>
      <c r="N1977" s="59">
        <f t="shared" si="184"/>
        <v>0</v>
      </c>
      <c r="O1977" s="59">
        <f t="shared" si="182"/>
        <v>0</v>
      </c>
      <c r="P1977" s="59">
        <f t="shared" si="185"/>
        <v>0</v>
      </c>
    </row>
    <row r="1978" spans="12:16" ht="15" hidden="1" customHeight="1">
      <c r="L1978" s="58" t="str">
        <f t="shared" si="183"/>
        <v>-</v>
      </c>
      <c r="M1978" s="59">
        <f t="shared" si="181"/>
        <v>0</v>
      </c>
      <c r="N1978" s="59">
        <f t="shared" si="184"/>
        <v>0</v>
      </c>
      <c r="O1978" s="59">
        <f t="shared" si="182"/>
        <v>0</v>
      </c>
      <c r="P1978" s="59">
        <f t="shared" si="185"/>
        <v>0</v>
      </c>
    </row>
    <row r="1979" spans="12:16" ht="15" hidden="1" customHeight="1">
      <c r="L1979" s="58" t="str">
        <f t="shared" si="183"/>
        <v>-</v>
      </c>
      <c r="M1979" s="59">
        <f t="shared" si="181"/>
        <v>0</v>
      </c>
      <c r="N1979" s="59">
        <f t="shared" si="184"/>
        <v>0</v>
      </c>
      <c r="O1979" s="59">
        <f t="shared" si="182"/>
        <v>0</v>
      </c>
      <c r="P1979" s="59">
        <f t="shared" si="185"/>
        <v>0</v>
      </c>
    </row>
    <row r="1980" spans="12:16" ht="15" hidden="1" customHeight="1">
      <c r="L1980" s="58" t="str">
        <f t="shared" si="183"/>
        <v>-</v>
      </c>
      <c r="M1980" s="59">
        <f t="shared" si="181"/>
        <v>0</v>
      </c>
      <c r="N1980" s="59">
        <f t="shared" si="184"/>
        <v>0</v>
      </c>
      <c r="O1980" s="59">
        <f t="shared" si="182"/>
        <v>0</v>
      </c>
      <c r="P1980" s="59">
        <f t="shared" si="185"/>
        <v>0</v>
      </c>
    </row>
    <row r="1981" spans="12:16" ht="15" hidden="1" customHeight="1">
      <c r="L1981" s="58" t="str">
        <f t="shared" si="183"/>
        <v>-</v>
      </c>
      <c r="M1981" s="59">
        <f t="shared" si="181"/>
        <v>0</v>
      </c>
      <c r="N1981" s="59">
        <f t="shared" si="184"/>
        <v>0</v>
      </c>
      <c r="O1981" s="59">
        <f t="shared" si="182"/>
        <v>0</v>
      </c>
      <c r="P1981" s="59">
        <f t="shared" si="185"/>
        <v>0</v>
      </c>
    </row>
    <row r="1982" spans="12:16" ht="15" hidden="1" customHeight="1">
      <c r="L1982" s="58" t="str">
        <f t="shared" si="183"/>
        <v>-</v>
      </c>
      <c r="M1982" s="59">
        <f t="shared" si="181"/>
        <v>0</v>
      </c>
      <c r="N1982" s="59">
        <f t="shared" si="184"/>
        <v>0</v>
      </c>
      <c r="O1982" s="59">
        <f t="shared" si="182"/>
        <v>0</v>
      </c>
      <c r="P1982" s="59">
        <f t="shared" si="185"/>
        <v>0</v>
      </c>
    </row>
    <row r="1983" spans="12:16" ht="15" hidden="1" customHeight="1">
      <c r="L1983" s="58" t="str">
        <f t="shared" si="183"/>
        <v>-</v>
      </c>
      <c r="M1983" s="59">
        <f t="shared" si="181"/>
        <v>0</v>
      </c>
      <c r="N1983" s="59">
        <f t="shared" si="184"/>
        <v>0</v>
      </c>
      <c r="O1983" s="59">
        <f t="shared" si="182"/>
        <v>0</v>
      </c>
      <c r="P1983" s="59">
        <f t="shared" si="185"/>
        <v>0</v>
      </c>
    </row>
    <row r="1984" spans="12:16" ht="15" hidden="1" customHeight="1">
      <c r="L1984" s="58" t="str">
        <f t="shared" si="183"/>
        <v>-</v>
      </c>
      <c r="M1984" s="59">
        <f t="shared" si="181"/>
        <v>0</v>
      </c>
      <c r="N1984" s="59">
        <f t="shared" si="184"/>
        <v>0</v>
      </c>
      <c r="O1984" s="59">
        <f t="shared" si="182"/>
        <v>0</v>
      </c>
      <c r="P1984" s="59">
        <f t="shared" si="185"/>
        <v>0</v>
      </c>
    </row>
    <row r="1985" spans="12:16" ht="15" hidden="1" customHeight="1">
      <c r="L1985" s="58" t="str">
        <f t="shared" si="183"/>
        <v>-</v>
      </c>
      <c r="M1985" s="59">
        <f t="shared" si="181"/>
        <v>0</v>
      </c>
      <c r="N1985" s="59">
        <f t="shared" si="184"/>
        <v>0</v>
      </c>
      <c r="O1985" s="59">
        <f t="shared" si="182"/>
        <v>0</v>
      </c>
      <c r="P1985" s="59">
        <f t="shared" si="185"/>
        <v>0</v>
      </c>
    </row>
    <row r="1986" spans="12:16" ht="15" hidden="1" customHeight="1">
      <c r="L1986" s="58" t="str">
        <f t="shared" si="183"/>
        <v>-</v>
      </c>
      <c r="M1986" s="59">
        <f t="shared" si="181"/>
        <v>0</v>
      </c>
      <c r="N1986" s="59">
        <f t="shared" si="184"/>
        <v>0</v>
      </c>
      <c r="O1986" s="59">
        <f t="shared" si="182"/>
        <v>0</v>
      </c>
      <c r="P1986" s="59">
        <f t="shared" si="185"/>
        <v>0</v>
      </c>
    </row>
    <row r="1987" spans="12:16" ht="15" hidden="1" customHeight="1">
      <c r="L1987" s="58" t="str">
        <f t="shared" si="183"/>
        <v>-</v>
      </c>
      <c r="M1987" s="59">
        <f t="shared" si="181"/>
        <v>0</v>
      </c>
      <c r="N1987" s="59">
        <f t="shared" si="184"/>
        <v>0</v>
      </c>
      <c r="O1987" s="59">
        <f t="shared" si="182"/>
        <v>0</v>
      </c>
      <c r="P1987" s="59">
        <f t="shared" si="185"/>
        <v>0</v>
      </c>
    </row>
    <row r="1988" spans="12:16" ht="15" hidden="1" customHeight="1">
      <c r="L1988" s="58" t="str">
        <f t="shared" si="183"/>
        <v>-</v>
      </c>
      <c r="M1988" s="59">
        <f t="shared" si="181"/>
        <v>0</v>
      </c>
      <c r="N1988" s="59">
        <f t="shared" si="184"/>
        <v>0</v>
      </c>
      <c r="O1988" s="59">
        <f t="shared" si="182"/>
        <v>0</v>
      </c>
      <c r="P1988" s="59">
        <f t="shared" si="185"/>
        <v>0</v>
      </c>
    </row>
    <row r="1989" spans="12:16" ht="15" hidden="1" customHeight="1">
      <c r="L1989" s="58" t="str">
        <f t="shared" si="183"/>
        <v>-</v>
      </c>
      <c r="M1989" s="59">
        <f t="shared" si="181"/>
        <v>0</v>
      </c>
      <c r="N1989" s="59">
        <f t="shared" si="184"/>
        <v>0</v>
      </c>
      <c r="O1989" s="59">
        <f t="shared" si="182"/>
        <v>0</v>
      </c>
      <c r="P1989" s="59">
        <f t="shared" si="185"/>
        <v>0</v>
      </c>
    </row>
    <row r="1990" spans="12:16" ht="15" hidden="1" customHeight="1">
      <c r="L1990" s="58" t="str">
        <f t="shared" si="183"/>
        <v>-</v>
      </c>
      <c r="M1990" s="59">
        <f t="shared" si="181"/>
        <v>0</v>
      </c>
      <c r="N1990" s="59">
        <f t="shared" si="184"/>
        <v>0</v>
      </c>
      <c r="O1990" s="59">
        <f t="shared" si="182"/>
        <v>0</v>
      </c>
      <c r="P1990" s="59">
        <f t="shared" si="185"/>
        <v>0</v>
      </c>
    </row>
    <row r="1991" spans="12:16" ht="15" hidden="1" customHeight="1">
      <c r="L1991" s="58" t="str">
        <f t="shared" si="183"/>
        <v>-</v>
      </c>
      <c r="M1991" s="59">
        <f t="shared" si="181"/>
        <v>0</v>
      </c>
      <c r="N1991" s="59">
        <f t="shared" si="184"/>
        <v>0</v>
      </c>
      <c r="O1991" s="59">
        <f t="shared" si="182"/>
        <v>0</v>
      </c>
      <c r="P1991" s="59">
        <f t="shared" si="185"/>
        <v>0</v>
      </c>
    </row>
    <row r="1992" spans="12:16" ht="15" hidden="1" customHeight="1">
      <c r="L1992" s="58" t="str">
        <f t="shared" si="183"/>
        <v>-</v>
      </c>
      <c r="M1992" s="59">
        <f t="shared" si="181"/>
        <v>0</v>
      </c>
      <c r="N1992" s="59">
        <f t="shared" si="184"/>
        <v>0</v>
      </c>
      <c r="O1992" s="59">
        <f t="shared" si="182"/>
        <v>0</v>
      </c>
      <c r="P1992" s="59">
        <f t="shared" si="185"/>
        <v>0</v>
      </c>
    </row>
    <row r="1993" spans="12:16" ht="15" hidden="1" customHeight="1">
      <c r="L1993" s="58" t="str">
        <f t="shared" si="183"/>
        <v>-</v>
      </c>
      <c r="M1993" s="59">
        <f t="shared" si="181"/>
        <v>0</v>
      </c>
      <c r="N1993" s="59">
        <f t="shared" si="184"/>
        <v>0</v>
      </c>
      <c r="O1993" s="59">
        <f t="shared" si="182"/>
        <v>0</v>
      </c>
      <c r="P1993" s="59">
        <f t="shared" si="185"/>
        <v>0</v>
      </c>
    </row>
    <row r="1994" spans="12:16" ht="15" hidden="1" customHeight="1">
      <c r="L1994" s="58" t="str">
        <f t="shared" si="183"/>
        <v>-</v>
      </c>
      <c r="M1994" s="59">
        <f t="shared" si="181"/>
        <v>0</v>
      </c>
      <c r="N1994" s="59">
        <f t="shared" si="184"/>
        <v>0</v>
      </c>
      <c r="O1994" s="59">
        <f t="shared" si="182"/>
        <v>0</v>
      </c>
      <c r="P1994" s="59">
        <f t="shared" si="185"/>
        <v>0</v>
      </c>
    </row>
    <row r="1995" spans="12:16" ht="15" hidden="1" customHeight="1">
      <c r="L1995" s="58" t="str">
        <f t="shared" si="183"/>
        <v>-</v>
      </c>
      <c r="M1995" s="59">
        <f t="shared" si="181"/>
        <v>0</v>
      </c>
      <c r="N1995" s="59">
        <f t="shared" si="184"/>
        <v>0</v>
      </c>
      <c r="O1995" s="59">
        <f t="shared" si="182"/>
        <v>0</v>
      </c>
      <c r="P1995" s="59">
        <f t="shared" si="185"/>
        <v>0</v>
      </c>
    </row>
    <row r="1996" spans="12:16" ht="15" hidden="1" customHeight="1">
      <c r="L1996" s="58" t="str">
        <f t="shared" si="183"/>
        <v>-</v>
      </c>
      <c r="M1996" s="59">
        <f t="shared" si="181"/>
        <v>0</v>
      </c>
      <c r="N1996" s="59">
        <f t="shared" si="184"/>
        <v>0</v>
      </c>
      <c r="O1996" s="59">
        <f t="shared" si="182"/>
        <v>0</v>
      </c>
      <c r="P1996" s="59">
        <f t="shared" si="185"/>
        <v>0</v>
      </c>
    </row>
    <row r="1997" spans="12:16" ht="15" hidden="1" customHeight="1">
      <c r="L1997" s="58" t="str">
        <f t="shared" si="183"/>
        <v>-</v>
      </c>
      <c r="M1997" s="59">
        <f t="shared" si="181"/>
        <v>0</v>
      </c>
      <c r="N1997" s="59">
        <f t="shared" si="184"/>
        <v>0</v>
      </c>
      <c r="O1997" s="59">
        <f t="shared" si="182"/>
        <v>0</v>
      </c>
      <c r="P1997" s="59">
        <f t="shared" si="185"/>
        <v>0</v>
      </c>
    </row>
    <row r="1998" spans="12:16" ht="15" hidden="1" customHeight="1">
      <c r="L1998" s="58" t="str">
        <f t="shared" si="183"/>
        <v>-</v>
      </c>
      <c r="M1998" s="59">
        <f t="shared" si="181"/>
        <v>0</v>
      </c>
      <c r="N1998" s="59">
        <f t="shared" si="184"/>
        <v>0</v>
      </c>
      <c r="O1998" s="59">
        <f t="shared" si="182"/>
        <v>0</v>
      </c>
      <c r="P1998" s="59">
        <f t="shared" si="185"/>
        <v>0</v>
      </c>
    </row>
    <row r="1999" spans="12:16" ht="15" hidden="1" customHeight="1">
      <c r="L1999" s="58" t="str">
        <f t="shared" si="183"/>
        <v>-</v>
      </c>
      <c r="M1999" s="59">
        <f t="shared" si="181"/>
        <v>0</v>
      </c>
      <c r="N1999" s="59">
        <f t="shared" si="184"/>
        <v>0</v>
      </c>
      <c r="O1999" s="59">
        <f t="shared" si="182"/>
        <v>0</v>
      </c>
      <c r="P1999" s="59">
        <f t="shared" si="185"/>
        <v>0</v>
      </c>
    </row>
    <row r="2000" spans="12:16" ht="15" hidden="1" customHeight="1">
      <c r="L2000" s="58" t="str">
        <f t="shared" si="183"/>
        <v>-</v>
      </c>
      <c r="M2000" s="59">
        <f t="shared" si="181"/>
        <v>0</v>
      </c>
      <c r="N2000" s="59">
        <f t="shared" si="184"/>
        <v>0</v>
      </c>
      <c r="O2000" s="59">
        <f t="shared" si="182"/>
        <v>0</v>
      </c>
      <c r="P2000" s="59">
        <f t="shared" si="185"/>
        <v>0</v>
      </c>
    </row>
    <row r="2001" spans="12:16" ht="15" hidden="1" customHeight="1">
      <c r="L2001" s="58" t="str">
        <f t="shared" si="183"/>
        <v>-</v>
      </c>
      <c r="M2001" s="59">
        <f t="shared" si="181"/>
        <v>0</v>
      </c>
      <c r="N2001" s="59">
        <f t="shared" si="184"/>
        <v>0</v>
      </c>
      <c r="O2001" s="59">
        <f t="shared" si="182"/>
        <v>0</v>
      </c>
      <c r="P2001" s="59">
        <f t="shared" si="185"/>
        <v>0</v>
      </c>
    </row>
    <row r="2002" spans="12:16" ht="15" hidden="1" customHeight="1">
      <c r="L2002" s="58" t="str">
        <f t="shared" si="183"/>
        <v>-</v>
      </c>
      <c r="M2002" s="59">
        <f t="shared" si="181"/>
        <v>0</v>
      </c>
      <c r="N2002" s="59">
        <f t="shared" si="184"/>
        <v>0</v>
      </c>
      <c r="O2002" s="59">
        <f t="shared" si="182"/>
        <v>0</v>
      </c>
      <c r="P2002" s="59">
        <f t="shared" si="185"/>
        <v>0</v>
      </c>
    </row>
    <row r="2003" spans="12:16" ht="15" hidden="1" customHeight="1">
      <c r="L2003" s="58" t="str">
        <f t="shared" si="183"/>
        <v>-</v>
      </c>
      <c r="M2003" s="59">
        <f t="shared" ref="M2003:M2066" si="186">IFERROR(VLOOKUP(L2003,$B$19:$E$80,4,FALSE),0)</f>
        <v>0</v>
      </c>
      <c r="N2003" s="59">
        <f t="shared" si="184"/>
        <v>0</v>
      </c>
      <c r="O2003" s="59">
        <f t="shared" ref="O2003:O2066" si="187">IFERROR(IF(ISNUMBER(N2002),N2002,$E$8)*IF(L2003&gt;=$J$8,$E$12,$E$12)/IF(MOD(YEAR(L2003),4),365,366)*IF(ISBLANK(L2002),L2003-$F$5,L2003-L2002),0)</f>
        <v>0</v>
      </c>
      <c r="P2003" s="59">
        <f t="shared" si="185"/>
        <v>0</v>
      </c>
    </row>
    <row r="2004" spans="12:16" ht="15" hidden="1" customHeight="1">
      <c r="L2004" s="58" t="str">
        <f t="shared" si="183"/>
        <v>-</v>
      </c>
      <c r="M2004" s="59">
        <f t="shared" si="186"/>
        <v>0</v>
      </c>
      <c r="N2004" s="59">
        <f t="shared" si="184"/>
        <v>0</v>
      </c>
      <c r="O2004" s="59">
        <f t="shared" si="187"/>
        <v>0</v>
      </c>
      <c r="P2004" s="59">
        <f t="shared" si="185"/>
        <v>0</v>
      </c>
    </row>
    <row r="2005" spans="12:16" ht="15" hidden="1" customHeight="1">
      <c r="L2005" s="58" t="str">
        <f t="shared" si="183"/>
        <v>-</v>
      </c>
      <c r="M2005" s="59">
        <f t="shared" si="186"/>
        <v>0</v>
      </c>
      <c r="N2005" s="59">
        <f t="shared" si="184"/>
        <v>0</v>
      </c>
      <c r="O2005" s="59">
        <f t="shared" si="187"/>
        <v>0</v>
      </c>
      <c r="P2005" s="59">
        <f t="shared" si="185"/>
        <v>0</v>
      </c>
    </row>
    <row r="2006" spans="12:16" ht="15" hidden="1" customHeight="1">
      <c r="L2006" s="58" t="str">
        <f t="shared" si="183"/>
        <v>-</v>
      </c>
      <c r="M2006" s="59">
        <f t="shared" si="186"/>
        <v>0</v>
      </c>
      <c r="N2006" s="59">
        <f t="shared" si="184"/>
        <v>0</v>
      </c>
      <c r="O2006" s="59">
        <f t="shared" si="187"/>
        <v>0</v>
      </c>
      <c r="P2006" s="59">
        <f t="shared" si="185"/>
        <v>0</v>
      </c>
    </row>
    <row r="2007" spans="12:16" ht="15" hidden="1" customHeight="1">
      <c r="L2007" s="58" t="str">
        <f t="shared" si="183"/>
        <v>-</v>
      </c>
      <c r="M2007" s="59">
        <f t="shared" si="186"/>
        <v>0</v>
      </c>
      <c r="N2007" s="59">
        <f t="shared" si="184"/>
        <v>0</v>
      </c>
      <c r="O2007" s="59">
        <f t="shared" si="187"/>
        <v>0</v>
      </c>
      <c r="P2007" s="59">
        <f t="shared" si="185"/>
        <v>0</v>
      </c>
    </row>
    <row r="2008" spans="12:16" ht="15" hidden="1" customHeight="1">
      <c r="L2008" s="58" t="str">
        <f t="shared" si="183"/>
        <v>-</v>
      </c>
      <c r="M2008" s="59">
        <f t="shared" si="186"/>
        <v>0</v>
      </c>
      <c r="N2008" s="59">
        <f t="shared" si="184"/>
        <v>0</v>
      </c>
      <c r="O2008" s="59">
        <f t="shared" si="187"/>
        <v>0</v>
      </c>
      <c r="P2008" s="59">
        <f t="shared" si="185"/>
        <v>0</v>
      </c>
    </row>
    <row r="2009" spans="12:16" ht="15" hidden="1" customHeight="1">
      <c r="L2009" s="58" t="str">
        <f t="shared" si="183"/>
        <v>-</v>
      </c>
      <c r="M2009" s="59">
        <f t="shared" si="186"/>
        <v>0</v>
      </c>
      <c r="N2009" s="59">
        <f t="shared" si="184"/>
        <v>0</v>
      </c>
      <c r="O2009" s="59">
        <f t="shared" si="187"/>
        <v>0</v>
      </c>
      <c r="P2009" s="59">
        <f t="shared" si="185"/>
        <v>0</v>
      </c>
    </row>
    <row r="2010" spans="12:16" ht="15" hidden="1" customHeight="1">
      <c r="L2010" s="58" t="str">
        <f t="shared" si="183"/>
        <v>-</v>
      </c>
      <c r="M2010" s="59">
        <f t="shared" si="186"/>
        <v>0</v>
      </c>
      <c r="N2010" s="59">
        <f t="shared" si="184"/>
        <v>0</v>
      </c>
      <c r="O2010" s="59">
        <f t="shared" si="187"/>
        <v>0</v>
      </c>
      <c r="P2010" s="59">
        <f t="shared" si="185"/>
        <v>0</v>
      </c>
    </row>
    <row r="2011" spans="12:16" ht="15" hidden="1" customHeight="1">
      <c r="L2011" s="58" t="str">
        <f t="shared" si="183"/>
        <v>-</v>
      </c>
      <c r="M2011" s="59">
        <f t="shared" si="186"/>
        <v>0</v>
      </c>
      <c r="N2011" s="59">
        <f t="shared" si="184"/>
        <v>0</v>
      </c>
      <c r="O2011" s="59">
        <f t="shared" si="187"/>
        <v>0</v>
      </c>
      <c r="P2011" s="59">
        <f t="shared" si="185"/>
        <v>0</v>
      </c>
    </row>
    <row r="2012" spans="12:16" ht="15" hidden="1" customHeight="1">
      <c r="L2012" s="58" t="str">
        <f t="shared" si="183"/>
        <v>-</v>
      </c>
      <c r="M2012" s="59">
        <f t="shared" si="186"/>
        <v>0</v>
      </c>
      <c r="N2012" s="59">
        <f t="shared" si="184"/>
        <v>0</v>
      </c>
      <c r="O2012" s="59">
        <f t="shared" si="187"/>
        <v>0</v>
      </c>
      <c r="P2012" s="59">
        <f t="shared" si="185"/>
        <v>0</v>
      </c>
    </row>
    <row r="2013" spans="12:16" ht="15" hidden="1" customHeight="1">
      <c r="L2013" s="58" t="str">
        <f t="shared" si="183"/>
        <v>-</v>
      </c>
      <c r="M2013" s="59">
        <f t="shared" si="186"/>
        <v>0</v>
      </c>
      <c r="N2013" s="59">
        <f t="shared" si="184"/>
        <v>0</v>
      </c>
      <c r="O2013" s="59">
        <f t="shared" si="187"/>
        <v>0</v>
      </c>
      <c r="P2013" s="59">
        <f t="shared" si="185"/>
        <v>0</v>
      </c>
    </row>
    <row r="2014" spans="12:16" ht="15" hidden="1" customHeight="1">
      <c r="L2014" s="58" t="str">
        <f t="shared" si="183"/>
        <v>-</v>
      </c>
      <c r="M2014" s="59">
        <f t="shared" si="186"/>
        <v>0</v>
      </c>
      <c r="N2014" s="59">
        <f t="shared" si="184"/>
        <v>0</v>
      </c>
      <c r="O2014" s="59">
        <f t="shared" si="187"/>
        <v>0</v>
      </c>
      <c r="P2014" s="59">
        <f t="shared" si="185"/>
        <v>0</v>
      </c>
    </row>
    <row r="2015" spans="12:16" ht="15" hidden="1" customHeight="1">
      <c r="L2015" s="58" t="str">
        <f t="shared" si="183"/>
        <v>-</v>
      </c>
      <c r="M2015" s="59">
        <f t="shared" si="186"/>
        <v>0</v>
      </c>
      <c r="N2015" s="59">
        <f t="shared" si="184"/>
        <v>0</v>
      </c>
      <c r="O2015" s="59">
        <f t="shared" si="187"/>
        <v>0</v>
      </c>
      <c r="P2015" s="59">
        <f t="shared" si="185"/>
        <v>0</v>
      </c>
    </row>
    <row r="2016" spans="12:16" ht="15" hidden="1" customHeight="1">
      <c r="L2016" s="58" t="str">
        <f t="shared" si="183"/>
        <v>-</v>
      </c>
      <c r="M2016" s="59">
        <f t="shared" si="186"/>
        <v>0</v>
      </c>
      <c r="N2016" s="59">
        <f t="shared" si="184"/>
        <v>0</v>
      </c>
      <c r="O2016" s="59">
        <f t="shared" si="187"/>
        <v>0</v>
      </c>
      <c r="P2016" s="59">
        <f t="shared" si="185"/>
        <v>0</v>
      </c>
    </row>
    <row r="2017" spans="12:16" ht="15" hidden="1" customHeight="1">
      <c r="L2017" s="58" t="str">
        <f t="shared" si="183"/>
        <v>-</v>
      </c>
      <c r="M2017" s="59">
        <f t="shared" si="186"/>
        <v>0</v>
      </c>
      <c r="N2017" s="59">
        <f t="shared" si="184"/>
        <v>0</v>
      </c>
      <c r="O2017" s="59">
        <f t="shared" si="187"/>
        <v>0</v>
      </c>
      <c r="P2017" s="59">
        <f t="shared" si="185"/>
        <v>0</v>
      </c>
    </row>
    <row r="2018" spans="12:16" ht="15" hidden="1" customHeight="1">
      <c r="L2018" s="58" t="str">
        <f t="shared" ref="L2018:L2081" si="188">IFERROR(IF(MAX(L2017+1,$F$5+1)&gt;Дата_погашения_Займа,"-",MAX(L2017+1,$F$5+1)),"-")</f>
        <v>-</v>
      </c>
      <c r="M2018" s="59">
        <f t="shared" si="186"/>
        <v>0</v>
      </c>
      <c r="N2018" s="59">
        <f t="shared" si="184"/>
        <v>0</v>
      </c>
      <c r="O2018" s="59">
        <f t="shared" si="187"/>
        <v>0</v>
      </c>
      <c r="P2018" s="59">
        <f t="shared" si="185"/>
        <v>0</v>
      </c>
    </row>
    <row r="2019" spans="12:16" ht="15" hidden="1" customHeight="1">
      <c r="L2019" s="58" t="str">
        <f t="shared" si="188"/>
        <v>-</v>
      </c>
      <c r="M2019" s="59">
        <f t="shared" si="186"/>
        <v>0</v>
      </c>
      <c r="N2019" s="59">
        <f t="shared" si="184"/>
        <v>0</v>
      </c>
      <c r="O2019" s="59">
        <f t="shared" si="187"/>
        <v>0</v>
      </c>
      <c r="P2019" s="59">
        <f t="shared" si="185"/>
        <v>0</v>
      </c>
    </row>
    <row r="2020" spans="12:16" ht="15" hidden="1" customHeight="1">
      <c r="L2020" s="58" t="str">
        <f t="shared" si="188"/>
        <v>-</v>
      </c>
      <c r="M2020" s="59">
        <f t="shared" si="186"/>
        <v>0</v>
      </c>
      <c r="N2020" s="59">
        <f t="shared" si="184"/>
        <v>0</v>
      </c>
      <c r="O2020" s="59">
        <f t="shared" si="187"/>
        <v>0</v>
      </c>
      <c r="P2020" s="59">
        <f t="shared" si="185"/>
        <v>0</v>
      </c>
    </row>
    <row r="2021" spans="12:16" ht="15" hidden="1" customHeight="1">
      <c r="L2021" s="58" t="str">
        <f t="shared" si="188"/>
        <v>-</v>
      </c>
      <c r="M2021" s="59">
        <f t="shared" si="186"/>
        <v>0</v>
      </c>
      <c r="N2021" s="59">
        <f t="shared" si="184"/>
        <v>0</v>
      </c>
      <c r="O2021" s="59">
        <f t="shared" si="187"/>
        <v>0</v>
      </c>
      <c r="P2021" s="59">
        <f t="shared" si="185"/>
        <v>0</v>
      </c>
    </row>
    <row r="2022" spans="12:16" ht="15" hidden="1" customHeight="1">
      <c r="L2022" s="58" t="str">
        <f t="shared" si="188"/>
        <v>-</v>
      </c>
      <c r="M2022" s="59">
        <f t="shared" si="186"/>
        <v>0</v>
      </c>
      <c r="N2022" s="59">
        <f t="shared" si="184"/>
        <v>0</v>
      </c>
      <c r="O2022" s="59">
        <f t="shared" si="187"/>
        <v>0</v>
      </c>
      <c r="P2022" s="59">
        <f t="shared" si="185"/>
        <v>0</v>
      </c>
    </row>
    <row r="2023" spans="12:16" ht="15" hidden="1" customHeight="1">
      <c r="L2023" s="58" t="str">
        <f t="shared" si="188"/>
        <v>-</v>
      </c>
      <c r="M2023" s="59">
        <f t="shared" si="186"/>
        <v>0</v>
      </c>
      <c r="N2023" s="59">
        <f t="shared" si="184"/>
        <v>0</v>
      </c>
      <c r="O2023" s="59">
        <f t="shared" si="187"/>
        <v>0</v>
      </c>
      <c r="P2023" s="59">
        <f t="shared" si="185"/>
        <v>0</v>
      </c>
    </row>
    <row r="2024" spans="12:16" ht="15" hidden="1" customHeight="1">
      <c r="L2024" s="58" t="str">
        <f t="shared" si="188"/>
        <v>-</v>
      </c>
      <c r="M2024" s="59">
        <f t="shared" si="186"/>
        <v>0</v>
      </c>
      <c r="N2024" s="59">
        <f t="shared" si="184"/>
        <v>0</v>
      </c>
      <c r="O2024" s="59">
        <f t="shared" si="187"/>
        <v>0</v>
      </c>
      <c r="P2024" s="59">
        <f t="shared" si="185"/>
        <v>0</v>
      </c>
    </row>
    <row r="2025" spans="12:16" ht="15" hidden="1" customHeight="1">
      <c r="L2025" s="58" t="str">
        <f t="shared" si="188"/>
        <v>-</v>
      </c>
      <c r="M2025" s="59">
        <f t="shared" si="186"/>
        <v>0</v>
      </c>
      <c r="N2025" s="59">
        <f t="shared" si="184"/>
        <v>0</v>
      </c>
      <c r="O2025" s="59">
        <f t="shared" si="187"/>
        <v>0</v>
      </c>
      <c r="P2025" s="59">
        <f t="shared" si="185"/>
        <v>0</v>
      </c>
    </row>
    <row r="2026" spans="12:16" ht="15" hidden="1" customHeight="1">
      <c r="L2026" s="58" t="str">
        <f t="shared" si="188"/>
        <v>-</v>
      </c>
      <c r="M2026" s="59">
        <f t="shared" si="186"/>
        <v>0</v>
      </c>
      <c r="N2026" s="59">
        <f t="shared" si="184"/>
        <v>0</v>
      </c>
      <c r="O2026" s="59">
        <f t="shared" si="187"/>
        <v>0</v>
      </c>
      <c r="P2026" s="59">
        <f t="shared" si="185"/>
        <v>0</v>
      </c>
    </row>
    <row r="2027" spans="12:16" ht="15" hidden="1" customHeight="1">
      <c r="L2027" s="58" t="str">
        <f t="shared" si="188"/>
        <v>-</v>
      </c>
      <c r="M2027" s="59">
        <f t="shared" si="186"/>
        <v>0</v>
      </c>
      <c r="N2027" s="59">
        <f t="shared" si="184"/>
        <v>0</v>
      </c>
      <c r="O2027" s="59">
        <f t="shared" si="187"/>
        <v>0</v>
      </c>
      <c r="P2027" s="59">
        <f t="shared" si="185"/>
        <v>0</v>
      </c>
    </row>
    <row r="2028" spans="12:16" ht="15" hidden="1" customHeight="1">
      <c r="L2028" s="58" t="str">
        <f t="shared" si="188"/>
        <v>-</v>
      </c>
      <c r="M2028" s="59">
        <f t="shared" si="186"/>
        <v>0</v>
      </c>
      <c r="N2028" s="59">
        <f t="shared" si="184"/>
        <v>0</v>
      </c>
      <c r="O2028" s="59">
        <f t="shared" si="187"/>
        <v>0</v>
      </c>
      <c r="P2028" s="59">
        <f t="shared" si="185"/>
        <v>0</v>
      </c>
    </row>
    <row r="2029" spans="12:16" ht="15" hidden="1" customHeight="1">
      <c r="L2029" s="58" t="str">
        <f t="shared" si="188"/>
        <v>-</v>
      </c>
      <c r="M2029" s="59">
        <f t="shared" si="186"/>
        <v>0</v>
      </c>
      <c r="N2029" s="59">
        <f t="shared" si="184"/>
        <v>0</v>
      </c>
      <c r="O2029" s="59">
        <f t="shared" si="187"/>
        <v>0</v>
      </c>
      <c r="P2029" s="59">
        <f t="shared" si="185"/>
        <v>0</v>
      </c>
    </row>
    <row r="2030" spans="12:16" ht="15" hidden="1" customHeight="1">
      <c r="L2030" s="58" t="str">
        <f t="shared" si="188"/>
        <v>-</v>
      </c>
      <c r="M2030" s="59">
        <f t="shared" si="186"/>
        <v>0</v>
      </c>
      <c r="N2030" s="59">
        <f t="shared" si="184"/>
        <v>0</v>
      </c>
      <c r="O2030" s="59">
        <f t="shared" si="187"/>
        <v>0</v>
      </c>
      <c r="P2030" s="59">
        <f t="shared" si="185"/>
        <v>0</v>
      </c>
    </row>
    <row r="2031" spans="12:16" ht="15" hidden="1" customHeight="1">
      <c r="L2031" s="58" t="str">
        <f t="shared" si="188"/>
        <v>-</v>
      </c>
      <c r="M2031" s="59">
        <f t="shared" si="186"/>
        <v>0</v>
      </c>
      <c r="N2031" s="59">
        <f t="shared" si="184"/>
        <v>0</v>
      </c>
      <c r="O2031" s="59">
        <f t="shared" si="187"/>
        <v>0</v>
      </c>
      <c r="P2031" s="59">
        <f t="shared" si="185"/>
        <v>0</v>
      </c>
    </row>
    <row r="2032" spans="12:16" ht="15" hidden="1" customHeight="1">
      <c r="L2032" s="58" t="str">
        <f t="shared" si="188"/>
        <v>-</v>
      </c>
      <c r="M2032" s="59">
        <f t="shared" si="186"/>
        <v>0</v>
      </c>
      <c r="N2032" s="59">
        <f t="shared" ref="N2032:N2095" si="189">IF(ISNUMBER(N2031),N2031-M2032,$E$8)</f>
        <v>0</v>
      </c>
      <c r="O2032" s="59">
        <f t="shared" si="187"/>
        <v>0</v>
      </c>
      <c r="P2032" s="59">
        <f t="shared" ref="P2032:P2095" si="190">IFERROR(IF(ISNUMBER(N2031),N2031,$E$8)*3%/IF(MOD(YEAR(L2032),4),365,366)*IF(ISBLANK(L2031),(L2032-$F$5),L2032-L2031),0)</f>
        <v>0</v>
      </c>
    </row>
    <row r="2033" spans="12:16" ht="15" hidden="1" customHeight="1">
      <c r="L2033" s="58" t="str">
        <f t="shared" si="188"/>
        <v>-</v>
      </c>
      <c r="M2033" s="59">
        <f t="shared" si="186"/>
        <v>0</v>
      </c>
      <c r="N2033" s="59">
        <f t="shared" si="189"/>
        <v>0</v>
      </c>
      <c r="O2033" s="59">
        <f t="shared" si="187"/>
        <v>0</v>
      </c>
      <c r="P2033" s="59">
        <f t="shared" si="190"/>
        <v>0</v>
      </c>
    </row>
    <row r="2034" spans="12:16" ht="15" hidden="1" customHeight="1">
      <c r="L2034" s="58" t="str">
        <f t="shared" si="188"/>
        <v>-</v>
      </c>
      <c r="M2034" s="59">
        <f t="shared" si="186"/>
        <v>0</v>
      </c>
      <c r="N2034" s="59">
        <f t="shared" si="189"/>
        <v>0</v>
      </c>
      <c r="O2034" s="59">
        <f t="shared" si="187"/>
        <v>0</v>
      </c>
      <c r="P2034" s="59">
        <f t="shared" si="190"/>
        <v>0</v>
      </c>
    </row>
    <row r="2035" spans="12:16" ht="15" hidden="1" customHeight="1">
      <c r="L2035" s="58" t="str">
        <f t="shared" si="188"/>
        <v>-</v>
      </c>
      <c r="M2035" s="59">
        <f t="shared" si="186"/>
        <v>0</v>
      </c>
      <c r="N2035" s="59">
        <f t="shared" si="189"/>
        <v>0</v>
      </c>
      <c r="O2035" s="59">
        <f t="shared" si="187"/>
        <v>0</v>
      </c>
      <c r="P2035" s="59">
        <f t="shared" si="190"/>
        <v>0</v>
      </c>
    </row>
    <row r="2036" spans="12:16" ht="15" hidden="1" customHeight="1">
      <c r="L2036" s="58" t="str">
        <f t="shared" si="188"/>
        <v>-</v>
      </c>
      <c r="M2036" s="59">
        <f t="shared" si="186"/>
        <v>0</v>
      </c>
      <c r="N2036" s="59">
        <f t="shared" si="189"/>
        <v>0</v>
      </c>
      <c r="O2036" s="59">
        <f t="shared" si="187"/>
        <v>0</v>
      </c>
      <c r="P2036" s="59">
        <f t="shared" si="190"/>
        <v>0</v>
      </c>
    </row>
    <row r="2037" spans="12:16" ht="15" hidden="1" customHeight="1">
      <c r="L2037" s="58" t="str">
        <f t="shared" si="188"/>
        <v>-</v>
      </c>
      <c r="M2037" s="59">
        <f t="shared" si="186"/>
        <v>0</v>
      </c>
      <c r="N2037" s="59">
        <f t="shared" si="189"/>
        <v>0</v>
      </c>
      <c r="O2037" s="59">
        <f t="shared" si="187"/>
        <v>0</v>
      </c>
      <c r="P2037" s="59">
        <f t="shared" si="190"/>
        <v>0</v>
      </c>
    </row>
    <row r="2038" spans="12:16" ht="15" hidden="1" customHeight="1">
      <c r="L2038" s="58" t="str">
        <f t="shared" si="188"/>
        <v>-</v>
      </c>
      <c r="M2038" s="59">
        <f t="shared" si="186"/>
        <v>0</v>
      </c>
      <c r="N2038" s="59">
        <f t="shared" si="189"/>
        <v>0</v>
      </c>
      <c r="O2038" s="59">
        <f t="shared" si="187"/>
        <v>0</v>
      </c>
      <c r="P2038" s="59">
        <f t="shared" si="190"/>
        <v>0</v>
      </c>
    </row>
    <row r="2039" spans="12:16" ht="15" hidden="1" customHeight="1">
      <c r="L2039" s="58" t="str">
        <f t="shared" si="188"/>
        <v>-</v>
      </c>
      <c r="M2039" s="59">
        <f t="shared" si="186"/>
        <v>0</v>
      </c>
      <c r="N2039" s="59">
        <f t="shared" si="189"/>
        <v>0</v>
      </c>
      <c r="O2039" s="59">
        <f t="shared" si="187"/>
        <v>0</v>
      </c>
      <c r="P2039" s="59">
        <f t="shared" si="190"/>
        <v>0</v>
      </c>
    </row>
    <row r="2040" spans="12:16" ht="15" hidden="1" customHeight="1">
      <c r="L2040" s="58" t="str">
        <f t="shared" si="188"/>
        <v>-</v>
      </c>
      <c r="M2040" s="59">
        <f t="shared" si="186"/>
        <v>0</v>
      </c>
      <c r="N2040" s="59">
        <f t="shared" si="189"/>
        <v>0</v>
      </c>
      <c r="O2040" s="59">
        <f t="shared" si="187"/>
        <v>0</v>
      </c>
      <c r="P2040" s="59">
        <f t="shared" si="190"/>
        <v>0</v>
      </c>
    </row>
    <row r="2041" spans="12:16" ht="15" hidden="1" customHeight="1">
      <c r="L2041" s="58" t="str">
        <f t="shared" si="188"/>
        <v>-</v>
      </c>
      <c r="M2041" s="59">
        <f t="shared" si="186"/>
        <v>0</v>
      </c>
      <c r="N2041" s="59">
        <f t="shared" si="189"/>
        <v>0</v>
      </c>
      <c r="O2041" s="59">
        <f t="shared" si="187"/>
        <v>0</v>
      </c>
      <c r="P2041" s="59">
        <f t="shared" si="190"/>
        <v>0</v>
      </c>
    </row>
    <row r="2042" spans="12:16" ht="15" hidden="1" customHeight="1">
      <c r="L2042" s="58" t="str">
        <f t="shared" si="188"/>
        <v>-</v>
      </c>
      <c r="M2042" s="59">
        <f t="shared" si="186"/>
        <v>0</v>
      </c>
      <c r="N2042" s="59">
        <f t="shared" si="189"/>
        <v>0</v>
      </c>
      <c r="O2042" s="59">
        <f t="shared" si="187"/>
        <v>0</v>
      </c>
      <c r="P2042" s="59">
        <f t="shared" si="190"/>
        <v>0</v>
      </c>
    </row>
    <row r="2043" spans="12:16" ht="15" hidden="1" customHeight="1">
      <c r="L2043" s="58" t="str">
        <f t="shared" si="188"/>
        <v>-</v>
      </c>
      <c r="M2043" s="59">
        <f t="shared" si="186"/>
        <v>0</v>
      </c>
      <c r="N2043" s="59">
        <f t="shared" si="189"/>
        <v>0</v>
      </c>
      <c r="O2043" s="59">
        <f t="shared" si="187"/>
        <v>0</v>
      </c>
      <c r="P2043" s="59">
        <f t="shared" si="190"/>
        <v>0</v>
      </c>
    </row>
    <row r="2044" spans="12:16" ht="15" hidden="1" customHeight="1">
      <c r="L2044" s="58" t="str">
        <f t="shared" si="188"/>
        <v>-</v>
      </c>
      <c r="M2044" s="59">
        <f t="shared" si="186"/>
        <v>0</v>
      </c>
      <c r="N2044" s="59">
        <f t="shared" si="189"/>
        <v>0</v>
      </c>
      <c r="O2044" s="59">
        <f t="shared" si="187"/>
        <v>0</v>
      </c>
      <c r="P2044" s="59">
        <f t="shared" si="190"/>
        <v>0</v>
      </c>
    </row>
    <row r="2045" spans="12:16" ht="15" hidden="1" customHeight="1">
      <c r="L2045" s="58" t="str">
        <f t="shared" si="188"/>
        <v>-</v>
      </c>
      <c r="M2045" s="59">
        <f t="shared" si="186"/>
        <v>0</v>
      </c>
      <c r="N2045" s="59">
        <f t="shared" si="189"/>
        <v>0</v>
      </c>
      <c r="O2045" s="59">
        <f t="shared" si="187"/>
        <v>0</v>
      </c>
      <c r="P2045" s="59">
        <f t="shared" si="190"/>
        <v>0</v>
      </c>
    </row>
    <row r="2046" spans="12:16" ht="15" hidden="1" customHeight="1">
      <c r="L2046" s="58" t="str">
        <f t="shared" si="188"/>
        <v>-</v>
      </c>
      <c r="M2046" s="59">
        <f t="shared" si="186"/>
        <v>0</v>
      </c>
      <c r="N2046" s="59">
        <f t="shared" si="189"/>
        <v>0</v>
      </c>
      <c r="O2046" s="59">
        <f t="shared" si="187"/>
        <v>0</v>
      </c>
      <c r="P2046" s="59">
        <f t="shared" si="190"/>
        <v>0</v>
      </c>
    </row>
    <row r="2047" spans="12:16" ht="15" hidden="1" customHeight="1">
      <c r="L2047" s="58" t="str">
        <f t="shared" si="188"/>
        <v>-</v>
      </c>
      <c r="M2047" s="59">
        <f t="shared" si="186"/>
        <v>0</v>
      </c>
      <c r="N2047" s="59">
        <f t="shared" si="189"/>
        <v>0</v>
      </c>
      <c r="O2047" s="59">
        <f t="shared" si="187"/>
        <v>0</v>
      </c>
      <c r="P2047" s="59">
        <f t="shared" si="190"/>
        <v>0</v>
      </c>
    </row>
    <row r="2048" spans="12:16" ht="15" hidden="1" customHeight="1">
      <c r="L2048" s="58" t="str">
        <f t="shared" si="188"/>
        <v>-</v>
      </c>
      <c r="M2048" s="59">
        <f t="shared" si="186"/>
        <v>0</v>
      </c>
      <c r="N2048" s="59">
        <f t="shared" si="189"/>
        <v>0</v>
      </c>
      <c r="O2048" s="59">
        <f t="shared" si="187"/>
        <v>0</v>
      </c>
      <c r="P2048" s="59">
        <f t="shared" si="190"/>
        <v>0</v>
      </c>
    </row>
    <row r="2049" spans="12:16" ht="15" hidden="1" customHeight="1">
      <c r="L2049" s="58" t="str">
        <f t="shared" si="188"/>
        <v>-</v>
      </c>
      <c r="M2049" s="59">
        <f t="shared" si="186"/>
        <v>0</v>
      </c>
      <c r="N2049" s="59">
        <f t="shared" si="189"/>
        <v>0</v>
      </c>
      <c r="O2049" s="59">
        <f t="shared" si="187"/>
        <v>0</v>
      </c>
      <c r="P2049" s="59">
        <f t="shared" si="190"/>
        <v>0</v>
      </c>
    </row>
    <row r="2050" spans="12:16" ht="15" hidden="1" customHeight="1">
      <c r="L2050" s="58" t="str">
        <f t="shared" si="188"/>
        <v>-</v>
      </c>
      <c r="M2050" s="59">
        <f t="shared" si="186"/>
        <v>0</v>
      </c>
      <c r="N2050" s="59">
        <f t="shared" si="189"/>
        <v>0</v>
      </c>
      <c r="O2050" s="59">
        <f t="shared" si="187"/>
        <v>0</v>
      </c>
      <c r="P2050" s="59">
        <f t="shared" si="190"/>
        <v>0</v>
      </c>
    </row>
    <row r="2051" spans="12:16" ht="15" hidden="1" customHeight="1">
      <c r="L2051" s="58" t="str">
        <f t="shared" si="188"/>
        <v>-</v>
      </c>
      <c r="M2051" s="59">
        <f t="shared" si="186"/>
        <v>0</v>
      </c>
      <c r="N2051" s="59">
        <f t="shared" si="189"/>
        <v>0</v>
      </c>
      <c r="O2051" s="59">
        <f t="shared" si="187"/>
        <v>0</v>
      </c>
      <c r="P2051" s="59">
        <f t="shared" si="190"/>
        <v>0</v>
      </c>
    </row>
    <row r="2052" spans="12:16" ht="15" hidden="1" customHeight="1">
      <c r="L2052" s="58" t="str">
        <f t="shared" si="188"/>
        <v>-</v>
      </c>
      <c r="M2052" s="59">
        <f t="shared" si="186"/>
        <v>0</v>
      </c>
      <c r="N2052" s="59">
        <f t="shared" si="189"/>
        <v>0</v>
      </c>
      <c r="O2052" s="59">
        <f t="shared" si="187"/>
        <v>0</v>
      </c>
      <c r="P2052" s="59">
        <f t="shared" si="190"/>
        <v>0</v>
      </c>
    </row>
    <row r="2053" spans="12:16" ht="15" hidden="1" customHeight="1">
      <c r="L2053" s="58" t="str">
        <f t="shared" si="188"/>
        <v>-</v>
      </c>
      <c r="M2053" s="59">
        <f t="shared" si="186"/>
        <v>0</v>
      </c>
      <c r="N2053" s="59">
        <f t="shared" si="189"/>
        <v>0</v>
      </c>
      <c r="O2053" s="59">
        <f t="shared" si="187"/>
        <v>0</v>
      </c>
      <c r="P2053" s="59">
        <f t="shared" si="190"/>
        <v>0</v>
      </c>
    </row>
    <row r="2054" spans="12:16" ht="15" hidden="1" customHeight="1">
      <c r="L2054" s="58" t="str">
        <f t="shared" si="188"/>
        <v>-</v>
      </c>
      <c r="M2054" s="59">
        <f t="shared" si="186"/>
        <v>0</v>
      </c>
      <c r="N2054" s="59">
        <f t="shared" si="189"/>
        <v>0</v>
      </c>
      <c r="O2054" s="59">
        <f t="shared" si="187"/>
        <v>0</v>
      </c>
      <c r="P2054" s="59">
        <f t="shared" si="190"/>
        <v>0</v>
      </c>
    </row>
    <row r="2055" spans="12:16" ht="15" hidden="1" customHeight="1">
      <c r="L2055" s="58" t="str">
        <f t="shared" si="188"/>
        <v>-</v>
      </c>
      <c r="M2055" s="59">
        <f t="shared" si="186"/>
        <v>0</v>
      </c>
      <c r="N2055" s="59">
        <f t="shared" si="189"/>
        <v>0</v>
      </c>
      <c r="O2055" s="59">
        <f t="shared" si="187"/>
        <v>0</v>
      </c>
      <c r="P2055" s="59">
        <f t="shared" si="190"/>
        <v>0</v>
      </c>
    </row>
    <row r="2056" spans="12:16" ht="15" hidden="1" customHeight="1">
      <c r="L2056" s="58" t="str">
        <f t="shared" si="188"/>
        <v>-</v>
      </c>
      <c r="M2056" s="59">
        <f t="shared" si="186"/>
        <v>0</v>
      </c>
      <c r="N2056" s="59">
        <f t="shared" si="189"/>
        <v>0</v>
      </c>
      <c r="O2056" s="59">
        <f t="shared" si="187"/>
        <v>0</v>
      </c>
      <c r="P2056" s="59">
        <f t="shared" si="190"/>
        <v>0</v>
      </c>
    </row>
    <row r="2057" spans="12:16" ht="15" hidden="1" customHeight="1">
      <c r="L2057" s="58" t="str">
        <f t="shared" si="188"/>
        <v>-</v>
      </c>
      <c r="M2057" s="59">
        <f t="shared" si="186"/>
        <v>0</v>
      </c>
      <c r="N2057" s="59">
        <f t="shared" si="189"/>
        <v>0</v>
      </c>
      <c r="O2057" s="59">
        <f t="shared" si="187"/>
        <v>0</v>
      </c>
      <c r="P2057" s="59">
        <f t="shared" si="190"/>
        <v>0</v>
      </c>
    </row>
    <row r="2058" spans="12:16" ht="15" hidden="1" customHeight="1">
      <c r="L2058" s="58" t="str">
        <f t="shared" si="188"/>
        <v>-</v>
      </c>
      <c r="M2058" s="59">
        <f t="shared" si="186"/>
        <v>0</v>
      </c>
      <c r="N2058" s="59">
        <f t="shared" si="189"/>
        <v>0</v>
      </c>
      <c r="O2058" s="59">
        <f t="shared" si="187"/>
        <v>0</v>
      </c>
      <c r="P2058" s="59">
        <f t="shared" si="190"/>
        <v>0</v>
      </c>
    </row>
    <row r="2059" spans="12:16" ht="15" hidden="1" customHeight="1">
      <c r="L2059" s="58" t="str">
        <f t="shared" si="188"/>
        <v>-</v>
      </c>
      <c r="M2059" s="59">
        <f t="shared" si="186"/>
        <v>0</v>
      </c>
      <c r="N2059" s="59">
        <f t="shared" si="189"/>
        <v>0</v>
      </c>
      <c r="O2059" s="59">
        <f t="shared" si="187"/>
        <v>0</v>
      </c>
      <c r="P2059" s="59">
        <f t="shared" si="190"/>
        <v>0</v>
      </c>
    </row>
    <row r="2060" spans="12:16" ht="15" hidden="1" customHeight="1">
      <c r="L2060" s="58" t="str">
        <f t="shared" si="188"/>
        <v>-</v>
      </c>
      <c r="M2060" s="59">
        <f t="shared" si="186"/>
        <v>0</v>
      </c>
      <c r="N2060" s="59">
        <f t="shared" si="189"/>
        <v>0</v>
      </c>
      <c r="O2060" s="59">
        <f t="shared" si="187"/>
        <v>0</v>
      </c>
      <c r="P2060" s="59">
        <f t="shared" si="190"/>
        <v>0</v>
      </c>
    </row>
    <row r="2061" spans="12:16" ht="15" hidden="1" customHeight="1">
      <c r="L2061" s="58" t="str">
        <f t="shared" si="188"/>
        <v>-</v>
      </c>
      <c r="M2061" s="59">
        <f t="shared" si="186"/>
        <v>0</v>
      </c>
      <c r="N2061" s="59">
        <f t="shared" si="189"/>
        <v>0</v>
      </c>
      <c r="O2061" s="59">
        <f t="shared" si="187"/>
        <v>0</v>
      </c>
      <c r="P2061" s="59">
        <f t="shared" si="190"/>
        <v>0</v>
      </c>
    </row>
    <row r="2062" spans="12:16" ht="15" hidden="1" customHeight="1">
      <c r="L2062" s="58" t="str">
        <f t="shared" si="188"/>
        <v>-</v>
      </c>
      <c r="M2062" s="59">
        <f t="shared" si="186"/>
        <v>0</v>
      </c>
      <c r="N2062" s="59">
        <f t="shared" si="189"/>
        <v>0</v>
      </c>
      <c r="O2062" s="59">
        <f t="shared" si="187"/>
        <v>0</v>
      </c>
      <c r="P2062" s="59">
        <f t="shared" si="190"/>
        <v>0</v>
      </c>
    </row>
    <row r="2063" spans="12:16" ht="15" hidden="1" customHeight="1">
      <c r="L2063" s="58" t="str">
        <f t="shared" si="188"/>
        <v>-</v>
      </c>
      <c r="M2063" s="59">
        <f t="shared" si="186"/>
        <v>0</v>
      </c>
      <c r="N2063" s="59">
        <f t="shared" si="189"/>
        <v>0</v>
      </c>
      <c r="O2063" s="59">
        <f t="shared" si="187"/>
        <v>0</v>
      </c>
      <c r="P2063" s="59">
        <f t="shared" si="190"/>
        <v>0</v>
      </c>
    </row>
    <row r="2064" spans="12:16" ht="15" hidden="1" customHeight="1">
      <c r="L2064" s="58" t="str">
        <f t="shared" si="188"/>
        <v>-</v>
      </c>
      <c r="M2064" s="59">
        <f t="shared" si="186"/>
        <v>0</v>
      </c>
      <c r="N2064" s="59">
        <f t="shared" si="189"/>
        <v>0</v>
      </c>
      <c r="O2064" s="59">
        <f t="shared" si="187"/>
        <v>0</v>
      </c>
      <c r="P2064" s="59">
        <f t="shared" si="190"/>
        <v>0</v>
      </c>
    </row>
    <row r="2065" spans="12:16" ht="15" hidden="1" customHeight="1">
      <c r="L2065" s="58" t="str">
        <f t="shared" si="188"/>
        <v>-</v>
      </c>
      <c r="M2065" s="59">
        <f t="shared" si="186"/>
        <v>0</v>
      </c>
      <c r="N2065" s="59">
        <f t="shared" si="189"/>
        <v>0</v>
      </c>
      <c r="O2065" s="59">
        <f t="shared" si="187"/>
        <v>0</v>
      </c>
      <c r="P2065" s="59">
        <f t="shared" si="190"/>
        <v>0</v>
      </c>
    </row>
    <row r="2066" spans="12:16" ht="15" hidden="1" customHeight="1">
      <c r="L2066" s="58" t="str">
        <f t="shared" si="188"/>
        <v>-</v>
      </c>
      <c r="M2066" s="59">
        <f t="shared" si="186"/>
        <v>0</v>
      </c>
      <c r="N2066" s="59">
        <f t="shared" si="189"/>
        <v>0</v>
      </c>
      <c r="O2066" s="59">
        <f t="shared" si="187"/>
        <v>0</v>
      </c>
      <c r="P2066" s="59">
        <f t="shared" si="190"/>
        <v>0</v>
      </c>
    </row>
    <row r="2067" spans="12:16" ht="15" hidden="1" customHeight="1">
      <c r="L2067" s="58" t="str">
        <f t="shared" si="188"/>
        <v>-</v>
      </c>
      <c r="M2067" s="59">
        <f t="shared" ref="M2067:M2130" si="191">IFERROR(VLOOKUP(L2067,$B$19:$E$80,4,FALSE),0)</f>
        <v>0</v>
      </c>
      <c r="N2067" s="59">
        <f t="shared" si="189"/>
        <v>0</v>
      </c>
      <c r="O2067" s="59">
        <f t="shared" ref="O2067:O2130" si="192">IFERROR(IF(ISNUMBER(N2066),N2066,$E$8)*IF(L2067&gt;=$J$8,$E$12,$E$12)/IF(MOD(YEAR(L2067),4),365,366)*IF(ISBLANK(L2066),L2067-$F$5,L2067-L2066),0)</f>
        <v>0</v>
      </c>
      <c r="P2067" s="59">
        <f t="shared" si="190"/>
        <v>0</v>
      </c>
    </row>
    <row r="2068" spans="12:16" ht="15" hidden="1" customHeight="1">
      <c r="L2068" s="58" t="str">
        <f t="shared" si="188"/>
        <v>-</v>
      </c>
      <c r="M2068" s="59">
        <f t="shared" si="191"/>
        <v>0</v>
      </c>
      <c r="N2068" s="59">
        <f t="shared" si="189"/>
        <v>0</v>
      </c>
      <c r="O2068" s="59">
        <f t="shared" si="192"/>
        <v>0</v>
      </c>
      <c r="P2068" s="59">
        <f t="shared" si="190"/>
        <v>0</v>
      </c>
    </row>
    <row r="2069" spans="12:16" ht="15" hidden="1" customHeight="1">
      <c r="L2069" s="58" t="str">
        <f t="shared" si="188"/>
        <v>-</v>
      </c>
      <c r="M2069" s="59">
        <f t="shared" si="191"/>
        <v>0</v>
      </c>
      <c r="N2069" s="59">
        <f t="shared" si="189"/>
        <v>0</v>
      </c>
      <c r="O2069" s="59">
        <f t="shared" si="192"/>
        <v>0</v>
      </c>
      <c r="P2069" s="59">
        <f t="shared" si="190"/>
        <v>0</v>
      </c>
    </row>
    <row r="2070" spans="12:16" ht="15" hidden="1" customHeight="1">
      <c r="L2070" s="58" t="str">
        <f t="shared" si="188"/>
        <v>-</v>
      </c>
      <c r="M2070" s="59">
        <f t="shared" si="191"/>
        <v>0</v>
      </c>
      <c r="N2070" s="59">
        <f t="shared" si="189"/>
        <v>0</v>
      </c>
      <c r="O2070" s="59">
        <f t="shared" si="192"/>
        <v>0</v>
      </c>
      <c r="P2070" s="59">
        <f t="shared" si="190"/>
        <v>0</v>
      </c>
    </row>
    <row r="2071" spans="12:16" ht="15" hidden="1" customHeight="1">
      <c r="L2071" s="58" t="str">
        <f t="shared" si="188"/>
        <v>-</v>
      </c>
      <c r="M2071" s="59">
        <f t="shared" si="191"/>
        <v>0</v>
      </c>
      <c r="N2071" s="59">
        <f t="shared" si="189"/>
        <v>0</v>
      </c>
      <c r="O2071" s="59">
        <f t="shared" si="192"/>
        <v>0</v>
      </c>
      <c r="P2071" s="59">
        <f t="shared" si="190"/>
        <v>0</v>
      </c>
    </row>
    <row r="2072" spans="12:16" ht="15" hidden="1" customHeight="1">
      <c r="L2072" s="58" t="str">
        <f t="shared" si="188"/>
        <v>-</v>
      </c>
      <c r="M2072" s="59">
        <f t="shared" si="191"/>
        <v>0</v>
      </c>
      <c r="N2072" s="59">
        <f t="shared" si="189"/>
        <v>0</v>
      </c>
      <c r="O2072" s="59">
        <f t="shared" si="192"/>
        <v>0</v>
      </c>
      <c r="P2072" s="59">
        <f t="shared" si="190"/>
        <v>0</v>
      </c>
    </row>
    <row r="2073" spans="12:16" ht="15" hidden="1" customHeight="1">
      <c r="L2073" s="58" t="str">
        <f t="shared" si="188"/>
        <v>-</v>
      </c>
      <c r="M2073" s="59">
        <f t="shared" si="191"/>
        <v>0</v>
      </c>
      <c r="N2073" s="59">
        <f t="shared" si="189"/>
        <v>0</v>
      </c>
      <c r="O2073" s="59">
        <f t="shared" si="192"/>
        <v>0</v>
      </c>
      <c r="P2073" s="59">
        <f t="shared" si="190"/>
        <v>0</v>
      </c>
    </row>
    <row r="2074" spans="12:16" ht="15" hidden="1" customHeight="1">
      <c r="L2074" s="58" t="str">
        <f t="shared" si="188"/>
        <v>-</v>
      </c>
      <c r="M2074" s="59">
        <f t="shared" si="191"/>
        <v>0</v>
      </c>
      <c r="N2074" s="59">
        <f t="shared" si="189"/>
        <v>0</v>
      </c>
      <c r="O2074" s="59">
        <f t="shared" si="192"/>
        <v>0</v>
      </c>
      <c r="P2074" s="59">
        <f t="shared" si="190"/>
        <v>0</v>
      </c>
    </row>
    <row r="2075" spans="12:16" ht="15" hidden="1" customHeight="1">
      <c r="L2075" s="58" t="str">
        <f t="shared" si="188"/>
        <v>-</v>
      </c>
      <c r="M2075" s="59">
        <f t="shared" si="191"/>
        <v>0</v>
      </c>
      <c r="N2075" s="59">
        <f t="shared" si="189"/>
        <v>0</v>
      </c>
      <c r="O2075" s="59">
        <f t="shared" si="192"/>
        <v>0</v>
      </c>
      <c r="P2075" s="59">
        <f t="shared" si="190"/>
        <v>0</v>
      </c>
    </row>
    <row r="2076" spans="12:16" ht="15" hidden="1" customHeight="1">
      <c r="L2076" s="58" t="str">
        <f t="shared" si="188"/>
        <v>-</v>
      </c>
      <c r="M2076" s="59">
        <f t="shared" si="191"/>
        <v>0</v>
      </c>
      <c r="N2076" s="59">
        <f t="shared" si="189"/>
        <v>0</v>
      </c>
      <c r="O2076" s="59">
        <f t="shared" si="192"/>
        <v>0</v>
      </c>
      <c r="P2076" s="59">
        <f t="shared" si="190"/>
        <v>0</v>
      </c>
    </row>
    <row r="2077" spans="12:16" ht="15" hidden="1" customHeight="1">
      <c r="L2077" s="58" t="str">
        <f t="shared" si="188"/>
        <v>-</v>
      </c>
      <c r="M2077" s="59">
        <f t="shared" si="191"/>
        <v>0</v>
      </c>
      <c r="N2077" s="59">
        <f t="shared" si="189"/>
        <v>0</v>
      </c>
      <c r="O2077" s="59">
        <f t="shared" si="192"/>
        <v>0</v>
      </c>
      <c r="P2077" s="59">
        <f t="shared" si="190"/>
        <v>0</v>
      </c>
    </row>
    <row r="2078" spans="12:16" ht="15" hidden="1" customHeight="1">
      <c r="L2078" s="58" t="str">
        <f t="shared" si="188"/>
        <v>-</v>
      </c>
      <c r="M2078" s="59">
        <f t="shared" si="191"/>
        <v>0</v>
      </c>
      <c r="N2078" s="59">
        <f t="shared" si="189"/>
        <v>0</v>
      </c>
      <c r="O2078" s="59">
        <f t="shared" si="192"/>
        <v>0</v>
      </c>
      <c r="P2078" s="59">
        <f t="shared" si="190"/>
        <v>0</v>
      </c>
    </row>
    <row r="2079" spans="12:16" ht="15" hidden="1" customHeight="1">
      <c r="L2079" s="58" t="str">
        <f t="shared" si="188"/>
        <v>-</v>
      </c>
      <c r="M2079" s="59">
        <f t="shared" si="191"/>
        <v>0</v>
      </c>
      <c r="N2079" s="59">
        <f t="shared" si="189"/>
        <v>0</v>
      </c>
      <c r="O2079" s="59">
        <f t="shared" si="192"/>
        <v>0</v>
      </c>
      <c r="P2079" s="59">
        <f t="shared" si="190"/>
        <v>0</v>
      </c>
    </row>
    <row r="2080" spans="12:16" ht="15" hidden="1" customHeight="1">
      <c r="L2080" s="58" t="str">
        <f t="shared" si="188"/>
        <v>-</v>
      </c>
      <c r="M2080" s="59">
        <f t="shared" si="191"/>
        <v>0</v>
      </c>
      <c r="N2080" s="59">
        <f t="shared" si="189"/>
        <v>0</v>
      </c>
      <c r="O2080" s="59">
        <f t="shared" si="192"/>
        <v>0</v>
      </c>
      <c r="P2080" s="59">
        <f t="shared" si="190"/>
        <v>0</v>
      </c>
    </row>
    <row r="2081" spans="12:16" ht="15" hidden="1" customHeight="1">
      <c r="L2081" s="58" t="str">
        <f t="shared" si="188"/>
        <v>-</v>
      </c>
      <c r="M2081" s="59">
        <f t="shared" si="191"/>
        <v>0</v>
      </c>
      <c r="N2081" s="59">
        <f t="shared" si="189"/>
        <v>0</v>
      </c>
      <c r="O2081" s="59">
        <f t="shared" si="192"/>
        <v>0</v>
      </c>
      <c r="P2081" s="59">
        <f t="shared" si="190"/>
        <v>0</v>
      </c>
    </row>
    <row r="2082" spans="12:16" ht="15" hidden="1" customHeight="1">
      <c r="L2082" s="58" t="str">
        <f t="shared" ref="L2082:L2145" si="193">IFERROR(IF(MAX(L2081+1,$F$5+1)&gt;Дата_погашения_Займа,"-",MAX(L2081+1,$F$5+1)),"-")</f>
        <v>-</v>
      </c>
      <c r="M2082" s="59">
        <f t="shared" si="191"/>
        <v>0</v>
      </c>
      <c r="N2082" s="59">
        <f t="shared" si="189"/>
        <v>0</v>
      </c>
      <c r="O2082" s="59">
        <f t="shared" si="192"/>
        <v>0</v>
      </c>
      <c r="P2082" s="59">
        <f t="shared" si="190"/>
        <v>0</v>
      </c>
    </row>
    <row r="2083" spans="12:16" ht="15" hidden="1" customHeight="1">
      <c r="L2083" s="58" t="str">
        <f t="shared" si="193"/>
        <v>-</v>
      </c>
      <c r="M2083" s="59">
        <f t="shared" si="191"/>
        <v>0</v>
      </c>
      <c r="N2083" s="59">
        <f t="shared" si="189"/>
        <v>0</v>
      </c>
      <c r="O2083" s="59">
        <f t="shared" si="192"/>
        <v>0</v>
      </c>
      <c r="P2083" s="59">
        <f t="shared" si="190"/>
        <v>0</v>
      </c>
    </row>
    <row r="2084" spans="12:16" ht="15" hidden="1" customHeight="1">
      <c r="L2084" s="58" t="str">
        <f t="shared" si="193"/>
        <v>-</v>
      </c>
      <c r="M2084" s="59">
        <f t="shared" si="191"/>
        <v>0</v>
      </c>
      <c r="N2084" s="59">
        <f t="shared" si="189"/>
        <v>0</v>
      </c>
      <c r="O2084" s="59">
        <f t="shared" si="192"/>
        <v>0</v>
      </c>
      <c r="P2084" s="59">
        <f t="shared" si="190"/>
        <v>0</v>
      </c>
    </row>
    <row r="2085" spans="12:16" ht="15" hidden="1" customHeight="1">
      <c r="L2085" s="58" t="str">
        <f t="shared" si="193"/>
        <v>-</v>
      </c>
      <c r="M2085" s="59">
        <f t="shared" si="191"/>
        <v>0</v>
      </c>
      <c r="N2085" s="59">
        <f t="shared" si="189"/>
        <v>0</v>
      </c>
      <c r="O2085" s="59">
        <f t="shared" si="192"/>
        <v>0</v>
      </c>
      <c r="P2085" s="59">
        <f t="shared" si="190"/>
        <v>0</v>
      </c>
    </row>
    <row r="2086" spans="12:16" ht="15" hidden="1" customHeight="1">
      <c r="L2086" s="58" t="str">
        <f t="shared" si="193"/>
        <v>-</v>
      </c>
      <c r="M2086" s="59">
        <f t="shared" si="191"/>
        <v>0</v>
      </c>
      <c r="N2086" s="59">
        <f t="shared" si="189"/>
        <v>0</v>
      </c>
      <c r="O2086" s="59">
        <f t="shared" si="192"/>
        <v>0</v>
      </c>
      <c r="P2086" s="59">
        <f t="shared" si="190"/>
        <v>0</v>
      </c>
    </row>
    <row r="2087" spans="12:16" ht="15" hidden="1" customHeight="1">
      <c r="L2087" s="58" t="str">
        <f t="shared" si="193"/>
        <v>-</v>
      </c>
      <c r="M2087" s="59">
        <f t="shared" si="191"/>
        <v>0</v>
      </c>
      <c r="N2087" s="59">
        <f t="shared" si="189"/>
        <v>0</v>
      </c>
      <c r="O2087" s="59">
        <f t="shared" si="192"/>
        <v>0</v>
      </c>
      <c r="P2087" s="59">
        <f t="shared" si="190"/>
        <v>0</v>
      </c>
    </row>
    <row r="2088" spans="12:16" ht="15" hidden="1" customHeight="1">
      <c r="L2088" s="58" t="str">
        <f t="shared" si="193"/>
        <v>-</v>
      </c>
      <c r="M2088" s="59">
        <f t="shared" si="191"/>
        <v>0</v>
      </c>
      <c r="N2088" s="59">
        <f t="shared" si="189"/>
        <v>0</v>
      </c>
      <c r="O2088" s="59">
        <f t="shared" si="192"/>
        <v>0</v>
      </c>
      <c r="P2088" s="59">
        <f t="shared" si="190"/>
        <v>0</v>
      </c>
    </row>
    <row r="2089" spans="12:16" ht="15" hidden="1" customHeight="1">
      <c r="L2089" s="58" t="str">
        <f t="shared" si="193"/>
        <v>-</v>
      </c>
      <c r="M2089" s="59">
        <f t="shared" si="191"/>
        <v>0</v>
      </c>
      <c r="N2089" s="59">
        <f t="shared" si="189"/>
        <v>0</v>
      </c>
      <c r="O2089" s="59">
        <f t="shared" si="192"/>
        <v>0</v>
      </c>
      <c r="P2089" s="59">
        <f t="shared" si="190"/>
        <v>0</v>
      </c>
    </row>
    <row r="2090" spans="12:16" ht="15" hidden="1" customHeight="1">
      <c r="L2090" s="58" t="str">
        <f t="shared" si="193"/>
        <v>-</v>
      </c>
      <c r="M2090" s="59">
        <f t="shared" si="191"/>
        <v>0</v>
      </c>
      <c r="N2090" s="59">
        <f t="shared" si="189"/>
        <v>0</v>
      </c>
      <c r="O2090" s="59">
        <f t="shared" si="192"/>
        <v>0</v>
      </c>
      <c r="P2090" s="59">
        <f t="shared" si="190"/>
        <v>0</v>
      </c>
    </row>
    <row r="2091" spans="12:16" ht="15" hidden="1" customHeight="1">
      <c r="L2091" s="58" t="str">
        <f t="shared" si="193"/>
        <v>-</v>
      </c>
      <c r="M2091" s="59">
        <f t="shared" si="191"/>
        <v>0</v>
      </c>
      <c r="N2091" s="59">
        <f t="shared" si="189"/>
        <v>0</v>
      </c>
      <c r="O2091" s="59">
        <f t="shared" si="192"/>
        <v>0</v>
      </c>
      <c r="P2091" s="59">
        <f t="shared" si="190"/>
        <v>0</v>
      </c>
    </row>
    <row r="2092" spans="12:16" ht="15" hidden="1" customHeight="1">
      <c r="L2092" s="58" t="str">
        <f t="shared" si="193"/>
        <v>-</v>
      </c>
      <c r="M2092" s="59">
        <f t="shared" si="191"/>
        <v>0</v>
      </c>
      <c r="N2092" s="59">
        <f t="shared" si="189"/>
        <v>0</v>
      </c>
      <c r="O2092" s="59">
        <f t="shared" si="192"/>
        <v>0</v>
      </c>
      <c r="P2092" s="59">
        <f t="shared" si="190"/>
        <v>0</v>
      </c>
    </row>
    <row r="2093" spans="12:16" ht="15" hidden="1" customHeight="1">
      <c r="L2093" s="58" t="str">
        <f t="shared" si="193"/>
        <v>-</v>
      </c>
      <c r="M2093" s="59">
        <f t="shared" si="191"/>
        <v>0</v>
      </c>
      <c r="N2093" s="59">
        <f t="shared" si="189"/>
        <v>0</v>
      </c>
      <c r="O2093" s="59">
        <f t="shared" si="192"/>
        <v>0</v>
      </c>
      <c r="P2093" s="59">
        <f t="shared" si="190"/>
        <v>0</v>
      </c>
    </row>
    <row r="2094" spans="12:16" ht="15" hidden="1" customHeight="1">
      <c r="L2094" s="58" t="str">
        <f t="shared" si="193"/>
        <v>-</v>
      </c>
      <c r="M2094" s="59">
        <f t="shared" si="191"/>
        <v>0</v>
      </c>
      <c r="N2094" s="59">
        <f t="shared" si="189"/>
        <v>0</v>
      </c>
      <c r="O2094" s="59">
        <f t="shared" si="192"/>
        <v>0</v>
      </c>
      <c r="P2094" s="59">
        <f t="shared" si="190"/>
        <v>0</v>
      </c>
    </row>
    <row r="2095" spans="12:16" ht="15" hidden="1" customHeight="1">
      <c r="L2095" s="58" t="str">
        <f t="shared" si="193"/>
        <v>-</v>
      </c>
      <c r="M2095" s="59">
        <f t="shared" si="191"/>
        <v>0</v>
      </c>
      <c r="N2095" s="59">
        <f t="shared" si="189"/>
        <v>0</v>
      </c>
      <c r="O2095" s="59">
        <f t="shared" si="192"/>
        <v>0</v>
      </c>
      <c r="P2095" s="59">
        <f t="shared" si="190"/>
        <v>0</v>
      </c>
    </row>
    <row r="2096" spans="12:16" ht="15" hidden="1" customHeight="1">
      <c r="L2096" s="58" t="str">
        <f t="shared" si="193"/>
        <v>-</v>
      </c>
      <c r="M2096" s="59">
        <f t="shared" si="191"/>
        <v>0</v>
      </c>
      <c r="N2096" s="59">
        <f t="shared" ref="N2096:N2159" si="194">IF(ISNUMBER(N2095),N2095-M2096,$E$8)</f>
        <v>0</v>
      </c>
      <c r="O2096" s="59">
        <f t="shared" si="192"/>
        <v>0</v>
      </c>
      <c r="P2096" s="59">
        <f t="shared" ref="P2096:P2159" si="195">IFERROR(IF(ISNUMBER(N2095),N2095,$E$8)*3%/IF(MOD(YEAR(L2096),4),365,366)*IF(ISBLANK(L2095),(L2096-$F$5),L2096-L2095),0)</f>
        <v>0</v>
      </c>
    </row>
    <row r="2097" spans="12:16" ht="15" hidden="1" customHeight="1">
      <c r="L2097" s="58" t="str">
        <f t="shared" si="193"/>
        <v>-</v>
      </c>
      <c r="M2097" s="59">
        <f t="shared" si="191"/>
        <v>0</v>
      </c>
      <c r="N2097" s="59">
        <f t="shared" si="194"/>
        <v>0</v>
      </c>
      <c r="O2097" s="59">
        <f t="shared" si="192"/>
        <v>0</v>
      </c>
      <c r="P2097" s="59">
        <f t="shared" si="195"/>
        <v>0</v>
      </c>
    </row>
    <row r="2098" spans="12:16" ht="15" hidden="1" customHeight="1">
      <c r="L2098" s="58" t="str">
        <f t="shared" si="193"/>
        <v>-</v>
      </c>
      <c r="M2098" s="59">
        <f t="shared" si="191"/>
        <v>0</v>
      </c>
      <c r="N2098" s="59">
        <f t="shared" si="194"/>
        <v>0</v>
      </c>
      <c r="O2098" s="59">
        <f t="shared" si="192"/>
        <v>0</v>
      </c>
      <c r="P2098" s="59">
        <f t="shared" si="195"/>
        <v>0</v>
      </c>
    </row>
    <row r="2099" spans="12:16" ht="15" hidden="1" customHeight="1">
      <c r="L2099" s="58" t="str">
        <f t="shared" si="193"/>
        <v>-</v>
      </c>
      <c r="M2099" s="59">
        <f t="shared" si="191"/>
        <v>0</v>
      </c>
      <c r="N2099" s="59">
        <f t="shared" si="194"/>
        <v>0</v>
      </c>
      <c r="O2099" s="59">
        <f t="shared" si="192"/>
        <v>0</v>
      </c>
      <c r="P2099" s="59">
        <f t="shared" si="195"/>
        <v>0</v>
      </c>
    </row>
    <row r="2100" spans="12:16" ht="15" hidden="1" customHeight="1">
      <c r="L2100" s="58" t="str">
        <f t="shared" si="193"/>
        <v>-</v>
      </c>
      <c r="M2100" s="59">
        <f t="shared" si="191"/>
        <v>0</v>
      </c>
      <c r="N2100" s="59">
        <f t="shared" si="194"/>
        <v>0</v>
      </c>
      <c r="O2100" s="59">
        <f t="shared" si="192"/>
        <v>0</v>
      </c>
      <c r="P2100" s="59">
        <f t="shared" si="195"/>
        <v>0</v>
      </c>
    </row>
    <row r="2101" spans="12:16" ht="15" hidden="1" customHeight="1">
      <c r="L2101" s="58" t="str">
        <f t="shared" si="193"/>
        <v>-</v>
      </c>
      <c r="M2101" s="59">
        <f t="shared" si="191"/>
        <v>0</v>
      </c>
      <c r="N2101" s="59">
        <f t="shared" si="194"/>
        <v>0</v>
      </c>
      <c r="O2101" s="59">
        <f t="shared" si="192"/>
        <v>0</v>
      </c>
      <c r="P2101" s="59">
        <f t="shared" si="195"/>
        <v>0</v>
      </c>
    </row>
    <row r="2102" spans="12:16" ht="15" hidden="1" customHeight="1">
      <c r="L2102" s="58" t="str">
        <f t="shared" si="193"/>
        <v>-</v>
      </c>
      <c r="M2102" s="59">
        <f t="shared" si="191"/>
        <v>0</v>
      </c>
      <c r="N2102" s="59">
        <f t="shared" si="194"/>
        <v>0</v>
      </c>
      <c r="O2102" s="59">
        <f t="shared" si="192"/>
        <v>0</v>
      </c>
      <c r="P2102" s="59">
        <f t="shared" si="195"/>
        <v>0</v>
      </c>
    </row>
    <row r="2103" spans="12:16" ht="15" hidden="1" customHeight="1">
      <c r="L2103" s="58" t="str">
        <f t="shared" si="193"/>
        <v>-</v>
      </c>
      <c r="M2103" s="59">
        <f t="shared" si="191"/>
        <v>0</v>
      </c>
      <c r="N2103" s="59">
        <f t="shared" si="194"/>
        <v>0</v>
      </c>
      <c r="O2103" s="59">
        <f t="shared" si="192"/>
        <v>0</v>
      </c>
      <c r="P2103" s="59">
        <f t="shared" si="195"/>
        <v>0</v>
      </c>
    </row>
    <row r="2104" spans="12:16" ht="15" hidden="1" customHeight="1">
      <c r="L2104" s="58" t="str">
        <f t="shared" si="193"/>
        <v>-</v>
      </c>
      <c r="M2104" s="59">
        <f t="shared" si="191"/>
        <v>0</v>
      </c>
      <c r="N2104" s="59">
        <f t="shared" si="194"/>
        <v>0</v>
      </c>
      <c r="O2104" s="59">
        <f t="shared" si="192"/>
        <v>0</v>
      </c>
      <c r="P2104" s="59">
        <f t="shared" si="195"/>
        <v>0</v>
      </c>
    </row>
    <row r="2105" spans="12:16" ht="15" hidden="1" customHeight="1">
      <c r="L2105" s="58" t="str">
        <f t="shared" si="193"/>
        <v>-</v>
      </c>
      <c r="M2105" s="59">
        <f t="shared" si="191"/>
        <v>0</v>
      </c>
      <c r="N2105" s="59">
        <f t="shared" si="194"/>
        <v>0</v>
      </c>
      <c r="O2105" s="59">
        <f t="shared" si="192"/>
        <v>0</v>
      </c>
      <c r="P2105" s="59">
        <f t="shared" si="195"/>
        <v>0</v>
      </c>
    </row>
    <row r="2106" spans="12:16" ht="15" hidden="1" customHeight="1">
      <c r="L2106" s="58" t="str">
        <f t="shared" si="193"/>
        <v>-</v>
      </c>
      <c r="M2106" s="59">
        <f t="shared" si="191"/>
        <v>0</v>
      </c>
      <c r="N2106" s="59">
        <f t="shared" si="194"/>
        <v>0</v>
      </c>
      <c r="O2106" s="59">
        <f t="shared" si="192"/>
        <v>0</v>
      </c>
      <c r="P2106" s="59">
        <f t="shared" si="195"/>
        <v>0</v>
      </c>
    </row>
    <row r="2107" spans="12:16" ht="15" hidden="1" customHeight="1">
      <c r="L2107" s="58" t="str">
        <f t="shared" si="193"/>
        <v>-</v>
      </c>
      <c r="M2107" s="59">
        <f t="shared" si="191"/>
        <v>0</v>
      </c>
      <c r="N2107" s="59">
        <f t="shared" si="194"/>
        <v>0</v>
      </c>
      <c r="O2107" s="59">
        <f t="shared" si="192"/>
        <v>0</v>
      </c>
      <c r="P2107" s="59">
        <f t="shared" si="195"/>
        <v>0</v>
      </c>
    </row>
    <row r="2108" spans="12:16" ht="15" hidden="1" customHeight="1">
      <c r="L2108" s="58" t="str">
        <f t="shared" si="193"/>
        <v>-</v>
      </c>
      <c r="M2108" s="59">
        <f t="shared" si="191"/>
        <v>0</v>
      </c>
      <c r="N2108" s="59">
        <f t="shared" si="194"/>
        <v>0</v>
      </c>
      <c r="O2108" s="59">
        <f t="shared" si="192"/>
        <v>0</v>
      </c>
      <c r="P2108" s="59">
        <f t="shared" si="195"/>
        <v>0</v>
      </c>
    </row>
    <row r="2109" spans="12:16" ht="15" hidden="1" customHeight="1">
      <c r="L2109" s="58" t="str">
        <f t="shared" si="193"/>
        <v>-</v>
      </c>
      <c r="M2109" s="59">
        <f t="shared" si="191"/>
        <v>0</v>
      </c>
      <c r="N2109" s="59">
        <f t="shared" si="194"/>
        <v>0</v>
      </c>
      <c r="O2109" s="59">
        <f t="shared" si="192"/>
        <v>0</v>
      </c>
      <c r="P2109" s="59">
        <f t="shared" si="195"/>
        <v>0</v>
      </c>
    </row>
    <row r="2110" spans="12:16" ht="15" hidden="1" customHeight="1">
      <c r="L2110" s="58" t="str">
        <f t="shared" si="193"/>
        <v>-</v>
      </c>
      <c r="M2110" s="59">
        <f t="shared" si="191"/>
        <v>0</v>
      </c>
      <c r="N2110" s="59">
        <f t="shared" si="194"/>
        <v>0</v>
      </c>
      <c r="O2110" s="59">
        <f t="shared" si="192"/>
        <v>0</v>
      </c>
      <c r="P2110" s="59">
        <f t="shared" si="195"/>
        <v>0</v>
      </c>
    </row>
    <row r="2111" spans="12:16" ht="15" hidden="1" customHeight="1">
      <c r="L2111" s="58" t="str">
        <f t="shared" si="193"/>
        <v>-</v>
      </c>
      <c r="M2111" s="59">
        <f t="shared" si="191"/>
        <v>0</v>
      </c>
      <c r="N2111" s="59">
        <f t="shared" si="194"/>
        <v>0</v>
      </c>
      <c r="O2111" s="59">
        <f t="shared" si="192"/>
        <v>0</v>
      </c>
      <c r="P2111" s="59">
        <f t="shared" si="195"/>
        <v>0</v>
      </c>
    </row>
    <row r="2112" spans="12:16" ht="15" hidden="1" customHeight="1">
      <c r="L2112" s="58" t="str">
        <f t="shared" si="193"/>
        <v>-</v>
      </c>
      <c r="M2112" s="59">
        <f t="shared" si="191"/>
        <v>0</v>
      </c>
      <c r="N2112" s="59">
        <f t="shared" si="194"/>
        <v>0</v>
      </c>
      <c r="O2112" s="59">
        <f t="shared" si="192"/>
        <v>0</v>
      </c>
      <c r="P2112" s="59">
        <f t="shared" si="195"/>
        <v>0</v>
      </c>
    </row>
    <row r="2113" spans="12:16" ht="15" hidden="1" customHeight="1">
      <c r="L2113" s="58" t="str">
        <f t="shared" si="193"/>
        <v>-</v>
      </c>
      <c r="M2113" s="59">
        <f t="shared" si="191"/>
        <v>0</v>
      </c>
      <c r="N2113" s="59">
        <f t="shared" si="194"/>
        <v>0</v>
      </c>
      <c r="O2113" s="59">
        <f t="shared" si="192"/>
        <v>0</v>
      </c>
      <c r="P2113" s="59">
        <f t="shared" si="195"/>
        <v>0</v>
      </c>
    </row>
    <row r="2114" spans="12:16" ht="15" hidden="1" customHeight="1">
      <c r="L2114" s="58" t="str">
        <f t="shared" si="193"/>
        <v>-</v>
      </c>
      <c r="M2114" s="59">
        <f t="shared" si="191"/>
        <v>0</v>
      </c>
      <c r="N2114" s="59">
        <f t="shared" si="194"/>
        <v>0</v>
      </c>
      <c r="O2114" s="59">
        <f t="shared" si="192"/>
        <v>0</v>
      </c>
      <c r="P2114" s="59">
        <f t="shared" si="195"/>
        <v>0</v>
      </c>
    </row>
    <row r="2115" spans="12:16" ht="15" hidden="1" customHeight="1">
      <c r="L2115" s="58" t="str">
        <f t="shared" si="193"/>
        <v>-</v>
      </c>
      <c r="M2115" s="59">
        <f t="shared" si="191"/>
        <v>0</v>
      </c>
      <c r="N2115" s="59">
        <f t="shared" si="194"/>
        <v>0</v>
      </c>
      <c r="O2115" s="59">
        <f t="shared" si="192"/>
        <v>0</v>
      </c>
      <c r="P2115" s="59">
        <f t="shared" si="195"/>
        <v>0</v>
      </c>
    </row>
    <row r="2116" spans="12:16" ht="15" hidden="1" customHeight="1">
      <c r="L2116" s="58" t="str">
        <f t="shared" si="193"/>
        <v>-</v>
      </c>
      <c r="M2116" s="59">
        <f t="shared" si="191"/>
        <v>0</v>
      </c>
      <c r="N2116" s="59">
        <f t="shared" si="194"/>
        <v>0</v>
      </c>
      <c r="O2116" s="59">
        <f t="shared" si="192"/>
        <v>0</v>
      </c>
      <c r="P2116" s="59">
        <f t="shared" si="195"/>
        <v>0</v>
      </c>
    </row>
    <row r="2117" spans="12:16" ht="15" hidden="1" customHeight="1">
      <c r="L2117" s="58" t="str">
        <f t="shared" si="193"/>
        <v>-</v>
      </c>
      <c r="M2117" s="59">
        <f t="shared" si="191"/>
        <v>0</v>
      </c>
      <c r="N2117" s="59">
        <f t="shared" si="194"/>
        <v>0</v>
      </c>
      <c r="O2117" s="59">
        <f t="shared" si="192"/>
        <v>0</v>
      </c>
      <c r="P2117" s="59">
        <f t="shared" si="195"/>
        <v>0</v>
      </c>
    </row>
    <row r="2118" spans="12:16" ht="15" hidden="1" customHeight="1">
      <c r="L2118" s="58" t="str">
        <f t="shared" si="193"/>
        <v>-</v>
      </c>
      <c r="M2118" s="59">
        <f t="shared" si="191"/>
        <v>0</v>
      </c>
      <c r="N2118" s="59">
        <f t="shared" si="194"/>
        <v>0</v>
      </c>
      <c r="O2118" s="59">
        <f t="shared" si="192"/>
        <v>0</v>
      </c>
      <c r="P2118" s="59">
        <f t="shared" si="195"/>
        <v>0</v>
      </c>
    </row>
    <row r="2119" spans="12:16" ht="15" hidden="1" customHeight="1">
      <c r="L2119" s="58" t="str">
        <f t="shared" si="193"/>
        <v>-</v>
      </c>
      <c r="M2119" s="59">
        <f t="shared" si="191"/>
        <v>0</v>
      </c>
      <c r="N2119" s="59">
        <f t="shared" si="194"/>
        <v>0</v>
      </c>
      <c r="O2119" s="59">
        <f t="shared" si="192"/>
        <v>0</v>
      </c>
      <c r="P2119" s="59">
        <f t="shared" si="195"/>
        <v>0</v>
      </c>
    </row>
    <row r="2120" spans="12:16" ht="15" hidden="1" customHeight="1">
      <c r="L2120" s="58" t="str">
        <f t="shared" si="193"/>
        <v>-</v>
      </c>
      <c r="M2120" s="59">
        <f t="shared" si="191"/>
        <v>0</v>
      </c>
      <c r="N2120" s="59">
        <f t="shared" si="194"/>
        <v>0</v>
      </c>
      <c r="O2120" s="59">
        <f t="shared" si="192"/>
        <v>0</v>
      </c>
      <c r="P2120" s="59">
        <f t="shared" si="195"/>
        <v>0</v>
      </c>
    </row>
    <row r="2121" spans="12:16" ht="15" hidden="1" customHeight="1">
      <c r="L2121" s="58" t="str">
        <f t="shared" si="193"/>
        <v>-</v>
      </c>
      <c r="M2121" s="59">
        <f t="shared" si="191"/>
        <v>0</v>
      </c>
      <c r="N2121" s="59">
        <f t="shared" si="194"/>
        <v>0</v>
      </c>
      <c r="O2121" s="59">
        <f t="shared" si="192"/>
        <v>0</v>
      </c>
      <c r="P2121" s="59">
        <f t="shared" si="195"/>
        <v>0</v>
      </c>
    </row>
    <row r="2122" spans="12:16" ht="15" hidden="1" customHeight="1">
      <c r="L2122" s="58" t="str">
        <f t="shared" si="193"/>
        <v>-</v>
      </c>
      <c r="M2122" s="59">
        <f t="shared" si="191"/>
        <v>0</v>
      </c>
      <c r="N2122" s="59">
        <f t="shared" si="194"/>
        <v>0</v>
      </c>
      <c r="O2122" s="59">
        <f t="shared" si="192"/>
        <v>0</v>
      </c>
      <c r="P2122" s="59">
        <f t="shared" si="195"/>
        <v>0</v>
      </c>
    </row>
    <row r="2123" spans="12:16" ht="15" hidden="1" customHeight="1">
      <c r="L2123" s="58" t="str">
        <f t="shared" si="193"/>
        <v>-</v>
      </c>
      <c r="M2123" s="59">
        <f t="shared" si="191"/>
        <v>0</v>
      </c>
      <c r="N2123" s="59">
        <f t="shared" si="194"/>
        <v>0</v>
      </c>
      <c r="O2123" s="59">
        <f t="shared" si="192"/>
        <v>0</v>
      </c>
      <c r="P2123" s="59">
        <f t="shared" si="195"/>
        <v>0</v>
      </c>
    </row>
    <row r="2124" spans="12:16" ht="15" hidden="1" customHeight="1">
      <c r="L2124" s="58" t="str">
        <f t="shared" si="193"/>
        <v>-</v>
      </c>
      <c r="M2124" s="59">
        <f t="shared" si="191"/>
        <v>0</v>
      </c>
      <c r="N2124" s="59">
        <f t="shared" si="194"/>
        <v>0</v>
      </c>
      <c r="O2124" s="59">
        <f t="shared" si="192"/>
        <v>0</v>
      </c>
      <c r="P2124" s="59">
        <f t="shared" si="195"/>
        <v>0</v>
      </c>
    </row>
    <row r="2125" spans="12:16" ht="15" hidden="1" customHeight="1">
      <c r="L2125" s="58" t="str">
        <f t="shared" si="193"/>
        <v>-</v>
      </c>
      <c r="M2125" s="59">
        <f t="shared" si="191"/>
        <v>0</v>
      </c>
      <c r="N2125" s="59">
        <f t="shared" si="194"/>
        <v>0</v>
      </c>
      <c r="O2125" s="59">
        <f t="shared" si="192"/>
        <v>0</v>
      </c>
      <c r="P2125" s="59">
        <f t="shared" si="195"/>
        <v>0</v>
      </c>
    </row>
    <row r="2126" spans="12:16" ht="15" hidden="1" customHeight="1">
      <c r="L2126" s="58" t="str">
        <f t="shared" si="193"/>
        <v>-</v>
      </c>
      <c r="M2126" s="59">
        <f t="shared" si="191"/>
        <v>0</v>
      </c>
      <c r="N2126" s="59">
        <f t="shared" si="194"/>
        <v>0</v>
      </c>
      <c r="O2126" s="59">
        <f t="shared" si="192"/>
        <v>0</v>
      </c>
      <c r="P2126" s="59">
        <f t="shared" si="195"/>
        <v>0</v>
      </c>
    </row>
    <row r="2127" spans="12:16" ht="15" hidden="1" customHeight="1">
      <c r="L2127" s="58" t="str">
        <f t="shared" si="193"/>
        <v>-</v>
      </c>
      <c r="M2127" s="59">
        <f t="shared" si="191"/>
        <v>0</v>
      </c>
      <c r="N2127" s="59">
        <f t="shared" si="194"/>
        <v>0</v>
      </c>
      <c r="O2127" s="59">
        <f t="shared" si="192"/>
        <v>0</v>
      </c>
      <c r="P2127" s="59">
        <f t="shared" si="195"/>
        <v>0</v>
      </c>
    </row>
    <row r="2128" spans="12:16" ht="15" hidden="1" customHeight="1">
      <c r="L2128" s="58" t="str">
        <f t="shared" si="193"/>
        <v>-</v>
      </c>
      <c r="M2128" s="59">
        <f t="shared" si="191"/>
        <v>0</v>
      </c>
      <c r="N2128" s="59">
        <f t="shared" si="194"/>
        <v>0</v>
      </c>
      <c r="O2128" s="59">
        <f t="shared" si="192"/>
        <v>0</v>
      </c>
      <c r="P2128" s="59">
        <f t="shared" si="195"/>
        <v>0</v>
      </c>
    </row>
    <row r="2129" spans="12:16" ht="15" hidden="1" customHeight="1">
      <c r="L2129" s="58" t="str">
        <f t="shared" si="193"/>
        <v>-</v>
      </c>
      <c r="M2129" s="59">
        <f t="shared" si="191"/>
        <v>0</v>
      </c>
      <c r="N2129" s="59">
        <f t="shared" si="194"/>
        <v>0</v>
      </c>
      <c r="O2129" s="59">
        <f t="shared" si="192"/>
        <v>0</v>
      </c>
      <c r="P2129" s="59">
        <f t="shared" si="195"/>
        <v>0</v>
      </c>
    </row>
    <row r="2130" spans="12:16" ht="15" hidden="1" customHeight="1">
      <c r="L2130" s="58" t="str">
        <f t="shared" si="193"/>
        <v>-</v>
      </c>
      <c r="M2130" s="59">
        <f t="shared" si="191"/>
        <v>0</v>
      </c>
      <c r="N2130" s="59">
        <f t="shared" si="194"/>
        <v>0</v>
      </c>
      <c r="O2130" s="59">
        <f t="shared" si="192"/>
        <v>0</v>
      </c>
      <c r="P2130" s="59">
        <f t="shared" si="195"/>
        <v>0</v>
      </c>
    </row>
    <row r="2131" spans="12:16" ht="15" hidden="1" customHeight="1">
      <c r="L2131" s="58" t="str">
        <f t="shared" si="193"/>
        <v>-</v>
      </c>
      <c r="M2131" s="59">
        <f t="shared" ref="M2131:M2194" si="196">IFERROR(VLOOKUP(L2131,$B$19:$E$80,4,FALSE),0)</f>
        <v>0</v>
      </c>
      <c r="N2131" s="59">
        <f t="shared" si="194"/>
        <v>0</v>
      </c>
      <c r="O2131" s="59">
        <f t="shared" ref="O2131:O2194" si="197">IFERROR(IF(ISNUMBER(N2130),N2130,$E$8)*IF(L2131&gt;=$J$8,$E$12,$E$12)/IF(MOD(YEAR(L2131),4),365,366)*IF(ISBLANK(L2130),L2131-$F$5,L2131-L2130),0)</f>
        <v>0</v>
      </c>
      <c r="P2131" s="59">
        <f t="shared" si="195"/>
        <v>0</v>
      </c>
    </row>
    <row r="2132" spans="12:16" ht="15" hidden="1" customHeight="1">
      <c r="L2132" s="58" t="str">
        <f t="shared" si="193"/>
        <v>-</v>
      </c>
      <c r="M2132" s="59">
        <f t="shared" si="196"/>
        <v>0</v>
      </c>
      <c r="N2132" s="59">
        <f t="shared" si="194"/>
        <v>0</v>
      </c>
      <c r="O2132" s="59">
        <f t="shared" si="197"/>
        <v>0</v>
      </c>
      <c r="P2132" s="59">
        <f t="shared" si="195"/>
        <v>0</v>
      </c>
    </row>
    <row r="2133" spans="12:16" ht="15" hidden="1" customHeight="1">
      <c r="L2133" s="58" t="str">
        <f t="shared" si="193"/>
        <v>-</v>
      </c>
      <c r="M2133" s="59">
        <f t="shared" si="196"/>
        <v>0</v>
      </c>
      <c r="N2133" s="59">
        <f t="shared" si="194"/>
        <v>0</v>
      </c>
      <c r="O2133" s="59">
        <f t="shared" si="197"/>
        <v>0</v>
      </c>
      <c r="P2133" s="59">
        <f t="shared" si="195"/>
        <v>0</v>
      </c>
    </row>
    <row r="2134" spans="12:16" ht="15" hidden="1" customHeight="1">
      <c r="L2134" s="58" t="str">
        <f t="shared" si="193"/>
        <v>-</v>
      </c>
      <c r="M2134" s="59">
        <f t="shared" si="196"/>
        <v>0</v>
      </c>
      <c r="N2134" s="59">
        <f t="shared" si="194"/>
        <v>0</v>
      </c>
      <c r="O2134" s="59">
        <f t="shared" si="197"/>
        <v>0</v>
      </c>
      <c r="P2134" s="59">
        <f t="shared" si="195"/>
        <v>0</v>
      </c>
    </row>
    <row r="2135" spans="12:16" ht="15" hidden="1" customHeight="1">
      <c r="L2135" s="58" t="str">
        <f t="shared" si="193"/>
        <v>-</v>
      </c>
      <c r="M2135" s="59">
        <f t="shared" si="196"/>
        <v>0</v>
      </c>
      <c r="N2135" s="59">
        <f t="shared" si="194"/>
        <v>0</v>
      </c>
      <c r="O2135" s="59">
        <f t="shared" si="197"/>
        <v>0</v>
      </c>
      <c r="P2135" s="59">
        <f t="shared" si="195"/>
        <v>0</v>
      </c>
    </row>
    <row r="2136" spans="12:16" ht="15" hidden="1" customHeight="1">
      <c r="L2136" s="58" t="str">
        <f t="shared" si="193"/>
        <v>-</v>
      </c>
      <c r="M2136" s="59">
        <f t="shared" si="196"/>
        <v>0</v>
      </c>
      <c r="N2136" s="59">
        <f t="shared" si="194"/>
        <v>0</v>
      </c>
      <c r="O2136" s="59">
        <f t="shared" si="197"/>
        <v>0</v>
      </c>
      <c r="P2136" s="59">
        <f t="shared" si="195"/>
        <v>0</v>
      </c>
    </row>
    <row r="2137" spans="12:16" ht="15" hidden="1" customHeight="1">
      <c r="L2137" s="58" t="str">
        <f t="shared" si="193"/>
        <v>-</v>
      </c>
      <c r="M2137" s="59">
        <f t="shared" si="196"/>
        <v>0</v>
      </c>
      <c r="N2137" s="59">
        <f t="shared" si="194"/>
        <v>0</v>
      </c>
      <c r="O2137" s="59">
        <f t="shared" si="197"/>
        <v>0</v>
      </c>
      <c r="P2137" s="59">
        <f t="shared" si="195"/>
        <v>0</v>
      </c>
    </row>
    <row r="2138" spans="12:16" ht="15" hidden="1" customHeight="1">
      <c r="L2138" s="58" t="str">
        <f t="shared" si="193"/>
        <v>-</v>
      </c>
      <c r="M2138" s="59">
        <f t="shared" si="196"/>
        <v>0</v>
      </c>
      <c r="N2138" s="59">
        <f t="shared" si="194"/>
        <v>0</v>
      </c>
      <c r="O2138" s="59">
        <f t="shared" si="197"/>
        <v>0</v>
      </c>
      <c r="P2138" s="59">
        <f t="shared" si="195"/>
        <v>0</v>
      </c>
    </row>
    <row r="2139" spans="12:16" ht="15" hidden="1" customHeight="1">
      <c r="L2139" s="58" t="str">
        <f t="shared" si="193"/>
        <v>-</v>
      </c>
      <c r="M2139" s="59">
        <f t="shared" si="196"/>
        <v>0</v>
      </c>
      <c r="N2139" s="59">
        <f t="shared" si="194"/>
        <v>0</v>
      </c>
      <c r="O2139" s="59">
        <f t="shared" si="197"/>
        <v>0</v>
      </c>
      <c r="P2139" s="59">
        <f t="shared" si="195"/>
        <v>0</v>
      </c>
    </row>
    <row r="2140" spans="12:16" ht="15" hidden="1" customHeight="1">
      <c r="L2140" s="58" t="str">
        <f t="shared" si="193"/>
        <v>-</v>
      </c>
      <c r="M2140" s="59">
        <f t="shared" si="196"/>
        <v>0</v>
      </c>
      <c r="N2140" s="59">
        <f t="shared" si="194"/>
        <v>0</v>
      </c>
      <c r="O2140" s="59">
        <f t="shared" si="197"/>
        <v>0</v>
      </c>
      <c r="P2140" s="59">
        <f t="shared" si="195"/>
        <v>0</v>
      </c>
    </row>
    <row r="2141" spans="12:16" ht="15" hidden="1" customHeight="1">
      <c r="L2141" s="58" t="str">
        <f t="shared" si="193"/>
        <v>-</v>
      </c>
      <c r="M2141" s="59">
        <f t="shared" si="196"/>
        <v>0</v>
      </c>
      <c r="N2141" s="59">
        <f t="shared" si="194"/>
        <v>0</v>
      </c>
      <c r="O2141" s="59">
        <f t="shared" si="197"/>
        <v>0</v>
      </c>
      <c r="P2141" s="59">
        <f t="shared" si="195"/>
        <v>0</v>
      </c>
    </row>
    <row r="2142" spans="12:16" ht="15" hidden="1" customHeight="1">
      <c r="L2142" s="58" t="str">
        <f t="shared" si="193"/>
        <v>-</v>
      </c>
      <c r="M2142" s="59">
        <f t="shared" si="196"/>
        <v>0</v>
      </c>
      <c r="N2142" s="59">
        <f t="shared" si="194"/>
        <v>0</v>
      </c>
      <c r="O2142" s="59">
        <f t="shared" si="197"/>
        <v>0</v>
      </c>
      <c r="P2142" s="59">
        <f t="shared" si="195"/>
        <v>0</v>
      </c>
    </row>
    <row r="2143" spans="12:16" ht="15" hidden="1" customHeight="1">
      <c r="L2143" s="58" t="str">
        <f t="shared" si="193"/>
        <v>-</v>
      </c>
      <c r="M2143" s="59">
        <f t="shared" si="196"/>
        <v>0</v>
      </c>
      <c r="N2143" s="59">
        <f t="shared" si="194"/>
        <v>0</v>
      </c>
      <c r="O2143" s="59">
        <f t="shared" si="197"/>
        <v>0</v>
      </c>
      <c r="P2143" s="59">
        <f t="shared" si="195"/>
        <v>0</v>
      </c>
    </row>
    <row r="2144" spans="12:16" ht="15" hidden="1" customHeight="1">
      <c r="L2144" s="58" t="str">
        <f t="shared" si="193"/>
        <v>-</v>
      </c>
      <c r="M2144" s="59">
        <f t="shared" si="196"/>
        <v>0</v>
      </c>
      <c r="N2144" s="59">
        <f t="shared" si="194"/>
        <v>0</v>
      </c>
      <c r="O2144" s="59">
        <f t="shared" si="197"/>
        <v>0</v>
      </c>
      <c r="P2144" s="59">
        <f t="shared" si="195"/>
        <v>0</v>
      </c>
    </row>
    <row r="2145" spans="12:16" ht="15" hidden="1" customHeight="1">
      <c r="L2145" s="58" t="str">
        <f t="shared" si="193"/>
        <v>-</v>
      </c>
      <c r="M2145" s="59">
        <f t="shared" si="196"/>
        <v>0</v>
      </c>
      <c r="N2145" s="59">
        <f t="shared" si="194"/>
        <v>0</v>
      </c>
      <c r="O2145" s="59">
        <f t="shared" si="197"/>
        <v>0</v>
      </c>
      <c r="P2145" s="59">
        <f t="shared" si="195"/>
        <v>0</v>
      </c>
    </row>
    <row r="2146" spans="12:16" ht="15" hidden="1" customHeight="1">
      <c r="L2146" s="58" t="str">
        <f t="shared" ref="L2146:L2209" si="198">IFERROR(IF(MAX(L2145+1,$F$5+1)&gt;Дата_погашения_Займа,"-",MAX(L2145+1,$F$5+1)),"-")</f>
        <v>-</v>
      </c>
      <c r="M2146" s="59">
        <f t="shared" si="196"/>
        <v>0</v>
      </c>
      <c r="N2146" s="59">
        <f t="shared" si="194"/>
        <v>0</v>
      </c>
      <c r="O2146" s="59">
        <f t="shared" si="197"/>
        <v>0</v>
      </c>
      <c r="P2146" s="59">
        <f t="shared" si="195"/>
        <v>0</v>
      </c>
    </row>
    <row r="2147" spans="12:16" ht="15" hidden="1" customHeight="1">
      <c r="L2147" s="58" t="str">
        <f t="shared" si="198"/>
        <v>-</v>
      </c>
      <c r="M2147" s="59">
        <f t="shared" si="196"/>
        <v>0</v>
      </c>
      <c r="N2147" s="59">
        <f t="shared" si="194"/>
        <v>0</v>
      </c>
      <c r="O2147" s="59">
        <f t="shared" si="197"/>
        <v>0</v>
      </c>
      <c r="P2147" s="59">
        <f t="shared" si="195"/>
        <v>0</v>
      </c>
    </row>
    <row r="2148" spans="12:16" ht="15" hidden="1" customHeight="1">
      <c r="L2148" s="58" t="str">
        <f t="shared" si="198"/>
        <v>-</v>
      </c>
      <c r="M2148" s="59">
        <f t="shared" si="196"/>
        <v>0</v>
      </c>
      <c r="N2148" s="59">
        <f t="shared" si="194"/>
        <v>0</v>
      </c>
      <c r="O2148" s="59">
        <f t="shared" si="197"/>
        <v>0</v>
      </c>
      <c r="P2148" s="59">
        <f t="shared" si="195"/>
        <v>0</v>
      </c>
    </row>
    <row r="2149" spans="12:16" ht="15" hidden="1" customHeight="1">
      <c r="L2149" s="58" t="str">
        <f t="shared" si="198"/>
        <v>-</v>
      </c>
      <c r="M2149" s="59">
        <f t="shared" si="196"/>
        <v>0</v>
      </c>
      <c r="N2149" s="59">
        <f t="shared" si="194"/>
        <v>0</v>
      </c>
      <c r="O2149" s="59">
        <f t="shared" si="197"/>
        <v>0</v>
      </c>
      <c r="P2149" s="59">
        <f t="shared" si="195"/>
        <v>0</v>
      </c>
    </row>
    <row r="2150" spans="12:16" ht="15" hidden="1" customHeight="1">
      <c r="L2150" s="58" t="str">
        <f t="shared" si="198"/>
        <v>-</v>
      </c>
      <c r="M2150" s="59">
        <f t="shared" si="196"/>
        <v>0</v>
      </c>
      <c r="N2150" s="59">
        <f t="shared" si="194"/>
        <v>0</v>
      </c>
      <c r="O2150" s="59">
        <f t="shared" si="197"/>
        <v>0</v>
      </c>
      <c r="P2150" s="59">
        <f t="shared" si="195"/>
        <v>0</v>
      </c>
    </row>
    <row r="2151" spans="12:16" ht="15" hidden="1" customHeight="1">
      <c r="L2151" s="58" t="str">
        <f t="shared" si="198"/>
        <v>-</v>
      </c>
      <c r="M2151" s="59">
        <f t="shared" si="196"/>
        <v>0</v>
      </c>
      <c r="N2151" s="59">
        <f t="shared" si="194"/>
        <v>0</v>
      </c>
      <c r="O2151" s="59">
        <f t="shared" si="197"/>
        <v>0</v>
      </c>
      <c r="P2151" s="59">
        <f t="shared" si="195"/>
        <v>0</v>
      </c>
    </row>
    <row r="2152" spans="12:16" ht="15" hidden="1" customHeight="1">
      <c r="L2152" s="58" t="str">
        <f t="shared" si="198"/>
        <v>-</v>
      </c>
      <c r="M2152" s="59">
        <f t="shared" si="196"/>
        <v>0</v>
      </c>
      <c r="N2152" s="59">
        <f t="shared" si="194"/>
        <v>0</v>
      </c>
      <c r="O2152" s="59">
        <f t="shared" si="197"/>
        <v>0</v>
      </c>
      <c r="P2152" s="59">
        <f t="shared" si="195"/>
        <v>0</v>
      </c>
    </row>
    <row r="2153" spans="12:16" ht="15" hidden="1" customHeight="1">
      <c r="L2153" s="58" t="str">
        <f t="shared" si="198"/>
        <v>-</v>
      </c>
      <c r="M2153" s="59">
        <f t="shared" si="196"/>
        <v>0</v>
      </c>
      <c r="N2153" s="59">
        <f t="shared" si="194"/>
        <v>0</v>
      </c>
      <c r="O2153" s="59">
        <f t="shared" si="197"/>
        <v>0</v>
      </c>
      <c r="P2153" s="59">
        <f t="shared" si="195"/>
        <v>0</v>
      </c>
    </row>
    <row r="2154" spans="12:16" ht="15" hidden="1" customHeight="1">
      <c r="L2154" s="58" t="str">
        <f t="shared" si="198"/>
        <v>-</v>
      </c>
      <c r="M2154" s="59">
        <f t="shared" si="196"/>
        <v>0</v>
      </c>
      <c r="N2154" s="59">
        <f t="shared" si="194"/>
        <v>0</v>
      </c>
      <c r="O2154" s="59">
        <f t="shared" si="197"/>
        <v>0</v>
      </c>
      <c r="P2154" s="59">
        <f t="shared" si="195"/>
        <v>0</v>
      </c>
    </row>
    <row r="2155" spans="12:16" ht="15" hidden="1" customHeight="1">
      <c r="L2155" s="58" t="str">
        <f t="shared" si="198"/>
        <v>-</v>
      </c>
      <c r="M2155" s="59">
        <f t="shared" si="196"/>
        <v>0</v>
      </c>
      <c r="N2155" s="59">
        <f t="shared" si="194"/>
        <v>0</v>
      </c>
      <c r="O2155" s="59">
        <f t="shared" si="197"/>
        <v>0</v>
      </c>
      <c r="P2155" s="59">
        <f t="shared" si="195"/>
        <v>0</v>
      </c>
    </row>
    <row r="2156" spans="12:16" ht="15" hidden="1" customHeight="1">
      <c r="L2156" s="58" t="str">
        <f t="shared" si="198"/>
        <v>-</v>
      </c>
      <c r="M2156" s="59">
        <f t="shared" si="196"/>
        <v>0</v>
      </c>
      <c r="N2156" s="59">
        <f t="shared" si="194"/>
        <v>0</v>
      </c>
      <c r="O2156" s="59">
        <f t="shared" si="197"/>
        <v>0</v>
      </c>
      <c r="P2156" s="59">
        <f t="shared" si="195"/>
        <v>0</v>
      </c>
    </row>
    <row r="2157" spans="12:16" ht="15" hidden="1" customHeight="1">
      <c r="L2157" s="58" t="str">
        <f t="shared" si="198"/>
        <v>-</v>
      </c>
      <c r="M2157" s="59">
        <f t="shared" si="196"/>
        <v>0</v>
      </c>
      <c r="N2157" s="59">
        <f t="shared" si="194"/>
        <v>0</v>
      </c>
      <c r="O2157" s="59">
        <f t="shared" si="197"/>
        <v>0</v>
      </c>
      <c r="P2157" s="59">
        <f t="shared" si="195"/>
        <v>0</v>
      </c>
    </row>
    <row r="2158" spans="12:16" ht="15" hidden="1" customHeight="1">
      <c r="L2158" s="58" t="str">
        <f t="shared" si="198"/>
        <v>-</v>
      </c>
      <c r="M2158" s="59">
        <f t="shared" si="196"/>
        <v>0</v>
      </c>
      <c r="N2158" s="59">
        <f t="shared" si="194"/>
        <v>0</v>
      </c>
      <c r="O2158" s="59">
        <f t="shared" si="197"/>
        <v>0</v>
      </c>
      <c r="P2158" s="59">
        <f t="shared" si="195"/>
        <v>0</v>
      </c>
    </row>
    <row r="2159" spans="12:16" ht="15" hidden="1" customHeight="1">
      <c r="L2159" s="58" t="str">
        <f t="shared" si="198"/>
        <v>-</v>
      </c>
      <c r="M2159" s="59">
        <f t="shared" si="196"/>
        <v>0</v>
      </c>
      <c r="N2159" s="59">
        <f t="shared" si="194"/>
        <v>0</v>
      </c>
      <c r="O2159" s="59">
        <f t="shared" si="197"/>
        <v>0</v>
      </c>
      <c r="P2159" s="59">
        <f t="shared" si="195"/>
        <v>0</v>
      </c>
    </row>
    <row r="2160" spans="12:16" ht="15" hidden="1" customHeight="1">
      <c r="L2160" s="58" t="str">
        <f t="shared" si="198"/>
        <v>-</v>
      </c>
      <c r="M2160" s="59">
        <f t="shared" si="196"/>
        <v>0</v>
      </c>
      <c r="N2160" s="59">
        <f t="shared" ref="N2160:N2223" si="199">IF(ISNUMBER(N2159),N2159-M2160,$E$8)</f>
        <v>0</v>
      </c>
      <c r="O2160" s="59">
        <f t="shared" si="197"/>
        <v>0</v>
      </c>
      <c r="P2160" s="59">
        <f t="shared" ref="P2160:P2223" si="200">IFERROR(IF(ISNUMBER(N2159),N2159,$E$8)*3%/IF(MOD(YEAR(L2160),4),365,366)*IF(ISBLANK(L2159),(L2160-$F$5),L2160-L2159),0)</f>
        <v>0</v>
      </c>
    </row>
    <row r="2161" spans="12:16" ht="15" hidden="1" customHeight="1">
      <c r="L2161" s="58" t="str">
        <f t="shared" si="198"/>
        <v>-</v>
      </c>
      <c r="M2161" s="59">
        <f t="shared" si="196"/>
        <v>0</v>
      </c>
      <c r="N2161" s="59">
        <f t="shared" si="199"/>
        <v>0</v>
      </c>
      <c r="O2161" s="59">
        <f t="shared" si="197"/>
        <v>0</v>
      </c>
      <c r="P2161" s="59">
        <f t="shared" si="200"/>
        <v>0</v>
      </c>
    </row>
    <row r="2162" spans="12:16" ht="15" hidden="1" customHeight="1">
      <c r="L2162" s="58" t="str">
        <f t="shared" si="198"/>
        <v>-</v>
      </c>
      <c r="M2162" s="59">
        <f t="shared" si="196"/>
        <v>0</v>
      </c>
      <c r="N2162" s="59">
        <f t="shared" si="199"/>
        <v>0</v>
      </c>
      <c r="O2162" s="59">
        <f t="shared" si="197"/>
        <v>0</v>
      </c>
      <c r="P2162" s="59">
        <f t="shared" si="200"/>
        <v>0</v>
      </c>
    </row>
    <row r="2163" spans="12:16" ht="15" hidden="1" customHeight="1">
      <c r="L2163" s="58" t="str">
        <f t="shared" si="198"/>
        <v>-</v>
      </c>
      <c r="M2163" s="59">
        <f t="shared" si="196"/>
        <v>0</v>
      </c>
      <c r="N2163" s="59">
        <f t="shared" si="199"/>
        <v>0</v>
      </c>
      <c r="O2163" s="59">
        <f t="shared" si="197"/>
        <v>0</v>
      </c>
      <c r="P2163" s="59">
        <f t="shared" si="200"/>
        <v>0</v>
      </c>
    </row>
    <row r="2164" spans="12:16" ht="15" hidden="1" customHeight="1">
      <c r="L2164" s="58" t="str">
        <f t="shared" si="198"/>
        <v>-</v>
      </c>
      <c r="M2164" s="59">
        <f t="shared" si="196"/>
        <v>0</v>
      </c>
      <c r="N2164" s="59">
        <f t="shared" si="199"/>
        <v>0</v>
      </c>
      <c r="O2164" s="59">
        <f t="shared" si="197"/>
        <v>0</v>
      </c>
      <c r="P2164" s="59">
        <f t="shared" si="200"/>
        <v>0</v>
      </c>
    </row>
    <row r="2165" spans="12:16" ht="15" hidden="1" customHeight="1">
      <c r="L2165" s="58" t="str">
        <f t="shared" si="198"/>
        <v>-</v>
      </c>
      <c r="M2165" s="59">
        <f t="shared" si="196"/>
        <v>0</v>
      </c>
      <c r="N2165" s="59">
        <f t="shared" si="199"/>
        <v>0</v>
      </c>
      <c r="O2165" s="59">
        <f t="shared" si="197"/>
        <v>0</v>
      </c>
      <c r="P2165" s="59">
        <f t="shared" si="200"/>
        <v>0</v>
      </c>
    </row>
    <row r="2166" spans="12:16" ht="15" hidden="1" customHeight="1">
      <c r="L2166" s="58" t="str">
        <f t="shared" si="198"/>
        <v>-</v>
      </c>
      <c r="M2166" s="59">
        <f t="shared" si="196"/>
        <v>0</v>
      </c>
      <c r="N2166" s="59">
        <f t="shared" si="199"/>
        <v>0</v>
      </c>
      <c r="O2166" s="59">
        <f t="shared" si="197"/>
        <v>0</v>
      </c>
      <c r="P2166" s="59">
        <f t="shared" si="200"/>
        <v>0</v>
      </c>
    </row>
    <row r="2167" spans="12:16" ht="15" hidden="1" customHeight="1">
      <c r="L2167" s="58" t="str">
        <f t="shared" si="198"/>
        <v>-</v>
      </c>
      <c r="M2167" s="59">
        <f t="shared" si="196"/>
        <v>0</v>
      </c>
      <c r="N2167" s="59">
        <f t="shared" si="199"/>
        <v>0</v>
      </c>
      <c r="O2167" s="59">
        <f t="shared" si="197"/>
        <v>0</v>
      </c>
      <c r="P2167" s="59">
        <f t="shared" si="200"/>
        <v>0</v>
      </c>
    </row>
    <row r="2168" spans="12:16" ht="15" hidden="1" customHeight="1">
      <c r="L2168" s="58" t="str">
        <f t="shared" si="198"/>
        <v>-</v>
      </c>
      <c r="M2168" s="59">
        <f t="shared" si="196"/>
        <v>0</v>
      </c>
      <c r="N2168" s="59">
        <f t="shared" si="199"/>
        <v>0</v>
      </c>
      <c r="O2168" s="59">
        <f t="shared" si="197"/>
        <v>0</v>
      </c>
      <c r="P2168" s="59">
        <f t="shared" si="200"/>
        <v>0</v>
      </c>
    </row>
    <row r="2169" spans="12:16" ht="15" hidden="1" customHeight="1">
      <c r="L2169" s="58" t="str">
        <f t="shared" si="198"/>
        <v>-</v>
      </c>
      <c r="M2169" s="59">
        <f t="shared" si="196"/>
        <v>0</v>
      </c>
      <c r="N2169" s="59">
        <f t="shared" si="199"/>
        <v>0</v>
      </c>
      <c r="O2169" s="59">
        <f t="shared" si="197"/>
        <v>0</v>
      </c>
      <c r="P2169" s="59">
        <f t="shared" si="200"/>
        <v>0</v>
      </c>
    </row>
    <row r="2170" spans="12:16" ht="15" hidden="1" customHeight="1">
      <c r="L2170" s="58" t="str">
        <f t="shared" si="198"/>
        <v>-</v>
      </c>
      <c r="M2170" s="59">
        <f t="shared" si="196"/>
        <v>0</v>
      </c>
      <c r="N2170" s="59">
        <f t="shared" si="199"/>
        <v>0</v>
      </c>
      <c r="O2170" s="59">
        <f t="shared" si="197"/>
        <v>0</v>
      </c>
      <c r="P2170" s="59">
        <f t="shared" si="200"/>
        <v>0</v>
      </c>
    </row>
    <row r="2171" spans="12:16" ht="15" hidden="1" customHeight="1">
      <c r="L2171" s="58" t="str">
        <f t="shared" si="198"/>
        <v>-</v>
      </c>
      <c r="M2171" s="59">
        <f t="shared" si="196"/>
        <v>0</v>
      </c>
      <c r="N2171" s="59">
        <f t="shared" si="199"/>
        <v>0</v>
      </c>
      <c r="O2171" s="59">
        <f t="shared" si="197"/>
        <v>0</v>
      </c>
      <c r="P2171" s="59">
        <f t="shared" si="200"/>
        <v>0</v>
      </c>
    </row>
    <row r="2172" spans="12:16" ht="15" hidden="1" customHeight="1">
      <c r="L2172" s="58" t="str">
        <f t="shared" si="198"/>
        <v>-</v>
      </c>
      <c r="M2172" s="59">
        <f t="shared" si="196"/>
        <v>0</v>
      </c>
      <c r="N2172" s="59">
        <f t="shared" si="199"/>
        <v>0</v>
      </c>
      <c r="O2172" s="59">
        <f t="shared" si="197"/>
        <v>0</v>
      </c>
      <c r="P2172" s="59">
        <f t="shared" si="200"/>
        <v>0</v>
      </c>
    </row>
    <row r="2173" spans="12:16" ht="15" hidden="1" customHeight="1">
      <c r="L2173" s="58" t="str">
        <f t="shared" si="198"/>
        <v>-</v>
      </c>
      <c r="M2173" s="59">
        <f t="shared" si="196"/>
        <v>0</v>
      </c>
      <c r="N2173" s="59">
        <f t="shared" si="199"/>
        <v>0</v>
      </c>
      <c r="O2173" s="59">
        <f t="shared" si="197"/>
        <v>0</v>
      </c>
      <c r="P2173" s="59">
        <f t="shared" si="200"/>
        <v>0</v>
      </c>
    </row>
    <row r="2174" spans="12:16" ht="15" hidden="1" customHeight="1">
      <c r="L2174" s="58" t="str">
        <f t="shared" si="198"/>
        <v>-</v>
      </c>
      <c r="M2174" s="59">
        <f t="shared" si="196"/>
        <v>0</v>
      </c>
      <c r="N2174" s="59">
        <f t="shared" si="199"/>
        <v>0</v>
      </c>
      <c r="O2174" s="59">
        <f t="shared" si="197"/>
        <v>0</v>
      </c>
      <c r="P2174" s="59">
        <f t="shared" si="200"/>
        <v>0</v>
      </c>
    </row>
    <row r="2175" spans="12:16" ht="15" hidden="1" customHeight="1">
      <c r="L2175" s="58" t="str">
        <f t="shared" si="198"/>
        <v>-</v>
      </c>
      <c r="M2175" s="59">
        <f t="shared" si="196"/>
        <v>0</v>
      </c>
      <c r="N2175" s="59">
        <f t="shared" si="199"/>
        <v>0</v>
      </c>
      <c r="O2175" s="59">
        <f t="shared" si="197"/>
        <v>0</v>
      </c>
      <c r="P2175" s="59">
        <f t="shared" si="200"/>
        <v>0</v>
      </c>
    </row>
    <row r="2176" spans="12:16" ht="15" hidden="1" customHeight="1">
      <c r="L2176" s="58" t="str">
        <f t="shared" si="198"/>
        <v>-</v>
      </c>
      <c r="M2176" s="59">
        <f t="shared" si="196"/>
        <v>0</v>
      </c>
      <c r="N2176" s="59">
        <f t="shared" si="199"/>
        <v>0</v>
      </c>
      <c r="O2176" s="59">
        <f t="shared" si="197"/>
        <v>0</v>
      </c>
      <c r="P2176" s="59">
        <f t="shared" si="200"/>
        <v>0</v>
      </c>
    </row>
    <row r="2177" spans="12:16" ht="15" hidden="1" customHeight="1">
      <c r="L2177" s="58" t="str">
        <f t="shared" si="198"/>
        <v>-</v>
      </c>
      <c r="M2177" s="59">
        <f t="shared" si="196"/>
        <v>0</v>
      </c>
      <c r="N2177" s="59">
        <f t="shared" si="199"/>
        <v>0</v>
      </c>
      <c r="O2177" s="59">
        <f t="shared" si="197"/>
        <v>0</v>
      </c>
      <c r="P2177" s="59">
        <f t="shared" si="200"/>
        <v>0</v>
      </c>
    </row>
    <row r="2178" spans="12:16" ht="15" hidden="1" customHeight="1">
      <c r="L2178" s="58" t="str">
        <f t="shared" si="198"/>
        <v>-</v>
      </c>
      <c r="M2178" s="59">
        <f t="shared" si="196"/>
        <v>0</v>
      </c>
      <c r="N2178" s="59">
        <f t="shared" si="199"/>
        <v>0</v>
      </c>
      <c r="O2178" s="59">
        <f t="shared" si="197"/>
        <v>0</v>
      </c>
      <c r="P2178" s="59">
        <f t="shared" si="200"/>
        <v>0</v>
      </c>
    </row>
    <row r="2179" spans="12:16" ht="15" hidden="1" customHeight="1">
      <c r="L2179" s="58" t="str">
        <f t="shared" si="198"/>
        <v>-</v>
      </c>
      <c r="M2179" s="59">
        <f t="shared" si="196"/>
        <v>0</v>
      </c>
      <c r="N2179" s="59">
        <f t="shared" si="199"/>
        <v>0</v>
      </c>
      <c r="O2179" s="59">
        <f t="shared" si="197"/>
        <v>0</v>
      </c>
      <c r="P2179" s="59">
        <f t="shared" si="200"/>
        <v>0</v>
      </c>
    </row>
    <row r="2180" spans="12:16" ht="15" hidden="1" customHeight="1">
      <c r="L2180" s="58" t="str">
        <f t="shared" si="198"/>
        <v>-</v>
      </c>
      <c r="M2180" s="59">
        <f t="shared" si="196"/>
        <v>0</v>
      </c>
      <c r="N2180" s="59">
        <f t="shared" si="199"/>
        <v>0</v>
      </c>
      <c r="O2180" s="59">
        <f t="shared" si="197"/>
        <v>0</v>
      </c>
      <c r="P2180" s="59">
        <f t="shared" si="200"/>
        <v>0</v>
      </c>
    </row>
    <row r="2181" spans="12:16" ht="15" hidden="1" customHeight="1">
      <c r="L2181" s="58" t="str">
        <f t="shared" si="198"/>
        <v>-</v>
      </c>
      <c r="M2181" s="59">
        <f t="shared" si="196"/>
        <v>0</v>
      </c>
      <c r="N2181" s="59">
        <f t="shared" si="199"/>
        <v>0</v>
      </c>
      <c r="O2181" s="59">
        <f t="shared" si="197"/>
        <v>0</v>
      </c>
      <c r="P2181" s="59">
        <f t="shared" si="200"/>
        <v>0</v>
      </c>
    </row>
    <row r="2182" spans="12:16" ht="15" hidden="1" customHeight="1">
      <c r="L2182" s="58" t="str">
        <f t="shared" si="198"/>
        <v>-</v>
      </c>
      <c r="M2182" s="59">
        <f t="shared" si="196"/>
        <v>0</v>
      </c>
      <c r="N2182" s="59">
        <f t="shared" si="199"/>
        <v>0</v>
      </c>
      <c r="O2182" s="59">
        <f t="shared" si="197"/>
        <v>0</v>
      </c>
      <c r="P2182" s="59">
        <f t="shared" si="200"/>
        <v>0</v>
      </c>
    </row>
    <row r="2183" spans="12:16" ht="15" hidden="1" customHeight="1">
      <c r="L2183" s="58" t="str">
        <f t="shared" si="198"/>
        <v>-</v>
      </c>
      <c r="M2183" s="59">
        <f t="shared" si="196"/>
        <v>0</v>
      </c>
      <c r="N2183" s="59">
        <f t="shared" si="199"/>
        <v>0</v>
      </c>
      <c r="O2183" s="59">
        <f t="shared" si="197"/>
        <v>0</v>
      </c>
      <c r="P2183" s="59">
        <f t="shared" si="200"/>
        <v>0</v>
      </c>
    </row>
    <row r="2184" spans="12:16" ht="15" hidden="1" customHeight="1">
      <c r="L2184" s="58" t="str">
        <f t="shared" si="198"/>
        <v>-</v>
      </c>
      <c r="M2184" s="59">
        <f t="shared" si="196"/>
        <v>0</v>
      </c>
      <c r="N2184" s="59">
        <f t="shared" si="199"/>
        <v>0</v>
      </c>
      <c r="O2184" s="59">
        <f t="shared" si="197"/>
        <v>0</v>
      </c>
      <c r="P2184" s="59">
        <f t="shared" si="200"/>
        <v>0</v>
      </c>
    </row>
    <row r="2185" spans="12:16" ht="15" hidden="1" customHeight="1">
      <c r="L2185" s="58" t="str">
        <f t="shared" si="198"/>
        <v>-</v>
      </c>
      <c r="M2185" s="59">
        <f t="shared" si="196"/>
        <v>0</v>
      </c>
      <c r="N2185" s="59">
        <f t="shared" si="199"/>
        <v>0</v>
      </c>
      <c r="O2185" s="59">
        <f t="shared" si="197"/>
        <v>0</v>
      </c>
      <c r="P2185" s="59">
        <f t="shared" si="200"/>
        <v>0</v>
      </c>
    </row>
    <row r="2186" spans="12:16" ht="15" hidden="1" customHeight="1">
      <c r="L2186" s="58" t="str">
        <f t="shared" si="198"/>
        <v>-</v>
      </c>
      <c r="M2186" s="59">
        <f t="shared" si="196"/>
        <v>0</v>
      </c>
      <c r="N2186" s="59">
        <f t="shared" si="199"/>
        <v>0</v>
      </c>
      <c r="O2186" s="59">
        <f t="shared" si="197"/>
        <v>0</v>
      </c>
      <c r="P2186" s="59">
        <f t="shared" si="200"/>
        <v>0</v>
      </c>
    </row>
    <row r="2187" spans="12:16" ht="15" hidden="1" customHeight="1">
      <c r="L2187" s="58" t="str">
        <f t="shared" si="198"/>
        <v>-</v>
      </c>
      <c r="M2187" s="59">
        <f t="shared" si="196"/>
        <v>0</v>
      </c>
      <c r="N2187" s="59">
        <f t="shared" si="199"/>
        <v>0</v>
      </c>
      <c r="O2187" s="59">
        <f t="shared" si="197"/>
        <v>0</v>
      </c>
      <c r="P2187" s="59">
        <f t="shared" si="200"/>
        <v>0</v>
      </c>
    </row>
    <row r="2188" spans="12:16" ht="15" hidden="1" customHeight="1">
      <c r="L2188" s="58" t="str">
        <f t="shared" si="198"/>
        <v>-</v>
      </c>
      <c r="M2188" s="59">
        <f t="shared" si="196"/>
        <v>0</v>
      </c>
      <c r="N2188" s="59">
        <f t="shared" si="199"/>
        <v>0</v>
      </c>
      <c r="O2188" s="59">
        <f t="shared" si="197"/>
        <v>0</v>
      </c>
      <c r="P2188" s="59">
        <f t="shared" si="200"/>
        <v>0</v>
      </c>
    </row>
    <row r="2189" spans="12:16" ht="15" hidden="1" customHeight="1">
      <c r="L2189" s="58" t="str">
        <f t="shared" si="198"/>
        <v>-</v>
      </c>
      <c r="M2189" s="59">
        <f t="shared" si="196"/>
        <v>0</v>
      </c>
      <c r="N2189" s="59">
        <f t="shared" si="199"/>
        <v>0</v>
      </c>
      <c r="O2189" s="59">
        <f t="shared" si="197"/>
        <v>0</v>
      </c>
      <c r="P2189" s="59">
        <f t="shared" si="200"/>
        <v>0</v>
      </c>
    </row>
    <row r="2190" spans="12:16" ht="15" hidden="1" customHeight="1">
      <c r="L2190" s="58" t="str">
        <f t="shared" si="198"/>
        <v>-</v>
      </c>
      <c r="M2190" s="59">
        <f t="shared" si="196"/>
        <v>0</v>
      </c>
      <c r="N2190" s="59">
        <f t="shared" si="199"/>
        <v>0</v>
      </c>
      <c r="O2190" s="59">
        <f t="shared" si="197"/>
        <v>0</v>
      </c>
      <c r="P2190" s="59">
        <f t="shared" si="200"/>
        <v>0</v>
      </c>
    </row>
    <row r="2191" spans="12:16" ht="15" hidden="1" customHeight="1">
      <c r="L2191" s="58" t="str">
        <f t="shared" si="198"/>
        <v>-</v>
      </c>
      <c r="M2191" s="59">
        <f t="shared" si="196"/>
        <v>0</v>
      </c>
      <c r="N2191" s="59">
        <f t="shared" si="199"/>
        <v>0</v>
      </c>
      <c r="O2191" s="59">
        <f t="shared" si="197"/>
        <v>0</v>
      </c>
      <c r="P2191" s="59">
        <f t="shared" si="200"/>
        <v>0</v>
      </c>
    </row>
    <row r="2192" spans="12:16" ht="15" hidden="1" customHeight="1">
      <c r="L2192" s="58" t="str">
        <f t="shared" si="198"/>
        <v>-</v>
      </c>
      <c r="M2192" s="59">
        <f t="shared" si="196"/>
        <v>0</v>
      </c>
      <c r="N2192" s="59">
        <f t="shared" si="199"/>
        <v>0</v>
      </c>
      <c r="O2192" s="59">
        <f t="shared" si="197"/>
        <v>0</v>
      </c>
      <c r="P2192" s="59">
        <f t="shared" si="200"/>
        <v>0</v>
      </c>
    </row>
    <row r="2193" spans="12:16" ht="15" hidden="1" customHeight="1">
      <c r="L2193" s="58" t="str">
        <f t="shared" si="198"/>
        <v>-</v>
      </c>
      <c r="M2193" s="59">
        <f t="shared" si="196"/>
        <v>0</v>
      </c>
      <c r="N2193" s="59">
        <f t="shared" si="199"/>
        <v>0</v>
      </c>
      <c r="O2193" s="59">
        <f t="shared" si="197"/>
        <v>0</v>
      </c>
      <c r="P2193" s="59">
        <f t="shared" si="200"/>
        <v>0</v>
      </c>
    </row>
    <row r="2194" spans="12:16" ht="15" hidden="1" customHeight="1">
      <c r="L2194" s="58" t="str">
        <f t="shared" si="198"/>
        <v>-</v>
      </c>
      <c r="M2194" s="59">
        <f t="shared" si="196"/>
        <v>0</v>
      </c>
      <c r="N2194" s="59">
        <f t="shared" si="199"/>
        <v>0</v>
      </c>
      <c r="O2194" s="59">
        <f t="shared" si="197"/>
        <v>0</v>
      </c>
      <c r="P2194" s="59">
        <f t="shared" si="200"/>
        <v>0</v>
      </c>
    </row>
    <row r="2195" spans="12:16" ht="15" hidden="1" customHeight="1">
      <c r="L2195" s="58" t="str">
        <f t="shared" si="198"/>
        <v>-</v>
      </c>
      <c r="M2195" s="59">
        <f t="shared" ref="M2195:M2258" si="201">IFERROR(VLOOKUP(L2195,$B$19:$E$80,4,FALSE),0)</f>
        <v>0</v>
      </c>
      <c r="N2195" s="59">
        <f t="shared" si="199"/>
        <v>0</v>
      </c>
      <c r="O2195" s="59">
        <f t="shared" ref="O2195:O2258" si="202">IFERROR(IF(ISNUMBER(N2194),N2194,$E$8)*IF(L2195&gt;=$J$8,$E$12,$E$12)/IF(MOD(YEAR(L2195),4),365,366)*IF(ISBLANK(L2194),L2195-$F$5,L2195-L2194),0)</f>
        <v>0</v>
      </c>
      <c r="P2195" s="59">
        <f t="shared" si="200"/>
        <v>0</v>
      </c>
    </row>
    <row r="2196" spans="12:16" ht="15" hidden="1" customHeight="1">
      <c r="L2196" s="58" t="str">
        <f t="shared" si="198"/>
        <v>-</v>
      </c>
      <c r="M2196" s="59">
        <f t="shared" si="201"/>
        <v>0</v>
      </c>
      <c r="N2196" s="59">
        <f t="shared" si="199"/>
        <v>0</v>
      </c>
      <c r="O2196" s="59">
        <f t="shared" si="202"/>
        <v>0</v>
      </c>
      <c r="P2196" s="59">
        <f t="shared" si="200"/>
        <v>0</v>
      </c>
    </row>
    <row r="2197" spans="12:16" ht="15" hidden="1" customHeight="1">
      <c r="L2197" s="58" t="str">
        <f t="shared" si="198"/>
        <v>-</v>
      </c>
      <c r="M2197" s="59">
        <f t="shared" si="201"/>
        <v>0</v>
      </c>
      <c r="N2197" s="59">
        <f t="shared" si="199"/>
        <v>0</v>
      </c>
      <c r="O2197" s="59">
        <f t="shared" si="202"/>
        <v>0</v>
      </c>
      <c r="P2197" s="59">
        <f t="shared" si="200"/>
        <v>0</v>
      </c>
    </row>
    <row r="2198" spans="12:16" ht="15" hidden="1" customHeight="1">
      <c r="L2198" s="58" t="str">
        <f t="shared" si="198"/>
        <v>-</v>
      </c>
      <c r="M2198" s="59">
        <f t="shared" si="201"/>
        <v>0</v>
      </c>
      <c r="N2198" s="59">
        <f t="shared" si="199"/>
        <v>0</v>
      </c>
      <c r="O2198" s="59">
        <f t="shared" si="202"/>
        <v>0</v>
      </c>
      <c r="P2198" s="59">
        <f t="shared" si="200"/>
        <v>0</v>
      </c>
    </row>
    <row r="2199" spans="12:16" ht="15" hidden="1" customHeight="1">
      <c r="L2199" s="58" t="str">
        <f t="shared" si="198"/>
        <v>-</v>
      </c>
      <c r="M2199" s="59">
        <f t="shared" si="201"/>
        <v>0</v>
      </c>
      <c r="N2199" s="59">
        <f t="shared" si="199"/>
        <v>0</v>
      </c>
      <c r="O2199" s="59">
        <f t="shared" si="202"/>
        <v>0</v>
      </c>
      <c r="P2199" s="59">
        <f t="shared" si="200"/>
        <v>0</v>
      </c>
    </row>
    <row r="2200" spans="12:16" ht="15" hidden="1" customHeight="1">
      <c r="L2200" s="58" t="str">
        <f t="shared" si="198"/>
        <v>-</v>
      </c>
      <c r="M2200" s="59">
        <f t="shared" si="201"/>
        <v>0</v>
      </c>
      <c r="N2200" s="59">
        <f t="shared" si="199"/>
        <v>0</v>
      </c>
      <c r="O2200" s="59">
        <f t="shared" si="202"/>
        <v>0</v>
      </c>
      <c r="P2200" s="59">
        <f t="shared" si="200"/>
        <v>0</v>
      </c>
    </row>
    <row r="2201" spans="12:16" ht="15" hidden="1" customHeight="1">
      <c r="L2201" s="58" t="str">
        <f t="shared" si="198"/>
        <v>-</v>
      </c>
      <c r="M2201" s="59">
        <f t="shared" si="201"/>
        <v>0</v>
      </c>
      <c r="N2201" s="59">
        <f t="shared" si="199"/>
        <v>0</v>
      </c>
      <c r="O2201" s="59">
        <f t="shared" si="202"/>
        <v>0</v>
      </c>
      <c r="P2201" s="59">
        <f t="shared" si="200"/>
        <v>0</v>
      </c>
    </row>
    <row r="2202" spans="12:16" ht="15" hidden="1" customHeight="1">
      <c r="L2202" s="58" t="str">
        <f t="shared" si="198"/>
        <v>-</v>
      </c>
      <c r="M2202" s="59">
        <f t="shared" si="201"/>
        <v>0</v>
      </c>
      <c r="N2202" s="59">
        <f t="shared" si="199"/>
        <v>0</v>
      </c>
      <c r="O2202" s="59">
        <f t="shared" si="202"/>
        <v>0</v>
      </c>
      <c r="P2202" s="59">
        <f t="shared" si="200"/>
        <v>0</v>
      </c>
    </row>
    <row r="2203" spans="12:16" ht="15" hidden="1" customHeight="1">
      <c r="L2203" s="58" t="str">
        <f t="shared" si="198"/>
        <v>-</v>
      </c>
      <c r="M2203" s="59">
        <f t="shared" si="201"/>
        <v>0</v>
      </c>
      <c r="N2203" s="59">
        <f t="shared" si="199"/>
        <v>0</v>
      </c>
      <c r="O2203" s="59">
        <f t="shared" si="202"/>
        <v>0</v>
      </c>
      <c r="P2203" s="59">
        <f t="shared" si="200"/>
        <v>0</v>
      </c>
    </row>
    <row r="2204" spans="12:16" ht="15" hidden="1" customHeight="1">
      <c r="L2204" s="58" t="str">
        <f t="shared" si="198"/>
        <v>-</v>
      </c>
      <c r="M2204" s="59">
        <f t="shared" si="201"/>
        <v>0</v>
      </c>
      <c r="N2204" s="59">
        <f t="shared" si="199"/>
        <v>0</v>
      </c>
      <c r="O2204" s="59">
        <f t="shared" si="202"/>
        <v>0</v>
      </c>
      <c r="P2204" s="59">
        <f t="shared" si="200"/>
        <v>0</v>
      </c>
    </row>
    <row r="2205" spans="12:16" ht="15" hidden="1" customHeight="1">
      <c r="L2205" s="58" t="str">
        <f t="shared" si="198"/>
        <v>-</v>
      </c>
      <c r="M2205" s="59">
        <f t="shared" si="201"/>
        <v>0</v>
      </c>
      <c r="N2205" s="59">
        <f t="shared" si="199"/>
        <v>0</v>
      </c>
      <c r="O2205" s="59">
        <f t="shared" si="202"/>
        <v>0</v>
      </c>
      <c r="P2205" s="59">
        <f t="shared" si="200"/>
        <v>0</v>
      </c>
    </row>
    <row r="2206" spans="12:16" ht="15" hidden="1" customHeight="1">
      <c r="L2206" s="58" t="str">
        <f t="shared" si="198"/>
        <v>-</v>
      </c>
      <c r="M2206" s="59">
        <f t="shared" si="201"/>
        <v>0</v>
      </c>
      <c r="N2206" s="59">
        <f t="shared" si="199"/>
        <v>0</v>
      </c>
      <c r="O2206" s="59">
        <f t="shared" si="202"/>
        <v>0</v>
      </c>
      <c r="P2206" s="59">
        <f t="shared" si="200"/>
        <v>0</v>
      </c>
    </row>
    <row r="2207" spans="12:16" ht="15" hidden="1" customHeight="1">
      <c r="L2207" s="58" t="str">
        <f t="shared" si="198"/>
        <v>-</v>
      </c>
      <c r="M2207" s="59">
        <f t="shared" si="201"/>
        <v>0</v>
      </c>
      <c r="N2207" s="59">
        <f t="shared" si="199"/>
        <v>0</v>
      </c>
      <c r="O2207" s="59">
        <f t="shared" si="202"/>
        <v>0</v>
      </c>
      <c r="P2207" s="59">
        <f t="shared" si="200"/>
        <v>0</v>
      </c>
    </row>
    <row r="2208" spans="12:16" ht="15" hidden="1" customHeight="1">
      <c r="L2208" s="58" t="str">
        <f t="shared" si="198"/>
        <v>-</v>
      </c>
      <c r="M2208" s="59">
        <f t="shared" si="201"/>
        <v>0</v>
      </c>
      <c r="N2208" s="59">
        <f t="shared" si="199"/>
        <v>0</v>
      </c>
      <c r="O2208" s="59">
        <f t="shared" si="202"/>
        <v>0</v>
      </c>
      <c r="P2208" s="59">
        <f t="shared" si="200"/>
        <v>0</v>
      </c>
    </row>
    <row r="2209" spans="12:16" ht="15" hidden="1" customHeight="1">
      <c r="L2209" s="58" t="str">
        <f t="shared" si="198"/>
        <v>-</v>
      </c>
      <c r="M2209" s="59">
        <f t="shared" si="201"/>
        <v>0</v>
      </c>
      <c r="N2209" s="59">
        <f t="shared" si="199"/>
        <v>0</v>
      </c>
      <c r="O2209" s="59">
        <f t="shared" si="202"/>
        <v>0</v>
      </c>
      <c r="P2209" s="59">
        <f t="shared" si="200"/>
        <v>0</v>
      </c>
    </row>
    <row r="2210" spans="12:16" ht="15" hidden="1" customHeight="1">
      <c r="L2210" s="58" t="str">
        <f t="shared" ref="L2210:L2273" si="203">IFERROR(IF(MAX(L2209+1,$F$5+1)&gt;Дата_погашения_Займа,"-",MAX(L2209+1,$F$5+1)),"-")</f>
        <v>-</v>
      </c>
      <c r="M2210" s="59">
        <f t="shared" si="201"/>
        <v>0</v>
      </c>
      <c r="N2210" s="59">
        <f t="shared" si="199"/>
        <v>0</v>
      </c>
      <c r="O2210" s="59">
        <f t="shared" si="202"/>
        <v>0</v>
      </c>
      <c r="P2210" s="59">
        <f t="shared" si="200"/>
        <v>0</v>
      </c>
    </row>
    <row r="2211" spans="12:16" ht="15" hidden="1" customHeight="1">
      <c r="L2211" s="58" t="str">
        <f t="shared" si="203"/>
        <v>-</v>
      </c>
      <c r="M2211" s="59">
        <f t="shared" si="201"/>
        <v>0</v>
      </c>
      <c r="N2211" s="59">
        <f t="shared" si="199"/>
        <v>0</v>
      </c>
      <c r="O2211" s="59">
        <f t="shared" si="202"/>
        <v>0</v>
      </c>
      <c r="P2211" s="59">
        <f t="shared" si="200"/>
        <v>0</v>
      </c>
    </row>
    <row r="2212" spans="12:16" ht="15" hidden="1" customHeight="1">
      <c r="L2212" s="58" t="str">
        <f t="shared" si="203"/>
        <v>-</v>
      </c>
      <c r="M2212" s="59">
        <f t="shared" si="201"/>
        <v>0</v>
      </c>
      <c r="N2212" s="59">
        <f t="shared" si="199"/>
        <v>0</v>
      </c>
      <c r="O2212" s="59">
        <f t="shared" si="202"/>
        <v>0</v>
      </c>
      <c r="P2212" s="59">
        <f t="shared" si="200"/>
        <v>0</v>
      </c>
    </row>
    <row r="2213" spans="12:16" ht="15" hidden="1" customHeight="1">
      <c r="L2213" s="58" t="str">
        <f t="shared" si="203"/>
        <v>-</v>
      </c>
      <c r="M2213" s="59">
        <f t="shared" si="201"/>
        <v>0</v>
      </c>
      <c r="N2213" s="59">
        <f t="shared" si="199"/>
        <v>0</v>
      </c>
      <c r="O2213" s="59">
        <f t="shared" si="202"/>
        <v>0</v>
      </c>
      <c r="P2213" s="59">
        <f t="shared" si="200"/>
        <v>0</v>
      </c>
    </row>
    <row r="2214" spans="12:16" ht="15" hidden="1" customHeight="1">
      <c r="L2214" s="58" t="str">
        <f t="shared" si="203"/>
        <v>-</v>
      </c>
      <c r="M2214" s="59">
        <f t="shared" si="201"/>
        <v>0</v>
      </c>
      <c r="N2214" s="59">
        <f t="shared" si="199"/>
        <v>0</v>
      </c>
      <c r="O2214" s="59">
        <f t="shared" si="202"/>
        <v>0</v>
      </c>
      <c r="P2214" s="59">
        <f t="shared" si="200"/>
        <v>0</v>
      </c>
    </row>
    <row r="2215" spans="12:16" ht="15" hidden="1" customHeight="1">
      <c r="L2215" s="58" t="str">
        <f t="shared" si="203"/>
        <v>-</v>
      </c>
      <c r="M2215" s="59">
        <f t="shared" si="201"/>
        <v>0</v>
      </c>
      <c r="N2215" s="59">
        <f t="shared" si="199"/>
        <v>0</v>
      </c>
      <c r="O2215" s="59">
        <f t="shared" si="202"/>
        <v>0</v>
      </c>
      <c r="P2215" s="59">
        <f t="shared" si="200"/>
        <v>0</v>
      </c>
    </row>
    <row r="2216" spans="12:16" ht="15" hidden="1" customHeight="1">
      <c r="L2216" s="58" t="str">
        <f t="shared" si="203"/>
        <v>-</v>
      </c>
      <c r="M2216" s="59">
        <f t="shared" si="201"/>
        <v>0</v>
      </c>
      <c r="N2216" s="59">
        <f t="shared" si="199"/>
        <v>0</v>
      </c>
      <c r="O2216" s="59">
        <f t="shared" si="202"/>
        <v>0</v>
      </c>
      <c r="P2216" s="59">
        <f t="shared" si="200"/>
        <v>0</v>
      </c>
    </row>
    <row r="2217" spans="12:16" ht="15" hidden="1" customHeight="1">
      <c r="L2217" s="58" t="str">
        <f t="shared" si="203"/>
        <v>-</v>
      </c>
      <c r="M2217" s="59">
        <f t="shared" si="201"/>
        <v>0</v>
      </c>
      <c r="N2217" s="59">
        <f t="shared" si="199"/>
        <v>0</v>
      </c>
      <c r="O2217" s="59">
        <f t="shared" si="202"/>
        <v>0</v>
      </c>
      <c r="P2217" s="59">
        <f t="shared" si="200"/>
        <v>0</v>
      </c>
    </row>
    <row r="2218" spans="12:16" ht="15" hidden="1" customHeight="1">
      <c r="L2218" s="58" t="str">
        <f t="shared" si="203"/>
        <v>-</v>
      </c>
      <c r="M2218" s="59">
        <f t="shared" si="201"/>
        <v>0</v>
      </c>
      <c r="N2218" s="59">
        <f t="shared" si="199"/>
        <v>0</v>
      </c>
      <c r="O2218" s="59">
        <f t="shared" si="202"/>
        <v>0</v>
      </c>
      <c r="P2218" s="59">
        <f t="shared" si="200"/>
        <v>0</v>
      </c>
    </row>
    <row r="2219" spans="12:16" ht="15" hidden="1" customHeight="1">
      <c r="L2219" s="58" t="str">
        <f t="shared" si="203"/>
        <v>-</v>
      </c>
      <c r="M2219" s="59">
        <f t="shared" si="201"/>
        <v>0</v>
      </c>
      <c r="N2219" s="59">
        <f t="shared" si="199"/>
        <v>0</v>
      </c>
      <c r="O2219" s="59">
        <f t="shared" si="202"/>
        <v>0</v>
      </c>
      <c r="P2219" s="59">
        <f t="shared" si="200"/>
        <v>0</v>
      </c>
    </row>
    <row r="2220" spans="12:16" ht="15" hidden="1" customHeight="1">
      <c r="L2220" s="58" t="str">
        <f t="shared" si="203"/>
        <v>-</v>
      </c>
      <c r="M2220" s="59">
        <f t="shared" si="201"/>
        <v>0</v>
      </c>
      <c r="N2220" s="59">
        <f t="shared" si="199"/>
        <v>0</v>
      </c>
      <c r="O2220" s="59">
        <f t="shared" si="202"/>
        <v>0</v>
      </c>
      <c r="P2220" s="59">
        <f t="shared" si="200"/>
        <v>0</v>
      </c>
    </row>
    <row r="2221" spans="12:16" ht="15" hidden="1" customHeight="1">
      <c r="L2221" s="58" t="str">
        <f t="shared" si="203"/>
        <v>-</v>
      </c>
      <c r="M2221" s="59">
        <f t="shared" si="201"/>
        <v>0</v>
      </c>
      <c r="N2221" s="59">
        <f t="shared" si="199"/>
        <v>0</v>
      </c>
      <c r="O2221" s="59">
        <f t="shared" si="202"/>
        <v>0</v>
      </c>
      <c r="P2221" s="59">
        <f t="shared" si="200"/>
        <v>0</v>
      </c>
    </row>
    <row r="2222" spans="12:16" ht="15" hidden="1" customHeight="1">
      <c r="L2222" s="58" t="str">
        <f t="shared" si="203"/>
        <v>-</v>
      </c>
      <c r="M2222" s="59">
        <f t="shared" si="201"/>
        <v>0</v>
      </c>
      <c r="N2222" s="59">
        <f t="shared" si="199"/>
        <v>0</v>
      </c>
      <c r="O2222" s="59">
        <f t="shared" si="202"/>
        <v>0</v>
      </c>
      <c r="P2222" s="59">
        <f t="shared" si="200"/>
        <v>0</v>
      </c>
    </row>
    <row r="2223" spans="12:16" ht="15" hidden="1" customHeight="1">
      <c r="L2223" s="58" t="str">
        <f t="shared" si="203"/>
        <v>-</v>
      </c>
      <c r="M2223" s="59">
        <f t="shared" si="201"/>
        <v>0</v>
      </c>
      <c r="N2223" s="59">
        <f t="shared" si="199"/>
        <v>0</v>
      </c>
      <c r="O2223" s="59">
        <f t="shared" si="202"/>
        <v>0</v>
      </c>
      <c r="P2223" s="59">
        <f t="shared" si="200"/>
        <v>0</v>
      </c>
    </row>
    <row r="2224" spans="12:16" ht="15" hidden="1" customHeight="1">
      <c r="L2224" s="58" t="str">
        <f t="shared" si="203"/>
        <v>-</v>
      </c>
      <c r="M2224" s="59">
        <f t="shared" si="201"/>
        <v>0</v>
      </c>
      <c r="N2224" s="59">
        <f t="shared" ref="N2224:N2287" si="204">IF(ISNUMBER(N2223),N2223-M2224,$E$8)</f>
        <v>0</v>
      </c>
      <c r="O2224" s="59">
        <f t="shared" si="202"/>
        <v>0</v>
      </c>
      <c r="P2224" s="59">
        <f t="shared" ref="P2224:P2287" si="205">IFERROR(IF(ISNUMBER(N2223),N2223,$E$8)*3%/IF(MOD(YEAR(L2224),4),365,366)*IF(ISBLANK(L2223),(L2224-$F$5),L2224-L2223),0)</f>
        <v>0</v>
      </c>
    </row>
    <row r="2225" spans="12:16" ht="15" hidden="1" customHeight="1">
      <c r="L2225" s="58" t="str">
        <f t="shared" si="203"/>
        <v>-</v>
      </c>
      <c r="M2225" s="59">
        <f t="shared" si="201"/>
        <v>0</v>
      </c>
      <c r="N2225" s="59">
        <f t="shared" si="204"/>
        <v>0</v>
      </c>
      <c r="O2225" s="59">
        <f t="shared" si="202"/>
        <v>0</v>
      </c>
      <c r="P2225" s="59">
        <f t="shared" si="205"/>
        <v>0</v>
      </c>
    </row>
    <row r="2226" spans="12:16" ht="15" hidden="1" customHeight="1">
      <c r="L2226" s="58" t="str">
        <f t="shared" si="203"/>
        <v>-</v>
      </c>
      <c r="M2226" s="59">
        <f t="shared" si="201"/>
        <v>0</v>
      </c>
      <c r="N2226" s="59">
        <f t="shared" si="204"/>
        <v>0</v>
      </c>
      <c r="O2226" s="59">
        <f t="shared" si="202"/>
        <v>0</v>
      </c>
      <c r="P2226" s="59">
        <f t="shared" si="205"/>
        <v>0</v>
      </c>
    </row>
    <row r="2227" spans="12:16" ht="15" hidden="1" customHeight="1">
      <c r="L2227" s="58" t="str">
        <f t="shared" si="203"/>
        <v>-</v>
      </c>
      <c r="M2227" s="59">
        <f t="shared" si="201"/>
        <v>0</v>
      </c>
      <c r="N2227" s="59">
        <f t="shared" si="204"/>
        <v>0</v>
      </c>
      <c r="O2227" s="59">
        <f t="shared" si="202"/>
        <v>0</v>
      </c>
      <c r="P2227" s="59">
        <f t="shared" si="205"/>
        <v>0</v>
      </c>
    </row>
    <row r="2228" spans="12:16" ht="15" hidden="1" customHeight="1">
      <c r="L2228" s="58" t="str">
        <f t="shared" si="203"/>
        <v>-</v>
      </c>
      <c r="M2228" s="59">
        <f t="shared" si="201"/>
        <v>0</v>
      </c>
      <c r="N2228" s="59">
        <f t="shared" si="204"/>
        <v>0</v>
      </c>
      <c r="O2228" s="59">
        <f t="shared" si="202"/>
        <v>0</v>
      </c>
      <c r="P2228" s="59">
        <f t="shared" si="205"/>
        <v>0</v>
      </c>
    </row>
    <row r="2229" spans="12:16" ht="15" hidden="1" customHeight="1">
      <c r="L2229" s="58" t="str">
        <f t="shared" si="203"/>
        <v>-</v>
      </c>
      <c r="M2229" s="59">
        <f t="shared" si="201"/>
        <v>0</v>
      </c>
      <c r="N2229" s="59">
        <f t="shared" si="204"/>
        <v>0</v>
      </c>
      <c r="O2229" s="59">
        <f t="shared" si="202"/>
        <v>0</v>
      </c>
      <c r="P2229" s="59">
        <f t="shared" si="205"/>
        <v>0</v>
      </c>
    </row>
    <row r="2230" spans="12:16" ht="15" hidden="1" customHeight="1">
      <c r="L2230" s="58" t="str">
        <f t="shared" si="203"/>
        <v>-</v>
      </c>
      <c r="M2230" s="59">
        <f t="shared" si="201"/>
        <v>0</v>
      </c>
      <c r="N2230" s="59">
        <f t="shared" si="204"/>
        <v>0</v>
      </c>
      <c r="O2230" s="59">
        <f t="shared" si="202"/>
        <v>0</v>
      </c>
      <c r="P2230" s="59">
        <f t="shared" si="205"/>
        <v>0</v>
      </c>
    </row>
    <row r="2231" spans="12:16" ht="15" hidden="1" customHeight="1">
      <c r="L2231" s="58" t="str">
        <f t="shared" si="203"/>
        <v>-</v>
      </c>
      <c r="M2231" s="59">
        <f t="shared" si="201"/>
        <v>0</v>
      </c>
      <c r="N2231" s="59">
        <f t="shared" si="204"/>
        <v>0</v>
      </c>
      <c r="O2231" s="59">
        <f t="shared" si="202"/>
        <v>0</v>
      </c>
      <c r="P2231" s="59">
        <f t="shared" si="205"/>
        <v>0</v>
      </c>
    </row>
    <row r="2232" spans="12:16" ht="15" hidden="1" customHeight="1">
      <c r="L2232" s="58" t="str">
        <f t="shared" si="203"/>
        <v>-</v>
      </c>
      <c r="M2232" s="59">
        <f t="shared" si="201"/>
        <v>0</v>
      </c>
      <c r="N2232" s="59">
        <f t="shared" si="204"/>
        <v>0</v>
      </c>
      <c r="O2232" s="59">
        <f t="shared" si="202"/>
        <v>0</v>
      </c>
      <c r="P2232" s="59">
        <f t="shared" si="205"/>
        <v>0</v>
      </c>
    </row>
    <row r="2233" spans="12:16" ht="15" hidden="1" customHeight="1">
      <c r="L2233" s="58" t="str">
        <f t="shared" si="203"/>
        <v>-</v>
      </c>
      <c r="M2233" s="59">
        <f t="shared" si="201"/>
        <v>0</v>
      </c>
      <c r="N2233" s="59">
        <f t="shared" si="204"/>
        <v>0</v>
      </c>
      <c r="O2233" s="59">
        <f t="shared" si="202"/>
        <v>0</v>
      </c>
      <c r="P2233" s="59">
        <f t="shared" si="205"/>
        <v>0</v>
      </c>
    </row>
    <row r="2234" spans="12:16" ht="15" hidden="1" customHeight="1">
      <c r="L2234" s="58" t="str">
        <f t="shared" si="203"/>
        <v>-</v>
      </c>
      <c r="M2234" s="59">
        <f t="shared" si="201"/>
        <v>0</v>
      </c>
      <c r="N2234" s="59">
        <f t="shared" si="204"/>
        <v>0</v>
      </c>
      <c r="O2234" s="59">
        <f t="shared" si="202"/>
        <v>0</v>
      </c>
      <c r="P2234" s="59">
        <f t="shared" si="205"/>
        <v>0</v>
      </c>
    </row>
    <row r="2235" spans="12:16" ht="15" hidden="1" customHeight="1">
      <c r="L2235" s="58" t="str">
        <f t="shared" si="203"/>
        <v>-</v>
      </c>
      <c r="M2235" s="59">
        <f t="shared" si="201"/>
        <v>0</v>
      </c>
      <c r="N2235" s="59">
        <f t="shared" si="204"/>
        <v>0</v>
      </c>
      <c r="O2235" s="59">
        <f t="shared" si="202"/>
        <v>0</v>
      </c>
      <c r="P2235" s="59">
        <f t="shared" si="205"/>
        <v>0</v>
      </c>
    </row>
    <row r="2236" spans="12:16" ht="15" hidden="1" customHeight="1">
      <c r="L2236" s="58" t="str">
        <f t="shared" si="203"/>
        <v>-</v>
      </c>
      <c r="M2236" s="59">
        <f t="shared" si="201"/>
        <v>0</v>
      </c>
      <c r="N2236" s="59">
        <f t="shared" si="204"/>
        <v>0</v>
      </c>
      <c r="O2236" s="59">
        <f t="shared" si="202"/>
        <v>0</v>
      </c>
      <c r="P2236" s="59">
        <f t="shared" si="205"/>
        <v>0</v>
      </c>
    </row>
    <row r="2237" spans="12:16" ht="15" hidden="1" customHeight="1">
      <c r="L2237" s="58" t="str">
        <f t="shared" si="203"/>
        <v>-</v>
      </c>
      <c r="M2237" s="59">
        <f t="shared" si="201"/>
        <v>0</v>
      </c>
      <c r="N2237" s="59">
        <f t="shared" si="204"/>
        <v>0</v>
      </c>
      <c r="O2237" s="59">
        <f t="shared" si="202"/>
        <v>0</v>
      </c>
      <c r="P2237" s="59">
        <f t="shared" si="205"/>
        <v>0</v>
      </c>
    </row>
    <row r="2238" spans="12:16" ht="15" hidden="1" customHeight="1">
      <c r="L2238" s="58" t="str">
        <f t="shared" si="203"/>
        <v>-</v>
      </c>
      <c r="M2238" s="59">
        <f t="shared" si="201"/>
        <v>0</v>
      </c>
      <c r="N2238" s="59">
        <f t="shared" si="204"/>
        <v>0</v>
      </c>
      <c r="O2238" s="59">
        <f t="shared" si="202"/>
        <v>0</v>
      </c>
      <c r="P2238" s="59">
        <f t="shared" si="205"/>
        <v>0</v>
      </c>
    </row>
    <row r="2239" spans="12:16" ht="15" hidden="1" customHeight="1">
      <c r="L2239" s="58" t="str">
        <f t="shared" si="203"/>
        <v>-</v>
      </c>
      <c r="M2239" s="59">
        <f t="shared" si="201"/>
        <v>0</v>
      </c>
      <c r="N2239" s="59">
        <f t="shared" si="204"/>
        <v>0</v>
      </c>
      <c r="O2239" s="59">
        <f t="shared" si="202"/>
        <v>0</v>
      </c>
      <c r="P2239" s="59">
        <f t="shared" si="205"/>
        <v>0</v>
      </c>
    </row>
    <row r="2240" spans="12:16" ht="15" hidden="1" customHeight="1">
      <c r="L2240" s="58" t="str">
        <f t="shared" si="203"/>
        <v>-</v>
      </c>
      <c r="M2240" s="59">
        <f t="shared" si="201"/>
        <v>0</v>
      </c>
      <c r="N2240" s="59">
        <f t="shared" si="204"/>
        <v>0</v>
      </c>
      <c r="O2240" s="59">
        <f t="shared" si="202"/>
        <v>0</v>
      </c>
      <c r="P2240" s="59">
        <f t="shared" si="205"/>
        <v>0</v>
      </c>
    </row>
    <row r="2241" spans="12:16" ht="15" hidden="1" customHeight="1">
      <c r="L2241" s="58" t="str">
        <f t="shared" si="203"/>
        <v>-</v>
      </c>
      <c r="M2241" s="59">
        <f t="shared" si="201"/>
        <v>0</v>
      </c>
      <c r="N2241" s="59">
        <f t="shared" si="204"/>
        <v>0</v>
      </c>
      <c r="O2241" s="59">
        <f t="shared" si="202"/>
        <v>0</v>
      </c>
      <c r="P2241" s="59">
        <f t="shared" si="205"/>
        <v>0</v>
      </c>
    </row>
    <row r="2242" spans="12:16" ht="15" hidden="1" customHeight="1">
      <c r="L2242" s="58" t="str">
        <f t="shared" si="203"/>
        <v>-</v>
      </c>
      <c r="M2242" s="59">
        <f t="shared" si="201"/>
        <v>0</v>
      </c>
      <c r="N2242" s="59">
        <f t="shared" si="204"/>
        <v>0</v>
      </c>
      <c r="O2242" s="59">
        <f t="shared" si="202"/>
        <v>0</v>
      </c>
      <c r="P2242" s="59">
        <f t="shared" si="205"/>
        <v>0</v>
      </c>
    </row>
    <row r="2243" spans="12:16" ht="15" hidden="1" customHeight="1">
      <c r="L2243" s="58" t="str">
        <f t="shared" si="203"/>
        <v>-</v>
      </c>
      <c r="M2243" s="59">
        <f t="shared" si="201"/>
        <v>0</v>
      </c>
      <c r="N2243" s="59">
        <f t="shared" si="204"/>
        <v>0</v>
      </c>
      <c r="O2243" s="59">
        <f t="shared" si="202"/>
        <v>0</v>
      </c>
      <c r="P2243" s="59">
        <f t="shared" si="205"/>
        <v>0</v>
      </c>
    </row>
    <row r="2244" spans="12:16" ht="15" hidden="1" customHeight="1">
      <c r="L2244" s="58" t="str">
        <f t="shared" si="203"/>
        <v>-</v>
      </c>
      <c r="M2244" s="59">
        <f t="shared" si="201"/>
        <v>0</v>
      </c>
      <c r="N2244" s="59">
        <f t="shared" si="204"/>
        <v>0</v>
      </c>
      <c r="O2244" s="59">
        <f t="shared" si="202"/>
        <v>0</v>
      </c>
      <c r="P2244" s="59">
        <f t="shared" si="205"/>
        <v>0</v>
      </c>
    </row>
    <row r="2245" spans="12:16" ht="15" hidden="1" customHeight="1">
      <c r="L2245" s="58" t="str">
        <f t="shared" si="203"/>
        <v>-</v>
      </c>
      <c r="M2245" s="59">
        <f t="shared" si="201"/>
        <v>0</v>
      </c>
      <c r="N2245" s="59">
        <f t="shared" si="204"/>
        <v>0</v>
      </c>
      <c r="O2245" s="59">
        <f t="shared" si="202"/>
        <v>0</v>
      </c>
      <c r="P2245" s="59">
        <f t="shared" si="205"/>
        <v>0</v>
      </c>
    </row>
    <row r="2246" spans="12:16" ht="15" hidden="1" customHeight="1">
      <c r="L2246" s="58" t="str">
        <f t="shared" si="203"/>
        <v>-</v>
      </c>
      <c r="M2246" s="59">
        <f t="shared" si="201"/>
        <v>0</v>
      </c>
      <c r="N2246" s="59">
        <f t="shared" si="204"/>
        <v>0</v>
      </c>
      <c r="O2246" s="59">
        <f t="shared" si="202"/>
        <v>0</v>
      </c>
      <c r="P2246" s="59">
        <f t="shared" si="205"/>
        <v>0</v>
      </c>
    </row>
    <row r="2247" spans="12:16" ht="15" hidden="1" customHeight="1">
      <c r="L2247" s="58" t="str">
        <f t="shared" si="203"/>
        <v>-</v>
      </c>
      <c r="M2247" s="59">
        <f t="shared" si="201"/>
        <v>0</v>
      </c>
      <c r="N2247" s="59">
        <f t="shared" si="204"/>
        <v>0</v>
      </c>
      <c r="O2247" s="59">
        <f t="shared" si="202"/>
        <v>0</v>
      </c>
      <c r="P2247" s="59">
        <f t="shared" si="205"/>
        <v>0</v>
      </c>
    </row>
    <row r="2248" spans="12:16" ht="15" hidden="1" customHeight="1">
      <c r="L2248" s="58" t="str">
        <f t="shared" si="203"/>
        <v>-</v>
      </c>
      <c r="M2248" s="59">
        <f t="shared" si="201"/>
        <v>0</v>
      </c>
      <c r="N2248" s="59">
        <f t="shared" si="204"/>
        <v>0</v>
      </c>
      <c r="O2248" s="59">
        <f t="shared" si="202"/>
        <v>0</v>
      </c>
      <c r="P2248" s="59">
        <f t="shared" si="205"/>
        <v>0</v>
      </c>
    </row>
    <row r="2249" spans="12:16" ht="15" hidden="1" customHeight="1">
      <c r="L2249" s="58" t="str">
        <f t="shared" si="203"/>
        <v>-</v>
      </c>
      <c r="M2249" s="59">
        <f t="shared" si="201"/>
        <v>0</v>
      </c>
      <c r="N2249" s="59">
        <f t="shared" si="204"/>
        <v>0</v>
      </c>
      <c r="O2249" s="59">
        <f t="shared" si="202"/>
        <v>0</v>
      </c>
      <c r="P2249" s="59">
        <f t="shared" si="205"/>
        <v>0</v>
      </c>
    </row>
    <row r="2250" spans="12:16" ht="15" hidden="1" customHeight="1">
      <c r="L2250" s="58" t="str">
        <f t="shared" si="203"/>
        <v>-</v>
      </c>
      <c r="M2250" s="59">
        <f t="shared" si="201"/>
        <v>0</v>
      </c>
      <c r="N2250" s="59">
        <f t="shared" si="204"/>
        <v>0</v>
      </c>
      <c r="O2250" s="59">
        <f t="shared" si="202"/>
        <v>0</v>
      </c>
      <c r="P2250" s="59">
        <f t="shared" si="205"/>
        <v>0</v>
      </c>
    </row>
    <row r="2251" spans="12:16" ht="15" hidden="1" customHeight="1">
      <c r="L2251" s="58" t="str">
        <f t="shared" si="203"/>
        <v>-</v>
      </c>
      <c r="M2251" s="59">
        <f t="shared" si="201"/>
        <v>0</v>
      </c>
      <c r="N2251" s="59">
        <f t="shared" si="204"/>
        <v>0</v>
      </c>
      <c r="O2251" s="59">
        <f t="shared" si="202"/>
        <v>0</v>
      </c>
      <c r="P2251" s="59">
        <f t="shared" si="205"/>
        <v>0</v>
      </c>
    </row>
    <row r="2252" spans="12:16" ht="15" hidden="1" customHeight="1">
      <c r="L2252" s="58" t="str">
        <f t="shared" si="203"/>
        <v>-</v>
      </c>
      <c r="M2252" s="59">
        <f t="shared" si="201"/>
        <v>0</v>
      </c>
      <c r="N2252" s="59">
        <f t="shared" si="204"/>
        <v>0</v>
      </c>
      <c r="O2252" s="59">
        <f t="shared" si="202"/>
        <v>0</v>
      </c>
      <c r="P2252" s="59">
        <f t="shared" si="205"/>
        <v>0</v>
      </c>
    </row>
    <row r="2253" spans="12:16" ht="15" hidden="1" customHeight="1">
      <c r="L2253" s="58" t="str">
        <f t="shared" si="203"/>
        <v>-</v>
      </c>
      <c r="M2253" s="59">
        <f t="shared" si="201"/>
        <v>0</v>
      </c>
      <c r="N2253" s="59">
        <f t="shared" si="204"/>
        <v>0</v>
      </c>
      <c r="O2253" s="59">
        <f t="shared" si="202"/>
        <v>0</v>
      </c>
      <c r="P2253" s="59">
        <f t="shared" si="205"/>
        <v>0</v>
      </c>
    </row>
    <row r="2254" spans="12:16" ht="15" hidden="1" customHeight="1">
      <c r="L2254" s="58" t="str">
        <f t="shared" si="203"/>
        <v>-</v>
      </c>
      <c r="M2254" s="59">
        <f t="shared" si="201"/>
        <v>0</v>
      </c>
      <c r="N2254" s="59">
        <f t="shared" si="204"/>
        <v>0</v>
      </c>
      <c r="O2254" s="59">
        <f t="shared" si="202"/>
        <v>0</v>
      </c>
      <c r="P2254" s="59">
        <f t="shared" si="205"/>
        <v>0</v>
      </c>
    </row>
    <row r="2255" spans="12:16" ht="15" hidden="1" customHeight="1">
      <c r="L2255" s="58" t="str">
        <f t="shared" si="203"/>
        <v>-</v>
      </c>
      <c r="M2255" s="59">
        <f t="shared" si="201"/>
        <v>0</v>
      </c>
      <c r="N2255" s="59">
        <f t="shared" si="204"/>
        <v>0</v>
      </c>
      <c r="O2255" s="59">
        <f t="shared" si="202"/>
        <v>0</v>
      </c>
      <c r="P2255" s="59">
        <f t="shared" si="205"/>
        <v>0</v>
      </c>
    </row>
    <row r="2256" spans="12:16" ht="15" hidden="1" customHeight="1">
      <c r="L2256" s="58" t="str">
        <f t="shared" si="203"/>
        <v>-</v>
      </c>
      <c r="M2256" s="59">
        <f t="shared" si="201"/>
        <v>0</v>
      </c>
      <c r="N2256" s="59">
        <f t="shared" si="204"/>
        <v>0</v>
      </c>
      <c r="O2256" s="59">
        <f t="shared" si="202"/>
        <v>0</v>
      </c>
      <c r="P2256" s="59">
        <f t="shared" si="205"/>
        <v>0</v>
      </c>
    </row>
    <row r="2257" spans="12:16" ht="15" hidden="1" customHeight="1">
      <c r="L2257" s="58" t="str">
        <f t="shared" si="203"/>
        <v>-</v>
      </c>
      <c r="M2257" s="59">
        <f t="shared" si="201"/>
        <v>0</v>
      </c>
      <c r="N2257" s="59">
        <f t="shared" si="204"/>
        <v>0</v>
      </c>
      <c r="O2257" s="59">
        <f t="shared" si="202"/>
        <v>0</v>
      </c>
      <c r="P2257" s="59">
        <f t="shared" si="205"/>
        <v>0</v>
      </c>
    </row>
    <row r="2258" spans="12:16" ht="15" hidden="1" customHeight="1">
      <c r="L2258" s="58" t="str">
        <f t="shared" si="203"/>
        <v>-</v>
      </c>
      <c r="M2258" s="59">
        <f t="shared" si="201"/>
        <v>0</v>
      </c>
      <c r="N2258" s="59">
        <f t="shared" si="204"/>
        <v>0</v>
      </c>
      <c r="O2258" s="59">
        <f t="shared" si="202"/>
        <v>0</v>
      </c>
      <c r="P2258" s="59">
        <f t="shared" si="205"/>
        <v>0</v>
      </c>
    </row>
    <row r="2259" spans="12:16" ht="15" hidden="1" customHeight="1">
      <c r="L2259" s="58" t="str">
        <f t="shared" si="203"/>
        <v>-</v>
      </c>
      <c r="M2259" s="59">
        <f t="shared" ref="M2259:M2322" si="206">IFERROR(VLOOKUP(L2259,$B$19:$E$80,4,FALSE),0)</f>
        <v>0</v>
      </c>
      <c r="N2259" s="59">
        <f t="shared" si="204"/>
        <v>0</v>
      </c>
      <c r="O2259" s="59">
        <f t="shared" ref="O2259:O2322" si="207">IFERROR(IF(ISNUMBER(N2258),N2258,$E$8)*IF(L2259&gt;=$J$8,$E$12,$E$12)/IF(MOD(YEAR(L2259),4),365,366)*IF(ISBLANK(L2258),L2259-$F$5,L2259-L2258),0)</f>
        <v>0</v>
      </c>
      <c r="P2259" s="59">
        <f t="shared" si="205"/>
        <v>0</v>
      </c>
    </row>
    <row r="2260" spans="12:16" ht="15" hidden="1" customHeight="1">
      <c r="L2260" s="58" t="str">
        <f t="shared" si="203"/>
        <v>-</v>
      </c>
      <c r="M2260" s="59">
        <f t="shared" si="206"/>
        <v>0</v>
      </c>
      <c r="N2260" s="59">
        <f t="shared" si="204"/>
        <v>0</v>
      </c>
      <c r="O2260" s="59">
        <f t="shared" si="207"/>
        <v>0</v>
      </c>
      <c r="P2260" s="59">
        <f t="shared" si="205"/>
        <v>0</v>
      </c>
    </row>
    <row r="2261" spans="12:16" ht="15" hidden="1" customHeight="1">
      <c r="L2261" s="58" t="str">
        <f t="shared" si="203"/>
        <v>-</v>
      </c>
      <c r="M2261" s="59">
        <f t="shared" si="206"/>
        <v>0</v>
      </c>
      <c r="N2261" s="59">
        <f t="shared" si="204"/>
        <v>0</v>
      </c>
      <c r="O2261" s="59">
        <f t="shared" si="207"/>
        <v>0</v>
      </c>
      <c r="P2261" s="59">
        <f t="shared" si="205"/>
        <v>0</v>
      </c>
    </row>
    <row r="2262" spans="12:16" ht="15" hidden="1" customHeight="1">
      <c r="L2262" s="58" t="str">
        <f t="shared" si="203"/>
        <v>-</v>
      </c>
      <c r="M2262" s="59">
        <f t="shared" si="206"/>
        <v>0</v>
      </c>
      <c r="N2262" s="59">
        <f t="shared" si="204"/>
        <v>0</v>
      </c>
      <c r="O2262" s="59">
        <f t="shared" si="207"/>
        <v>0</v>
      </c>
      <c r="P2262" s="59">
        <f t="shared" si="205"/>
        <v>0</v>
      </c>
    </row>
    <row r="2263" spans="12:16" ht="15" hidden="1" customHeight="1">
      <c r="L2263" s="58" t="str">
        <f t="shared" si="203"/>
        <v>-</v>
      </c>
      <c r="M2263" s="59">
        <f t="shared" si="206"/>
        <v>0</v>
      </c>
      <c r="N2263" s="59">
        <f t="shared" si="204"/>
        <v>0</v>
      </c>
      <c r="O2263" s="59">
        <f t="shared" si="207"/>
        <v>0</v>
      </c>
      <c r="P2263" s="59">
        <f t="shared" si="205"/>
        <v>0</v>
      </c>
    </row>
    <row r="2264" spans="12:16" ht="15" hidden="1" customHeight="1">
      <c r="L2264" s="58" t="str">
        <f t="shared" si="203"/>
        <v>-</v>
      </c>
      <c r="M2264" s="59">
        <f t="shared" si="206"/>
        <v>0</v>
      </c>
      <c r="N2264" s="59">
        <f t="shared" si="204"/>
        <v>0</v>
      </c>
      <c r="O2264" s="59">
        <f t="shared" si="207"/>
        <v>0</v>
      </c>
      <c r="P2264" s="59">
        <f t="shared" si="205"/>
        <v>0</v>
      </c>
    </row>
    <row r="2265" spans="12:16" ht="15" hidden="1" customHeight="1">
      <c r="L2265" s="58" t="str">
        <f t="shared" si="203"/>
        <v>-</v>
      </c>
      <c r="M2265" s="59">
        <f t="shared" si="206"/>
        <v>0</v>
      </c>
      <c r="N2265" s="59">
        <f t="shared" si="204"/>
        <v>0</v>
      </c>
      <c r="O2265" s="59">
        <f t="shared" si="207"/>
        <v>0</v>
      </c>
      <c r="P2265" s="59">
        <f t="shared" si="205"/>
        <v>0</v>
      </c>
    </row>
    <row r="2266" spans="12:16" ht="15" hidden="1" customHeight="1">
      <c r="L2266" s="58" t="str">
        <f t="shared" si="203"/>
        <v>-</v>
      </c>
      <c r="M2266" s="59">
        <f t="shared" si="206"/>
        <v>0</v>
      </c>
      <c r="N2266" s="59">
        <f t="shared" si="204"/>
        <v>0</v>
      </c>
      <c r="O2266" s="59">
        <f t="shared" si="207"/>
        <v>0</v>
      </c>
      <c r="P2266" s="59">
        <f t="shared" si="205"/>
        <v>0</v>
      </c>
    </row>
    <row r="2267" spans="12:16" ht="15" hidden="1" customHeight="1">
      <c r="L2267" s="58" t="str">
        <f t="shared" si="203"/>
        <v>-</v>
      </c>
      <c r="M2267" s="59">
        <f t="shared" si="206"/>
        <v>0</v>
      </c>
      <c r="N2267" s="59">
        <f t="shared" si="204"/>
        <v>0</v>
      </c>
      <c r="O2267" s="59">
        <f t="shared" si="207"/>
        <v>0</v>
      </c>
      <c r="P2267" s="59">
        <f t="shared" si="205"/>
        <v>0</v>
      </c>
    </row>
    <row r="2268" spans="12:16" ht="15" hidden="1" customHeight="1">
      <c r="L2268" s="58" t="str">
        <f t="shared" si="203"/>
        <v>-</v>
      </c>
      <c r="M2268" s="59">
        <f t="shared" si="206"/>
        <v>0</v>
      </c>
      <c r="N2268" s="59">
        <f t="shared" si="204"/>
        <v>0</v>
      </c>
      <c r="O2268" s="59">
        <f t="shared" si="207"/>
        <v>0</v>
      </c>
      <c r="P2268" s="59">
        <f t="shared" si="205"/>
        <v>0</v>
      </c>
    </row>
    <row r="2269" spans="12:16" ht="15" hidden="1" customHeight="1">
      <c r="L2269" s="58" t="str">
        <f t="shared" si="203"/>
        <v>-</v>
      </c>
      <c r="M2269" s="59">
        <f t="shared" si="206"/>
        <v>0</v>
      </c>
      <c r="N2269" s="59">
        <f t="shared" si="204"/>
        <v>0</v>
      </c>
      <c r="O2269" s="59">
        <f t="shared" si="207"/>
        <v>0</v>
      </c>
      <c r="P2269" s="59">
        <f t="shared" si="205"/>
        <v>0</v>
      </c>
    </row>
    <row r="2270" spans="12:16" ht="15" hidden="1" customHeight="1">
      <c r="L2270" s="58" t="str">
        <f t="shared" si="203"/>
        <v>-</v>
      </c>
      <c r="M2270" s="59">
        <f t="shared" si="206"/>
        <v>0</v>
      </c>
      <c r="N2270" s="59">
        <f t="shared" si="204"/>
        <v>0</v>
      </c>
      <c r="O2270" s="59">
        <f t="shared" si="207"/>
        <v>0</v>
      </c>
      <c r="P2270" s="59">
        <f t="shared" si="205"/>
        <v>0</v>
      </c>
    </row>
    <row r="2271" spans="12:16" ht="15" hidden="1" customHeight="1">
      <c r="L2271" s="58" t="str">
        <f t="shared" si="203"/>
        <v>-</v>
      </c>
      <c r="M2271" s="59">
        <f t="shared" si="206"/>
        <v>0</v>
      </c>
      <c r="N2271" s="59">
        <f t="shared" si="204"/>
        <v>0</v>
      </c>
      <c r="O2271" s="59">
        <f t="shared" si="207"/>
        <v>0</v>
      </c>
      <c r="P2271" s="59">
        <f t="shared" si="205"/>
        <v>0</v>
      </c>
    </row>
    <row r="2272" spans="12:16" ht="15" hidden="1" customHeight="1">
      <c r="L2272" s="58" t="str">
        <f t="shared" si="203"/>
        <v>-</v>
      </c>
      <c r="M2272" s="59">
        <f t="shared" si="206"/>
        <v>0</v>
      </c>
      <c r="N2272" s="59">
        <f t="shared" si="204"/>
        <v>0</v>
      </c>
      <c r="O2272" s="59">
        <f t="shared" si="207"/>
        <v>0</v>
      </c>
      <c r="P2272" s="59">
        <f t="shared" si="205"/>
        <v>0</v>
      </c>
    </row>
    <row r="2273" spans="12:16" ht="15" hidden="1" customHeight="1">
      <c r="L2273" s="58" t="str">
        <f t="shared" si="203"/>
        <v>-</v>
      </c>
      <c r="M2273" s="59">
        <f t="shared" si="206"/>
        <v>0</v>
      </c>
      <c r="N2273" s="59">
        <f t="shared" si="204"/>
        <v>0</v>
      </c>
      <c r="O2273" s="59">
        <f t="shared" si="207"/>
        <v>0</v>
      </c>
      <c r="P2273" s="59">
        <f t="shared" si="205"/>
        <v>0</v>
      </c>
    </row>
    <row r="2274" spans="12:16" ht="15" hidden="1" customHeight="1">
      <c r="L2274" s="58" t="str">
        <f t="shared" ref="L2274:L2337" si="208">IFERROR(IF(MAX(L2273+1,$F$5+1)&gt;Дата_погашения_Займа,"-",MAX(L2273+1,$F$5+1)),"-")</f>
        <v>-</v>
      </c>
      <c r="M2274" s="59">
        <f t="shared" si="206"/>
        <v>0</v>
      </c>
      <c r="N2274" s="59">
        <f t="shared" si="204"/>
        <v>0</v>
      </c>
      <c r="O2274" s="59">
        <f t="shared" si="207"/>
        <v>0</v>
      </c>
      <c r="P2274" s="59">
        <f t="shared" si="205"/>
        <v>0</v>
      </c>
    </row>
    <row r="2275" spans="12:16" ht="15" hidden="1" customHeight="1">
      <c r="L2275" s="58" t="str">
        <f t="shared" si="208"/>
        <v>-</v>
      </c>
      <c r="M2275" s="59">
        <f t="shared" si="206"/>
        <v>0</v>
      </c>
      <c r="N2275" s="59">
        <f t="shared" si="204"/>
        <v>0</v>
      </c>
      <c r="O2275" s="59">
        <f t="shared" si="207"/>
        <v>0</v>
      </c>
      <c r="P2275" s="59">
        <f t="shared" si="205"/>
        <v>0</v>
      </c>
    </row>
    <row r="2276" spans="12:16" ht="15" hidden="1" customHeight="1">
      <c r="L2276" s="58" t="str">
        <f t="shared" si="208"/>
        <v>-</v>
      </c>
      <c r="M2276" s="59">
        <f t="shared" si="206"/>
        <v>0</v>
      </c>
      <c r="N2276" s="59">
        <f t="shared" si="204"/>
        <v>0</v>
      </c>
      <c r="O2276" s="59">
        <f t="shared" si="207"/>
        <v>0</v>
      </c>
      <c r="P2276" s="59">
        <f t="shared" si="205"/>
        <v>0</v>
      </c>
    </row>
    <row r="2277" spans="12:16" ht="15" hidden="1" customHeight="1">
      <c r="L2277" s="58" t="str">
        <f t="shared" si="208"/>
        <v>-</v>
      </c>
      <c r="M2277" s="59">
        <f t="shared" si="206"/>
        <v>0</v>
      </c>
      <c r="N2277" s="59">
        <f t="shared" si="204"/>
        <v>0</v>
      </c>
      <c r="O2277" s="59">
        <f t="shared" si="207"/>
        <v>0</v>
      </c>
      <c r="P2277" s="59">
        <f t="shared" si="205"/>
        <v>0</v>
      </c>
    </row>
    <row r="2278" spans="12:16" ht="15" hidden="1" customHeight="1">
      <c r="L2278" s="58" t="str">
        <f t="shared" si="208"/>
        <v>-</v>
      </c>
      <c r="M2278" s="59">
        <f t="shared" si="206"/>
        <v>0</v>
      </c>
      <c r="N2278" s="59">
        <f t="shared" si="204"/>
        <v>0</v>
      </c>
      <c r="O2278" s="59">
        <f t="shared" si="207"/>
        <v>0</v>
      </c>
      <c r="P2278" s="59">
        <f t="shared" si="205"/>
        <v>0</v>
      </c>
    </row>
    <row r="2279" spans="12:16" ht="15" hidden="1" customHeight="1">
      <c r="L2279" s="58" t="str">
        <f t="shared" si="208"/>
        <v>-</v>
      </c>
      <c r="M2279" s="59">
        <f t="shared" si="206"/>
        <v>0</v>
      </c>
      <c r="N2279" s="59">
        <f t="shared" si="204"/>
        <v>0</v>
      </c>
      <c r="O2279" s="59">
        <f t="shared" si="207"/>
        <v>0</v>
      </c>
      <c r="P2279" s="59">
        <f t="shared" si="205"/>
        <v>0</v>
      </c>
    </row>
    <row r="2280" spans="12:16" ht="15" hidden="1" customHeight="1">
      <c r="L2280" s="58" t="str">
        <f t="shared" si="208"/>
        <v>-</v>
      </c>
      <c r="M2280" s="59">
        <f t="shared" si="206"/>
        <v>0</v>
      </c>
      <c r="N2280" s="59">
        <f t="shared" si="204"/>
        <v>0</v>
      </c>
      <c r="O2280" s="59">
        <f t="shared" si="207"/>
        <v>0</v>
      </c>
      <c r="P2280" s="59">
        <f t="shared" si="205"/>
        <v>0</v>
      </c>
    </row>
    <row r="2281" spans="12:16" ht="15" hidden="1" customHeight="1">
      <c r="L2281" s="58" t="str">
        <f t="shared" si="208"/>
        <v>-</v>
      </c>
      <c r="M2281" s="59">
        <f t="shared" si="206"/>
        <v>0</v>
      </c>
      <c r="N2281" s="59">
        <f t="shared" si="204"/>
        <v>0</v>
      </c>
      <c r="O2281" s="59">
        <f t="shared" si="207"/>
        <v>0</v>
      </c>
      <c r="P2281" s="59">
        <f t="shared" si="205"/>
        <v>0</v>
      </c>
    </row>
    <row r="2282" spans="12:16" ht="15" hidden="1" customHeight="1">
      <c r="L2282" s="58" t="str">
        <f t="shared" si="208"/>
        <v>-</v>
      </c>
      <c r="M2282" s="59">
        <f t="shared" si="206"/>
        <v>0</v>
      </c>
      <c r="N2282" s="59">
        <f t="shared" si="204"/>
        <v>0</v>
      </c>
      <c r="O2282" s="59">
        <f t="shared" si="207"/>
        <v>0</v>
      </c>
      <c r="P2282" s="59">
        <f t="shared" si="205"/>
        <v>0</v>
      </c>
    </row>
    <row r="2283" spans="12:16" ht="15" hidden="1" customHeight="1">
      <c r="L2283" s="58" t="str">
        <f t="shared" si="208"/>
        <v>-</v>
      </c>
      <c r="M2283" s="59">
        <f t="shared" si="206"/>
        <v>0</v>
      </c>
      <c r="N2283" s="59">
        <f t="shared" si="204"/>
        <v>0</v>
      </c>
      <c r="O2283" s="59">
        <f t="shared" si="207"/>
        <v>0</v>
      </c>
      <c r="P2283" s="59">
        <f t="shared" si="205"/>
        <v>0</v>
      </c>
    </row>
    <row r="2284" spans="12:16" ht="15" hidden="1" customHeight="1">
      <c r="L2284" s="58" t="str">
        <f t="shared" si="208"/>
        <v>-</v>
      </c>
      <c r="M2284" s="59">
        <f t="shared" si="206"/>
        <v>0</v>
      </c>
      <c r="N2284" s="59">
        <f t="shared" si="204"/>
        <v>0</v>
      </c>
      <c r="O2284" s="59">
        <f t="shared" si="207"/>
        <v>0</v>
      </c>
      <c r="P2284" s="59">
        <f t="shared" si="205"/>
        <v>0</v>
      </c>
    </row>
    <row r="2285" spans="12:16" ht="15" hidden="1" customHeight="1">
      <c r="L2285" s="58" t="str">
        <f t="shared" si="208"/>
        <v>-</v>
      </c>
      <c r="M2285" s="59">
        <f t="shared" si="206"/>
        <v>0</v>
      </c>
      <c r="N2285" s="59">
        <f t="shared" si="204"/>
        <v>0</v>
      </c>
      <c r="O2285" s="59">
        <f t="shared" si="207"/>
        <v>0</v>
      </c>
      <c r="P2285" s="59">
        <f t="shared" si="205"/>
        <v>0</v>
      </c>
    </row>
    <row r="2286" spans="12:16" ht="15" hidden="1" customHeight="1">
      <c r="L2286" s="58" t="str">
        <f t="shared" si="208"/>
        <v>-</v>
      </c>
      <c r="M2286" s="59">
        <f t="shared" si="206"/>
        <v>0</v>
      </c>
      <c r="N2286" s="59">
        <f t="shared" si="204"/>
        <v>0</v>
      </c>
      <c r="O2286" s="59">
        <f t="shared" si="207"/>
        <v>0</v>
      </c>
      <c r="P2286" s="59">
        <f t="shared" si="205"/>
        <v>0</v>
      </c>
    </row>
    <row r="2287" spans="12:16" ht="15" hidden="1" customHeight="1">
      <c r="L2287" s="58" t="str">
        <f t="shared" si="208"/>
        <v>-</v>
      </c>
      <c r="M2287" s="59">
        <f t="shared" si="206"/>
        <v>0</v>
      </c>
      <c r="N2287" s="59">
        <f t="shared" si="204"/>
        <v>0</v>
      </c>
      <c r="O2287" s="59">
        <f t="shared" si="207"/>
        <v>0</v>
      </c>
      <c r="P2287" s="59">
        <f t="shared" si="205"/>
        <v>0</v>
      </c>
    </row>
    <row r="2288" spans="12:16" ht="15" hidden="1" customHeight="1">
      <c r="L2288" s="58" t="str">
        <f t="shared" si="208"/>
        <v>-</v>
      </c>
      <c r="M2288" s="59">
        <f t="shared" si="206"/>
        <v>0</v>
      </c>
      <c r="N2288" s="59">
        <f t="shared" ref="N2288:N2351" si="209">IF(ISNUMBER(N2287),N2287-M2288,$E$8)</f>
        <v>0</v>
      </c>
      <c r="O2288" s="59">
        <f t="shared" si="207"/>
        <v>0</v>
      </c>
      <c r="P2288" s="59">
        <f t="shared" ref="P2288:P2351" si="210">IFERROR(IF(ISNUMBER(N2287),N2287,$E$8)*3%/IF(MOD(YEAR(L2288),4),365,366)*IF(ISBLANK(L2287),(L2288-$F$5),L2288-L2287),0)</f>
        <v>0</v>
      </c>
    </row>
    <row r="2289" spans="12:16" ht="15" hidden="1" customHeight="1">
      <c r="L2289" s="58" t="str">
        <f t="shared" si="208"/>
        <v>-</v>
      </c>
      <c r="M2289" s="59">
        <f t="shared" si="206"/>
        <v>0</v>
      </c>
      <c r="N2289" s="59">
        <f t="shared" si="209"/>
        <v>0</v>
      </c>
      <c r="O2289" s="59">
        <f t="shared" si="207"/>
        <v>0</v>
      </c>
      <c r="P2289" s="59">
        <f t="shared" si="210"/>
        <v>0</v>
      </c>
    </row>
    <row r="2290" spans="12:16" ht="15" hidden="1" customHeight="1">
      <c r="L2290" s="58" t="str">
        <f t="shared" si="208"/>
        <v>-</v>
      </c>
      <c r="M2290" s="59">
        <f t="shared" si="206"/>
        <v>0</v>
      </c>
      <c r="N2290" s="59">
        <f t="shared" si="209"/>
        <v>0</v>
      </c>
      <c r="O2290" s="59">
        <f t="shared" si="207"/>
        <v>0</v>
      </c>
      <c r="P2290" s="59">
        <f t="shared" si="210"/>
        <v>0</v>
      </c>
    </row>
    <row r="2291" spans="12:16" ht="15" hidden="1" customHeight="1">
      <c r="L2291" s="58" t="str">
        <f t="shared" si="208"/>
        <v>-</v>
      </c>
      <c r="M2291" s="59">
        <f t="shared" si="206"/>
        <v>0</v>
      </c>
      <c r="N2291" s="59">
        <f t="shared" si="209"/>
        <v>0</v>
      </c>
      <c r="O2291" s="59">
        <f t="shared" si="207"/>
        <v>0</v>
      </c>
      <c r="P2291" s="59">
        <f t="shared" si="210"/>
        <v>0</v>
      </c>
    </row>
    <row r="2292" spans="12:16" ht="15" hidden="1" customHeight="1">
      <c r="L2292" s="58" t="str">
        <f t="shared" si="208"/>
        <v>-</v>
      </c>
      <c r="M2292" s="59">
        <f t="shared" si="206"/>
        <v>0</v>
      </c>
      <c r="N2292" s="59">
        <f t="shared" si="209"/>
        <v>0</v>
      </c>
      <c r="O2292" s="59">
        <f t="shared" si="207"/>
        <v>0</v>
      </c>
      <c r="P2292" s="59">
        <f t="shared" si="210"/>
        <v>0</v>
      </c>
    </row>
    <row r="2293" spans="12:16" ht="15" hidden="1" customHeight="1">
      <c r="L2293" s="58" t="str">
        <f t="shared" si="208"/>
        <v>-</v>
      </c>
      <c r="M2293" s="59">
        <f t="shared" si="206"/>
        <v>0</v>
      </c>
      <c r="N2293" s="59">
        <f t="shared" si="209"/>
        <v>0</v>
      </c>
      <c r="O2293" s="59">
        <f t="shared" si="207"/>
        <v>0</v>
      </c>
      <c r="P2293" s="59">
        <f t="shared" si="210"/>
        <v>0</v>
      </c>
    </row>
    <row r="2294" spans="12:16" ht="15" hidden="1" customHeight="1">
      <c r="L2294" s="58" t="str">
        <f t="shared" si="208"/>
        <v>-</v>
      </c>
      <c r="M2294" s="59">
        <f t="shared" si="206"/>
        <v>0</v>
      </c>
      <c r="N2294" s="59">
        <f t="shared" si="209"/>
        <v>0</v>
      </c>
      <c r="O2294" s="59">
        <f t="shared" si="207"/>
        <v>0</v>
      </c>
      <c r="P2294" s="59">
        <f t="shared" si="210"/>
        <v>0</v>
      </c>
    </row>
    <row r="2295" spans="12:16" ht="15" hidden="1" customHeight="1">
      <c r="L2295" s="58" t="str">
        <f t="shared" si="208"/>
        <v>-</v>
      </c>
      <c r="M2295" s="59">
        <f t="shared" si="206"/>
        <v>0</v>
      </c>
      <c r="N2295" s="59">
        <f t="shared" si="209"/>
        <v>0</v>
      </c>
      <c r="O2295" s="59">
        <f t="shared" si="207"/>
        <v>0</v>
      </c>
      <c r="P2295" s="59">
        <f t="shared" si="210"/>
        <v>0</v>
      </c>
    </row>
    <row r="2296" spans="12:16" ht="15" hidden="1" customHeight="1">
      <c r="L2296" s="58" t="str">
        <f t="shared" si="208"/>
        <v>-</v>
      </c>
      <c r="M2296" s="59">
        <f t="shared" si="206"/>
        <v>0</v>
      </c>
      <c r="N2296" s="59">
        <f t="shared" si="209"/>
        <v>0</v>
      </c>
      <c r="O2296" s="59">
        <f t="shared" si="207"/>
        <v>0</v>
      </c>
      <c r="P2296" s="59">
        <f t="shared" si="210"/>
        <v>0</v>
      </c>
    </row>
    <row r="2297" spans="12:16" ht="15" hidden="1" customHeight="1">
      <c r="L2297" s="58" t="str">
        <f t="shared" si="208"/>
        <v>-</v>
      </c>
      <c r="M2297" s="59">
        <f t="shared" si="206"/>
        <v>0</v>
      </c>
      <c r="N2297" s="59">
        <f t="shared" si="209"/>
        <v>0</v>
      </c>
      <c r="O2297" s="59">
        <f t="shared" si="207"/>
        <v>0</v>
      </c>
      <c r="P2297" s="59">
        <f t="shared" si="210"/>
        <v>0</v>
      </c>
    </row>
    <row r="2298" spans="12:16" ht="15" hidden="1" customHeight="1">
      <c r="L2298" s="58" t="str">
        <f t="shared" si="208"/>
        <v>-</v>
      </c>
      <c r="M2298" s="59">
        <f t="shared" si="206"/>
        <v>0</v>
      </c>
      <c r="N2298" s="59">
        <f t="shared" si="209"/>
        <v>0</v>
      </c>
      <c r="O2298" s="59">
        <f t="shared" si="207"/>
        <v>0</v>
      </c>
      <c r="P2298" s="59">
        <f t="shared" si="210"/>
        <v>0</v>
      </c>
    </row>
    <row r="2299" spans="12:16" ht="15" hidden="1" customHeight="1">
      <c r="L2299" s="58" t="str">
        <f t="shared" si="208"/>
        <v>-</v>
      </c>
      <c r="M2299" s="59">
        <f t="shared" si="206"/>
        <v>0</v>
      </c>
      <c r="N2299" s="59">
        <f t="shared" si="209"/>
        <v>0</v>
      </c>
      <c r="O2299" s="59">
        <f t="shared" si="207"/>
        <v>0</v>
      </c>
      <c r="P2299" s="59">
        <f t="shared" si="210"/>
        <v>0</v>
      </c>
    </row>
    <row r="2300" spans="12:16" ht="15" hidden="1" customHeight="1">
      <c r="L2300" s="58" t="str">
        <f t="shared" si="208"/>
        <v>-</v>
      </c>
      <c r="M2300" s="59">
        <f t="shared" si="206"/>
        <v>0</v>
      </c>
      <c r="N2300" s="59">
        <f t="shared" si="209"/>
        <v>0</v>
      </c>
      <c r="O2300" s="59">
        <f t="shared" si="207"/>
        <v>0</v>
      </c>
      <c r="P2300" s="59">
        <f t="shared" si="210"/>
        <v>0</v>
      </c>
    </row>
    <row r="2301" spans="12:16" ht="15" hidden="1" customHeight="1">
      <c r="L2301" s="58" t="str">
        <f t="shared" si="208"/>
        <v>-</v>
      </c>
      <c r="M2301" s="59">
        <f t="shared" si="206"/>
        <v>0</v>
      </c>
      <c r="N2301" s="59">
        <f t="shared" si="209"/>
        <v>0</v>
      </c>
      <c r="O2301" s="59">
        <f t="shared" si="207"/>
        <v>0</v>
      </c>
      <c r="P2301" s="59">
        <f t="shared" si="210"/>
        <v>0</v>
      </c>
    </row>
    <row r="2302" spans="12:16" ht="15" hidden="1" customHeight="1">
      <c r="L2302" s="58" t="str">
        <f t="shared" si="208"/>
        <v>-</v>
      </c>
      <c r="M2302" s="59">
        <f t="shared" si="206"/>
        <v>0</v>
      </c>
      <c r="N2302" s="59">
        <f t="shared" si="209"/>
        <v>0</v>
      </c>
      <c r="O2302" s="59">
        <f t="shared" si="207"/>
        <v>0</v>
      </c>
      <c r="P2302" s="59">
        <f t="shared" si="210"/>
        <v>0</v>
      </c>
    </row>
    <row r="2303" spans="12:16" ht="15" hidden="1" customHeight="1">
      <c r="L2303" s="58" t="str">
        <f t="shared" si="208"/>
        <v>-</v>
      </c>
      <c r="M2303" s="59">
        <f t="shared" si="206"/>
        <v>0</v>
      </c>
      <c r="N2303" s="59">
        <f t="shared" si="209"/>
        <v>0</v>
      </c>
      <c r="O2303" s="59">
        <f t="shared" si="207"/>
        <v>0</v>
      </c>
      <c r="P2303" s="59">
        <f t="shared" si="210"/>
        <v>0</v>
      </c>
    </row>
    <row r="2304" spans="12:16" ht="15" hidden="1" customHeight="1">
      <c r="L2304" s="58" t="str">
        <f t="shared" si="208"/>
        <v>-</v>
      </c>
      <c r="M2304" s="59">
        <f t="shared" si="206"/>
        <v>0</v>
      </c>
      <c r="N2304" s="59">
        <f t="shared" si="209"/>
        <v>0</v>
      </c>
      <c r="O2304" s="59">
        <f t="shared" si="207"/>
        <v>0</v>
      </c>
      <c r="P2304" s="59">
        <f t="shared" si="210"/>
        <v>0</v>
      </c>
    </row>
    <row r="2305" spans="12:16" ht="15" hidden="1" customHeight="1">
      <c r="L2305" s="58" t="str">
        <f t="shared" si="208"/>
        <v>-</v>
      </c>
      <c r="M2305" s="59">
        <f t="shared" si="206"/>
        <v>0</v>
      </c>
      <c r="N2305" s="59">
        <f t="shared" si="209"/>
        <v>0</v>
      </c>
      <c r="O2305" s="59">
        <f t="shared" si="207"/>
        <v>0</v>
      </c>
      <c r="P2305" s="59">
        <f t="shared" si="210"/>
        <v>0</v>
      </c>
    </row>
    <row r="2306" spans="12:16" ht="15" hidden="1" customHeight="1">
      <c r="L2306" s="58" t="str">
        <f t="shared" si="208"/>
        <v>-</v>
      </c>
      <c r="M2306" s="59">
        <f t="shared" si="206"/>
        <v>0</v>
      </c>
      <c r="N2306" s="59">
        <f t="shared" si="209"/>
        <v>0</v>
      </c>
      <c r="O2306" s="59">
        <f t="shared" si="207"/>
        <v>0</v>
      </c>
      <c r="P2306" s="59">
        <f t="shared" si="210"/>
        <v>0</v>
      </c>
    </row>
    <row r="2307" spans="12:16" ht="15" hidden="1" customHeight="1">
      <c r="L2307" s="58" t="str">
        <f t="shared" si="208"/>
        <v>-</v>
      </c>
      <c r="M2307" s="59">
        <f t="shared" si="206"/>
        <v>0</v>
      </c>
      <c r="N2307" s="59">
        <f t="shared" si="209"/>
        <v>0</v>
      </c>
      <c r="O2307" s="59">
        <f t="shared" si="207"/>
        <v>0</v>
      </c>
      <c r="P2307" s="59">
        <f t="shared" si="210"/>
        <v>0</v>
      </c>
    </row>
    <row r="2308" spans="12:16" ht="15" hidden="1" customHeight="1">
      <c r="L2308" s="58" t="str">
        <f t="shared" si="208"/>
        <v>-</v>
      </c>
      <c r="M2308" s="59">
        <f t="shared" si="206"/>
        <v>0</v>
      </c>
      <c r="N2308" s="59">
        <f t="shared" si="209"/>
        <v>0</v>
      </c>
      <c r="O2308" s="59">
        <f t="shared" si="207"/>
        <v>0</v>
      </c>
      <c r="P2308" s="59">
        <f t="shared" si="210"/>
        <v>0</v>
      </c>
    </row>
    <row r="2309" spans="12:16" ht="15" hidden="1" customHeight="1">
      <c r="L2309" s="58" t="str">
        <f t="shared" si="208"/>
        <v>-</v>
      </c>
      <c r="M2309" s="59">
        <f t="shared" si="206"/>
        <v>0</v>
      </c>
      <c r="N2309" s="59">
        <f t="shared" si="209"/>
        <v>0</v>
      </c>
      <c r="O2309" s="59">
        <f t="shared" si="207"/>
        <v>0</v>
      </c>
      <c r="P2309" s="59">
        <f t="shared" si="210"/>
        <v>0</v>
      </c>
    </row>
    <row r="2310" spans="12:16" ht="15" hidden="1" customHeight="1">
      <c r="L2310" s="58" t="str">
        <f t="shared" si="208"/>
        <v>-</v>
      </c>
      <c r="M2310" s="59">
        <f t="shared" si="206"/>
        <v>0</v>
      </c>
      <c r="N2310" s="59">
        <f t="shared" si="209"/>
        <v>0</v>
      </c>
      <c r="O2310" s="59">
        <f t="shared" si="207"/>
        <v>0</v>
      </c>
      <c r="P2310" s="59">
        <f t="shared" si="210"/>
        <v>0</v>
      </c>
    </row>
    <row r="2311" spans="12:16" ht="15" hidden="1" customHeight="1">
      <c r="L2311" s="58" t="str">
        <f t="shared" si="208"/>
        <v>-</v>
      </c>
      <c r="M2311" s="59">
        <f t="shared" si="206"/>
        <v>0</v>
      </c>
      <c r="N2311" s="59">
        <f t="shared" si="209"/>
        <v>0</v>
      </c>
      <c r="O2311" s="59">
        <f t="shared" si="207"/>
        <v>0</v>
      </c>
      <c r="P2311" s="59">
        <f t="shared" si="210"/>
        <v>0</v>
      </c>
    </row>
    <row r="2312" spans="12:16" ht="15" hidden="1" customHeight="1">
      <c r="L2312" s="58" t="str">
        <f t="shared" si="208"/>
        <v>-</v>
      </c>
      <c r="M2312" s="59">
        <f t="shared" si="206"/>
        <v>0</v>
      </c>
      <c r="N2312" s="59">
        <f t="shared" si="209"/>
        <v>0</v>
      </c>
      <c r="O2312" s="59">
        <f t="shared" si="207"/>
        <v>0</v>
      </c>
      <c r="P2312" s="59">
        <f t="shared" si="210"/>
        <v>0</v>
      </c>
    </row>
    <row r="2313" spans="12:16" ht="15" hidden="1" customHeight="1">
      <c r="L2313" s="58" t="str">
        <f t="shared" si="208"/>
        <v>-</v>
      </c>
      <c r="M2313" s="59">
        <f t="shared" si="206"/>
        <v>0</v>
      </c>
      <c r="N2313" s="59">
        <f t="shared" si="209"/>
        <v>0</v>
      </c>
      <c r="O2313" s="59">
        <f t="shared" si="207"/>
        <v>0</v>
      </c>
      <c r="P2313" s="59">
        <f t="shared" si="210"/>
        <v>0</v>
      </c>
    </row>
    <row r="2314" spans="12:16" ht="15" hidden="1" customHeight="1">
      <c r="L2314" s="58" t="str">
        <f t="shared" si="208"/>
        <v>-</v>
      </c>
      <c r="M2314" s="59">
        <f t="shared" si="206"/>
        <v>0</v>
      </c>
      <c r="N2314" s="59">
        <f t="shared" si="209"/>
        <v>0</v>
      </c>
      <c r="O2314" s="59">
        <f t="shared" si="207"/>
        <v>0</v>
      </c>
      <c r="P2314" s="59">
        <f t="shared" si="210"/>
        <v>0</v>
      </c>
    </row>
    <row r="2315" spans="12:16" ht="15" hidden="1" customHeight="1">
      <c r="L2315" s="58" t="str">
        <f t="shared" si="208"/>
        <v>-</v>
      </c>
      <c r="M2315" s="59">
        <f t="shared" si="206"/>
        <v>0</v>
      </c>
      <c r="N2315" s="59">
        <f t="shared" si="209"/>
        <v>0</v>
      </c>
      <c r="O2315" s="59">
        <f t="shared" si="207"/>
        <v>0</v>
      </c>
      <c r="P2315" s="59">
        <f t="shared" si="210"/>
        <v>0</v>
      </c>
    </row>
    <row r="2316" spans="12:16" ht="15" hidden="1" customHeight="1">
      <c r="L2316" s="58" t="str">
        <f t="shared" si="208"/>
        <v>-</v>
      </c>
      <c r="M2316" s="59">
        <f t="shared" si="206"/>
        <v>0</v>
      </c>
      <c r="N2316" s="59">
        <f t="shared" si="209"/>
        <v>0</v>
      </c>
      <c r="O2316" s="59">
        <f t="shared" si="207"/>
        <v>0</v>
      </c>
      <c r="P2316" s="59">
        <f t="shared" si="210"/>
        <v>0</v>
      </c>
    </row>
    <row r="2317" spans="12:16" ht="15" hidden="1" customHeight="1">
      <c r="L2317" s="58" t="str">
        <f t="shared" si="208"/>
        <v>-</v>
      </c>
      <c r="M2317" s="59">
        <f t="shared" si="206"/>
        <v>0</v>
      </c>
      <c r="N2317" s="59">
        <f t="shared" si="209"/>
        <v>0</v>
      </c>
      <c r="O2317" s="59">
        <f t="shared" si="207"/>
        <v>0</v>
      </c>
      <c r="P2317" s="59">
        <f t="shared" si="210"/>
        <v>0</v>
      </c>
    </row>
    <row r="2318" spans="12:16" ht="15" hidden="1" customHeight="1">
      <c r="L2318" s="58" t="str">
        <f t="shared" si="208"/>
        <v>-</v>
      </c>
      <c r="M2318" s="59">
        <f t="shared" si="206"/>
        <v>0</v>
      </c>
      <c r="N2318" s="59">
        <f t="shared" si="209"/>
        <v>0</v>
      </c>
      <c r="O2318" s="59">
        <f t="shared" si="207"/>
        <v>0</v>
      </c>
      <c r="P2318" s="59">
        <f t="shared" si="210"/>
        <v>0</v>
      </c>
    </row>
    <row r="2319" spans="12:16" ht="15" hidden="1" customHeight="1">
      <c r="L2319" s="58" t="str">
        <f t="shared" si="208"/>
        <v>-</v>
      </c>
      <c r="M2319" s="59">
        <f t="shared" si="206"/>
        <v>0</v>
      </c>
      <c r="N2319" s="59">
        <f t="shared" si="209"/>
        <v>0</v>
      </c>
      <c r="O2319" s="59">
        <f t="shared" si="207"/>
        <v>0</v>
      </c>
      <c r="P2319" s="59">
        <f t="shared" si="210"/>
        <v>0</v>
      </c>
    </row>
    <row r="2320" spans="12:16" ht="15" hidden="1" customHeight="1">
      <c r="L2320" s="58" t="str">
        <f t="shared" si="208"/>
        <v>-</v>
      </c>
      <c r="M2320" s="59">
        <f t="shared" si="206"/>
        <v>0</v>
      </c>
      <c r="N2320" s="59">
        <f t="shared" si="209"/>
        <v>0</v>
      </c>
      <c r="O2320" s="59">
        <f t="shared" si="207"/>
        <v>0</v>
      </c>
      <c r="P2320" s="59">
        <f t="shared" si="210"/>
        <v>0</v>
      </c>
    </row>
    <row r="2321" spans="12:16" ht="15" hidden="1" customHeight="1">
      <c r="L2321" s="58" t="str">
        <f t="shared" si="208"/>
        <v>-</v>
      </c>
      <c r="M2321" s="59">
        <f t="shared" si="206"/>
        <v>0</v>
      </c>
      <c r="N2321" s="59">
        <f t="shared" si="209"/>
        <v>0</v>
      </c>
      <c r="O2321" s="59">
        <f t="shared" si="207"/>
        <v>0</v>
      </c>
      <c r="P2321" s="59">
        <f t="shared" si="210"/>
        <v>0</v>
      </c>
    </row>
    <row r="2322" spans="12:16" ht="15" hidden="1" customHeight="1">
      <c r="L2322" s="58" t="str">
        <f t="shared" si="208"/>
        <v>-</v>
      </c>
      <c r="M2322" s="59">
        <f t="shared" si="206"/>
        <v>0</v>
      </c>
      <c r="N2322" s="59">
        <f t="shared" si="209"/>
        <v>0</v>
      </c>
      <c r="O2322" s="59">
        <f t="shared" si="207"/>
        <v>0</v>
      </c>
      <c r="P2322" s="59">
        <f t="shared" si="210"/>
        <v>0</v>
      </c>
    </row>
    <row r="2323" spans="12:16" ht="15" hidden="1" customHeight="1">
      <c r="L2323" s="58" t="str">
        <f t="shared" si="208"/>
        <v>-</v>
      </c>
      <c r="M2323" s="59">
        <f t="shared" ref="M2323:M2386" si="211">IFERROR(VLOOKUP(L2323,$B$19:$E$80,4,FALSE),0)</f>
        <v>0</v>
      </c>
      <c r="N2323" s="59">
        <f t="shared" si="209"/>
        <v>0</v>
      </c>
      <c r="O2323" s="59">
        <f t="shared" ref="O2323:O2386" si="212">IFERROR(IF(ISNUMBER(N2322),N2322,$E$8)*IF(L2323&gt;=$J$8,$E$12,$E$12)/IF(MOD(YEAR(L2323),4),365,366)*IF(ISBLANK(L2322),L2323-$F$5,L2323-L2322),0)</f>
        <v>0</v>
      </c>
      <c r="P2323" s="59">
        <f t="shared" si="210"/>
        <v>0</v>
      </c>
    </row>
    <row r="2324" spans="12:16" ht="15" hidden="1" customHeight="1">
      <c r="L2324" s="58" t="str">
        <f t="shared" si="208"/>
        <v>-</v>
      </c>
      <c r="M2324" s="59">
        <f t="shared" si="211"/>
        <v>0</v>
      </c>
      <c r="N2324" s="59">
        <f t="shared" si="209"/>
        <v>0</v>
      </c>
      <c r="O2324" s="59">
        <f t="shared" si="212"/>
        <v>0</v>
      </c>
      <c r="P2324" s="59">
        <f t="shared" si="210"/>
        <v>0</v>
      </c>
    </row>
    <row r="2325" spans="12:16" ht="15" hidden="1" customHeight="1">
      <c r="L2325" s="58" t="str">
        <f t="shared" si="208"/>
        <v>-</v>
      </c>
      <c r="M2325" s="59">
        <f t="shared" si="211"/>
        <v>0</v>
      </c>
      <c r="N2325" s="59">
        <f t="shared" si="209"/>
        <v>0</v>
      </c>
      <c r="O2325" s="59">
        <f t="shared" si="212"/>
        <v>0</v>
      </c>
      <c r="P2325" s="59">
        <f t="shared" si="210"/>
        <v>0</v>
      </c>
    </row>
    <row r="2326" spans="12:16" ht="15" hidden="1" customHeight="1">
      <c r="L2326" s="58" t="str">
        <f t="shared" si="208"/>
        <v>-</v>
      </c>
      <c r="M2326" s="59">
        <f t="shared" si="211"/>
        <v>0</v>
      </c>
      <c r="N2326" s="59">
        <f t="shared" si="209"/>
        <v>0</v>
      </c>
      <c r="O2326" s="59">
        <f t="shared" si="212"/>
        <v>0</v>
      </c>
      <c r="P2326" s="59">
        <f t="shared" si="210"/>
        <v>0</v>
      </c>
    </row>
    <row r="2327" spans="12:16" ht="15" hidden="1" customHeight="1">
      <c r="L2327" s="58" t="str">
        <f t="shared" si="208"/>
        <v>-</v>
      </c>
      <c r="M2327" s="59">
        <f t="shared" si="211"/>
        <v>0</v>
      </c>
      <c r="N2327" s="59">
        <f t="shared" si="209"/>
        <v>0</v>
      </c>
      <c r="O2327" s="59">
        <f t="shared" si="212"/>
        <v>0</v>
      </c>
      <c r="P2327" s="59">
        <f t="shared" si="210"/>
        <v>0</v>
      </c>
    </row>
    <row r="2328" spans="12:16" ht="15" hidden="1" customHeight="1">
      <c r="L2328" s="58" t="str">
        <f t="shared" si="208"/>
        <v>-</v>
      </c>
      <c r="M2328" s="59">
        <f t="shared" si="211"/>
        <v>0</v>
      </c>
      <c r="N2328" s="59">
        <f t="shared" si="209"/>
        <v>0</v>
      </c>
      <c r="O2328" s="59">
        <f t="shared" si="212"/>
        <v>0</v>
      </c>
      <c r="P2328" s="59">
        <f t="shared" si="210"/>
        <v>0</v>
      </c>
    </row>
    <row r="2329" spans="12:16" ht="15" hidden="1" customHeight="1">
      <c r="L2329" s="58" t="str">
        <f t="shared" si="208"/>
        <v>-</v>
      </c>
      <c r="M2329" s="59">
        <f t="shared" si="211"/>
        <v>0</v>
      </c>
      <c r="N2329" s="59">
        <f t="shared" si="209"/>
        <v>0</v>
      </c>
      <c r="O2329" s="59">
        <f t="shared" si="212"/>
        <v>0</v>
      </c>
      <c r="P2329" s="59">
        <f t="shared" si="210"/>
        <v>0</v>
      </c>
    </row>
    <row r="2330" spans="12:16" ht="15" hidden="1" customHeight="1">
      <c r="L2330" s="58" t="str">
        <f t="shared" si="208"/>
        <v>-</v>
      </c>
      <c r="M2330" s="59">
        <f t="shared" si="211"/>
        <v>0</v>
      </c>
      <c r="N2330" s="59">
        <f t="shared" si="209"/>
        <v>0</v>
      </c>
      <c r="O2330" s="59">
        <f t="shared" si="212"/>
        <v>0</v>
      </c>
      <c r="P2330" s="59">
        <f t="shared" si="210"/>
        <v>0</v>
      </c>
    </row>
    <row r="2331" spans="12:16" ht="15" hidden="1" customHeight="1">
      <c r="L2331" s="58" t="str">
        <f t="shared" si="208"/>
        <v>-</v>
      </c>
      <c r="M2331" s="59">
        <f t="shared" si="211"/>
        <v>0</v>
      </c>
      <c r="N2331" s="59">
        <f t="shared" si="209"/>
        <v>0</v>
      </c>
      <c r="O2331" s="59">
        <f t="shared" si="212"/>
        <v>0</v>
      </c>
      <c r="P2331" s="59">
        <f t="shared" si="210"/>
        <v>0</v>
      </c>
    </row>
    <row r="2332" spans="12:16" ht="15" hidden="1" customHeight="1">
      <c r="L2332" s="58" t="str">
        <f t="shared" si="208"/>
        <v>-</v>
      </c>
      <c r="M2332" s="59">
        <f t="shared" si="211"/>
        <v>0</v>
      </c>
      <c r="N2332" s="59">
        <f t="shared" si="209"/>
        <v>0</v>
      </c>
      <c r="O2332" s="59">
        <f t="shared" si="212"/>
        <v>0</v>
      </c>
      <c r="P2332" s="59">
        <f t="shared" si="210"/>
        <v>0</v>
      </c>
    </row>
    <row r="2333" spans="12:16" ht="15" hidden="1" customHeight="1">
      <c r="L2333" s="58" t="str">
        <f t="shared" si="208"/>
        <v>-</v>
      </c>
      <c r="M2333" s="59">
        <f t="shared" si="211"/>
        <v>0</v>
      </c>
      <c r="N2333" s="59">
        <f t="shared" si="209"/>
        <v>0</v>
      </c>
      <c r="O2333" s="59">
        <f t="shared" si="212"/>
        <v>0</v>
      </c>
      <c r="P2333" s="59">
        <f t="shared" si="210"/>
        <v>0</v>
      </c>
    </row>
    <row r="2334" spans="12:16" ht="15" hidden="1" customHeight="1">
      <c r="L2334" s="58" t="str">
        <f t="shared" si="208"/>
        <v>-</v>
      </c>
      <c r="M2334" s="59">
        <f t="shared" si="211"/>
        <v>0</v>
      </c>
      <c r="N2334" s="59">
        <f t="shared" si="209"/>
        <v>0</v>
      </c>
      <c r="O2334" s="59">
        <f t="shared" si="212"/>
        <v>0</v>
      </c>
      <c r="P2334" s="59">
        <f t="shared" si="210"/>
        <v>0</v>
      </c>
    </row>
    <row r="2335" spans="12:16" ht="15" hidden="1" customHeight="1">
      <c r="L2335" s="58" t="str">
        <f t="shared" si="208"/>
        <v>-</v>
      </c>
      <c r="M2335" s="59">
        <f t="shared" si="211"/>
        <v>0</v>
      </c>
      <c r="N2335" s="59">
        <f t="shared" si="209"/>
        <v>0</v>
      </c>
      <c r="O2335" s="59">
        <f t="shared" si="212"/>
        <v>0</v>
      </c>
      <c r="P2335" s="59">
        <f t="shared" si="210"/>
        <v>0</v>
      </c>
    </row>
    <row r="2336" spans="12:16" ht="15" hidden="1" customHeight="1">
      <c r="L2336" s="58" t="str">
        <f t="shared" si="208"/>
        <v>-</v>
      </c>
      <c r="M2336" s="59">
        <f t="shared" si="211"/>
        <v>0</v>
      </c>
      <c r="N2336" s="59">
        <f t="shared" si="209"/>
        <v>0</v>
      </c>
      <c r="O2336" s="59">
        <f t="shared" si="212"/>
        <v>0</v>
      </c>
      <c r="P2336" s="59">
        <f t="shared" si="210"/>
        <v>0</v>
      </c>
    </row>
    <row r="2337" spans="12:16" ht="15" hidden="1" customHeight="1">
      <c r="L2337" s="58" t="str">
        <f t="shared" si="208"/>
        <v>-</v>
      </c>
      <c r="M2337" s="59">
        <f t="shared" si="211"/>
        <v>0</v>
      </c>
      <c r="N2337" s="59">
        <f t="shared" si="209"/>
        <v>0</v>
      </c>
      <c r="O2337" s="59">
        <f t="shared" si="212"/>
        <v>0</v>
      </c>
      <c r="P2337" s="59">
        <f t="shared" si="210"/>
        <v>0</v>
      </c>
    </row>
    <row r="2338" spans="12:16" ht="15" hidden="1" customHeight="1">
      <c r="L2338" s="58" t="str">
        <f t="shared" ref="L2338:L2401" si="213">IFERROR(IF(MAX(L2337+1,$F$5+1)&gt;Дата_погашения_Займа,"-",MAX(L2337+1,$F$5+1)),"-")</f>
        <v>-</v>
      </c>
      <c r="M2338" s="59">
        <f t="shared" si="211"/>
        <v>0</v>
      </c>
      <c r="N2338" s="59">
        <f t="shared" si="209"/>
        <v>0</v>
      </c>
      <c r="O2338" s="59">
        <f t="shared" si="212"/>
        <v>0</v>
      </c>
      <c r="P2338" s="59">
        <f t="shared" si="210"/>
        <v>0</v>
      </c>
    </row>
    <row r="2339" spans="12:16" ht="15" hidden="1" customHeight="1">
      <c r="L2339" s="58" t="str">
        <f t="shared" si="213"/>
        <v>-</v>
      </c>
      <c r="M2339" s="59">
        <f t="shared" si="211"/>
        <v>0</v>
      </c>
      <c r="N2339" s="59">
        <f t="shared" si="209"/>
        <v>0</v>
      </c>
      <c r="O2339" s="59">
        <f t="shared" si="212"/>
        <v>0</v>
      </c>
      <c r="P2339" s="59">
        <f t="shared" si="210"/>
        <v>0</v>
      </c>
    </row>
    <row r="2340" spans="12:16" ht="15" hidden="1" customHeight="1">
      <c r="L2340" s="58" t="str">
        <f t="shared" si="213"/>
        <v>-</v>
      </c>
      <c r="M2340" s="59">
        <f t="shared" si="211"/>
        <v>0</v>
      </c>
      <c r="N2340" s="59">
        <f t="shared" si="209"/>
        <v>0</v>
      </c>
      <c r="O2340" s="59">
        <f t="shared" si="212"/>
        <v>0</v>
      </c>
      <c r="P2340" s="59">
        <f t="shared" si="210"/>
        <v>0</v>
      </c>
    </row>
    <row r="2341" spans="12:16" ht="15" hidden="1" customHeight="1">
      <c r="L2341" s="58" t="str">
        <f t="shared" si="213"/>
        <v>-</v>
      </c>
      <c r="M2341" s="59">
        <f t="shared" si="211"/>
        <v>0</v>
      </c>
      <c r="N2341" s="59">
        <f t="shared" si="209"/>
        <v>0</v>
      </c>
      <c r="O2341" s="59">
        <f t="shared" si="212"/>
        <v>0</v>
      </c>
      <c r="P2341" s="59">
        <f t="shared" si="210"/>
        <v>0</v>
      </c>
    </row>
    <row r="2342" spans="12:16" ht="15" hidden="1" customHeight="1">
      <c r="L2342" s="58" t="str">
        <f t="shared" si="213"/>
        <v>-</v>
      </c>
      <c r="M2342" s="59">
        <f t="shared" si="211"/>
        <v>0</v>
      </c>
      <c r="N2342" s="59">
        <f t="shared" si="209"/>
        <v>0</v>
      </c>
      <c r="O2342" s="59">
        <f t="shared" si="212"/>
        <v>0</v>
      </c>
      <c r="P2342" s="59">
        <f t="shared" si="210"/>
        <v>0</v>
      </c>
    </row>
    <row r="2343" spans="12:16" ht="15" hidden="1" customHeight="1">
      <c r="L2343" s="58" t="str">
        <f t="shared" si="213"/>
        <v>-</v>
      </c>
      <c r="M2343" s="59">
        <f t="shared" si="211"/>
        <v>0</v>
      </c>
      <c r="N2343" s="59">
        <f t="shared" si="209"/>
        <v>0</v>
      </c>
      <c r="O2343" s="59">
        <f t="shared" si="212"/>
        <v>0</v>
      </c>
      <c r="P2343" s="59">
        <f t="shared" si="210"/>
        <v>0</v>
      </c>
    </row>
    <row r="2344" spans="12:16" ht="15" hidden="1" customHeight="1">
      <c r="L2344" s="58" t="str">
        <f t="shared" si="213"/>
        <v>-</v>
      </c>
      <c r="M2344" s="59">
        <f t="shared" si="211"/>
        <v>0</v>
      </c>
      <c r="N2344" s="59">
        <f t="shared" si="209"/>
        <v>0</v>
      </c>
      <c r="O2344" s="59">
        <f t="shared" si="212"/>
        <v>0</v>
      </c>
      <c r="P2344" s="59">
        <f t="shared" si="210"/>
        <v>0</v>
      </c>
    </row>
    <row r="2345" spans="12:16" ht="15" hidden="1" customHeight="1">
      <c r="L2345" s="58" t="str">
        <f t="shared" si="213"/>
        <v>-</v>
      </c>
      <c r="M2345" s="59">
        <f t="shared" si="211"/>
        <v>0</v>
      </c>
      <c r="N2345" s="59">
        <f t="shared" si="209"/>
        <v>0</v>
      </c>
      <c r="O2345" s="59">
        <f t="shared" si="212"/>
        <v>0</v>
      </c>
      <c r="P2345" s="59">
        <f t="shared" si="210"/>
        <v>0</v>
      </c>
    </row>
    <row r="2346" spans="12:16" ht="15" hidden="1" customHeight="1">
      <c r="L2346" s="58" t="str">
        <f t="shared" si="213"/>
        <v>-</v>
      </c>
      <c r="M2346" s="59">
        <f t="shared" si="211"/>
        <v>0</v>
      </c>
      <c r="N2346" s="59">
        <f t="shared" si="209"/>
        <v>0</v>
      </c>
      <c r="O2346" s="59">
        <f t="shared" si="212"/>
        <v>0</v>
      </c>
      <c r="P2346" s="59">
        <f t="shared" si="210"/>
        <v>0</v>
      </c>
    </row>
    <row r="2347" spans="12:16" ht="15" hidden="1" customHeight="1">
      <c r="L2347" s="58" t="str">
        <f t="shared" si="213"/>
        <v>-</v>
      </c>
      <c r="M2347" s="59">
        <f t="shared" si="211"/>
        <v>0</v>
      </c>
      <c r="N2347" s="59">
        <f t="shared" si="209"/>
        <v>0</v>
      </c>
      <c r="O2347" s="59">
        <f t="shared" si="212"/>
        <v>0</v>
      </c>
      <c r="P2347" s="59">
        <f t="shared" si="210"/>
        <v>0</v>
      </c>
    </row>
    <row r="2348" spans="12:16" ht="15" hidden="1" customHeight="1">
      <c r="L2348" s="58" t="str">
        <f t="shared" si="213"/>
        <v>-</v>
      </c>
      <c r="M2348" s="59">
        <f t="shared" si="211"/>
        <v>0</v>
      </c>
      <c r="N2348" s="59">
        <f t="shared" si="209"/>
        <v>0</v>
      </c>
      <c r="O2348" s="59">
        <f t="shared" si="212"/>
        <v>0</v>
      </c>
      <c r="P2348" s="59">
        <f t="shared" si="210"/>
        <v>0</v>
      </c>
    </row>
    <row r="2349" spans="12:16" ht="15" hidden="1" customHeight="1">
      <c r="L2349" s="58" t="str">
        <f t="shared" si="213"/>
        <v>-</v>
      </c>
      <c r="M2349" s="59">
        <f t="shared" si="211"/>
        <v>0</v>
      </c>
      <c r="N2349" s="59">
        <f t="shared" si="209"/>
        <v>0</v>
      </c>
      <c r="O2349" s="59">
        <f t="shared" si="212"/>
        <v>0</v>
      </c>
      <c r="P2349" s="59">
        <f t="shared" si="210"/>
        <v>0</v>
      </c>
    </row>
    <row r="2350" spans="12:16" ht="15" hidden="1" customHeight="1">
      <c r="L2350" s="58" t="str">
        <f t="shared" si="213"/>
        <v>-</v>
      </c>
      <c r="M2350" s="59">
        <f t="shared" si="211"/>
        <v>0</v>
      </c>
      <c r="N2350" s="59">
        <f t="shared" si="209"/>
        <v>0</v>
      </c>
      <c r="O2350" s="59">
        <f t="shared" si="212"/>
        <v>0</v>
      </c>
      <c r="P2350" s="59">
        <f t="shared" si="210"/>
        <v>0</v>
      </c>
    </row>
    <row r="2351" spans="12:16" ht="15" hidden="1" customHeight="1">
      <c r="L2351" s="58" t="str">
        <f t="shared" si="213"/>
        <v>-</v>
      </c>
      <c r="M2351" s="59">
        <f t="shared" si="211"/>
        <v>0</v>
      </c>
      <c r="N2351" s="59">
        <f t="shared" si="209"/>
        <v>0</v>
      </c>
      <c r="O2351" s="59">
        <f t="shared" si="212"/>
        <v>0</v>
      </c>
      <c r="P2351" s="59">
        <f t="shared" si="210"/>
        <v>0</v>
      </c>
    </row>
    <row r="2352" spans="12:16" ht="15" hidden="1" customHeight="1">
      <c r="L2352" s="58" t="str">
        <f t="shared" si="213"/>
        <v>-</v>
      </c>
      <c r="M2352" s="59">
        <f t="shared" si="211"/>
        <v>0</v>
      </c>
      <c r="N2352" s="59">
        <f t="shared" ref="N2352:N2415" si="214">IF(ISNUMBER(N2351),N2351-M2352,$E$8)</f>
        <v>0</v>
      </c>
      <c r="O2352" s="59">
        <f t="shared" si="212"/>
        <v>0</v>
      </c>
      <c r="P2352" s="59">
        <f t="shared" ref="P2352:P2415" si="215">IFERROR(IF(ISNUMBER(N2351),N2351,$E$8)*3%/IF(MOD(YEAR(L2352),4),365,366)*IF(ISBLANK(L2351),(L2352-$F$5),L2352-L2351),0)</f>
        <v>0</v>
      </c>
    </row>
    <row r="2353" spans="12:16" ht="15" hidden="1" customHeight="1">
      <c r="L2353" s="58" t="str">
        <f t="shared" si="213"/>
        <v>-</v>
      </c>
      <c r="M2353" s="59">
        <f t="shared" si="211"/>
        <v>0</v>
      </c>
      <c r="N2353" s="59">
        <f t="shared" si="214"/>
        <v>0</v>
      </c>
      <c r="O2353" s="59">
        <f t="shared" si="212"/>
        <v>0</v>
      </c>
      <c r="P2353" s="59">
        <f t="shared" si="215"/>
        <v>0</v>
      </c>
    </row>
    <row r="2354" spans="12:16" ht="15" hidden="1" customHeight="1">
      <c r="L2354" s="58" t="str">
        <f t="shared" si="213"/>
        <v>-</v>
      </c>
      <c r="M2354" s="59">
        <f t="shared" si="211"/>
        <v>0</v>
      </c>
      <c r="N2354" s="59">
        <f t="shared" si="214"/>
        <v>0</v>
      </c>
      <c r="O2354" s="59">
        <f t="shared" si="212"/>
        <v>0</v>
      </c>
      <c r="P2354" s="59">
        <f t="shared" si="215"/>
        <v>0</v>
      </c>
    </row>
    <row r="2355" spans="12:16" ht="15" hidden="1" customHeight="1">
      <c r="L2355" s="58" t="str">
        <f t="shared" si="213"/>
        <v>-</v>
      </c>
      <c r="M2355" s="59">
        <f t="shared" si="211"/>
        <v>0</v>
      </c>
      <c r="N2355" s="59">
        <f t="shared" si="214"/>
        <v>0</v>
      </c>
      <c r="O2355" s="59">
        <f t="shared" si="212"/>
        <v>0</v>
      </c>
      <c r="P2355" s="59">
        <f t="shared" si="215"/>
        <v>0</v>
      </c>
    </row>
    <row r="2356" spans="12:16" ht="15" hidden="1" customHeight="1">
      <c r="L2356" s="58" t="str">
        <f t="shared" si="213"/>
        <v>-</v>
      </c>
      <c r="M2356" s="59">
        <f t="shared" si="211"/>
        <v>0</v>
      </c>
      <c r="N2356" s="59">
        <f t="shared" si="214"/>
        <v>0</v>
      </c>
      <c r="O2356" s="59">
        <f t="shared" si="212"/>
        <v>0</v>
      </c>
      <c r="P2356" s="59">
        <f t="shared" si="215"/>
        <v>0</v>
      </c>
    </row>
    <row r="2357" spans="12:16" ht="15" hidden="1" customHeight="1">
      <c r="L2357" s="58" t="str">
        <f t="shared" si="213"/>
        <v>-</v>
      </c>
      <c r="M2357" s="59">
        <f t="shared" si="211"/>
        <v>0</v>
      </c>
      <c r="N2357" s="59">
        <f t="shared" si="214"/>
        <v>0</v>
      </c>
      <c r="O2357" s="59">
        <f t="shared" si="212"/>
        <v>0</v>
      </c>
      <c r="P2357" s="59">
        <f t="shared" si="215"/>
        <v>0</v>
      </c>
    </row>
    <row r="2358" spans="12:16" ht="15" hidden="1" customHeight="1">
      <c r="L2358" s="58" t="str">
        <f t="shared" si="213"/>
        <v>-</v>
      </c>
      <c r="M2358" s="59">
        <f t="shared" si="211"/>
        <v>0</v>
      </c>
      <c r="N2358" s="59">
        <f t="shared" si="214"/>
        <v>0</v>
      </c>
      <c r="O2358" s="59">
        <f t="shared" si="212"/>
        <v>0</v>
      </c>
      <c r="P2358" s="59">
        <f t="shared" si="215"/>
        <v>0</v>
      </c>
    </row>
    <row r="2359" spans="12:16" ht="15" hidden="1" customHeight="1">
      <c r="L2359" s="58" t="str">
        <f t="shared" si="213"/>
        <v>-</v>
      </c>
      <c r="M2359" s="59">
        <f t="shared" si="211"/>
        <v>0</v>
      </c>
      <c r="N2359" s="59">
        <f t="shared" si="214"/>
        <v>0</v>
      </c>
      <c r="O2359" s="59">
        <f t="shared" si="212"/>
        <v>0</v>
      </c>
      <c r="P2359" s="59">
        <f t="shared" si="215"/>
        <v>0</v>
      </c>
    </row>
    <row r="2360" spans="12:16" ht="15" hidden="1" customHeight="1">
      <c r="L2360" s="58" t="str">
        <f t="shared" si="213"/>
        <v>-</v>
      </c>
      <c r="M2360" s="59">
        <f t="shared" si="211"/>
        <v>0</v>
      </c>
      <c r="N2360" s="59">
        <f t="shared" si="214"/>
        <v>0</v>
      </c>
      <c r="O2360" s="59">
        <f t="shared" si="212"/>
        <v>0</v>
      </c>
      <c r="P2360" s="59">
        <f t="shared" si="215"/>
        <v>0</v>
      </c>
    </row>
    <row r="2361" spans="12:16" ht="15" hidden="1" customHeight="1">
      <c r="L2361" s="58" t="str">
        <f t="shared" si="213"/>
        <v>-</v>
      </c>
      <c r="M2361" s="59">
        <f t="shared" si="211"/>
        <v>0</v>
      </c>
      <c r="N2361" s="59">
        <f t="shared" si="214"/>
        <v>0</v>
      </c>
      <c r="O2361" s="59">
        <f t="shared" si="212"/>
        <v>0</v>
      </c>
      <c r="P2361" s="59">
        <f t="shared" si="215"/>
        <v>0</v>
      </c>
    </row>
    <row r="2362" spans="12:16" ht="15" hidden="1" customHeight="1">
      <c r="L2362" s="58" t="str">
        <f t="shared" si="213"/>
        <v>-</v>
      </c>
      <c r="M2362" s="59">
        <f t="shared" si="211"/>
        <v>0</v>
      </c>
      <c r="N2362" s="59">
        <f t="shared" si="214"/>
        <v>0</v>
      </c>
      <c r="O2362" s="59">
        <f t="shared" si="212"/>
        <v>0</v>
      </c>
      <c r="P2362" s="59">
        <f t="shared" si="215"/>
        <v>0</v>
      </c>
    </row>
    <row r="2363" spans="12:16" ht="15" hidden="1" customHeight="1">
      <c r="L2363" s="58" t="str">
        <f t="shared" si="213"/>
        <v>-</v>
      </c>
      <c r="M2363" s="59">
        <f t="shared" si="211"/>
        <v>0</v>
      </c>
      <c r="N2363" s="59">
        <f t="shared" si="214"/>
        <v>0</v>
      </c>
      <c r="O2363" s="59">
        <f t="shared" si="212"/>
        <v>0</v>
      </c>
      <c r="P2363" s="59">
        <f t="shared" si="215"/>
        <v>0</v>
      </c>
    </row>
    <row r="2364" spans="12:16" ht="15" hidden="1" customHeight="1">
      <c r="L2364" s="58" t="str">
        <f t="shared" si="213"/>
        <v>-</v>
      </c>
      <c r="M2364" s="59">
        <f t="shared" si="211"/>
        <v>0</v>
      </c>
      <c r="N2364" s="59">
        <f t="shared" si="214"/>
        <v>0</v>
      </c>
      <c r="O2364" s="59">
        <f t="shared" si="212"/>
        <v>0</v>
      </c>
      <c r="P2364" s="59">
        <f t="shared" si="215"/>
        <v>0</v>
      </c>
    </row>
    <row r="2365" spans="12:16" ht="15" hidden="1" customHeight="1">
      <c r="L2365" s="58" t="str">
        <f t="shared" si="213"/>
        <v>-</v>
      </c>
      <c r="M2365" s="59">
        <f t="shared" si="211"/>
        <v>0</v>
      </c>
      <c r="N2365" s="59">
        <f t="shared" si="214"/>
        <v>0</v>
      </c>
      <c r="O2365" s="59">
        <f t="shared" si="212"/>
        <v>0</v>
      </c>
      <c r="P2365" s="59">
        <f t="shared" si="215"/>
        <v>0</v>
      </c>
    </row>
    <row r="2366" spans="12:16" ht="15" hidden="1" customHeight="1">
      <c r="L2366" s="58" t="str">
        <f t="shared" si="213"/>
        <v>-</v>
      </c>
      <c r="M2366" s="59">
        <f t="shared" si="211"/>
        <v>0</v>
      </c>
      <c r="N2366" s="59">
        <f t="shared" si="214"/>
        <v>0</v>
      </c>
      <c r="O2366" s="59">
        <f t="shared" si="212"/>
        <v>0</v>
      </c>
      <c r="P2366" s="59">
        <f t="shared" si="215"/>
        <v>0</v>
      </c>
    </row>
    <row r="2367" spans="12:16" ht="15" hidden="1" customHeight="1">
      <c r="L2367" s="58" t="str">
        <f t="shared" si="213"/>
        <v>-</v>
      </c>
      <c r="M2367" s="59">
        <f t="shared" si="211"/>
        <v>0</v>
      </c>
      <c r="N2367" s="59">
        <f t="shared" si="214"/>
        <v>0</v>
      </c>
      <c r="O2367" s="59">
        <f t="shared" si="212"/>
        <v>0</v>
      </c>
      <c r="P2367" s="59">
        <f t="shared" si="215"/>
        <v>0</v>
      </c>
    </row>
    <row r="2368" spans="12:16" ht="15" hidden="1" customHeight="1">
      <c r="L2368" s="58" t="str">
        <f t="shared" si="213"/>
        <v>-</v>
      </c>
      <c r="M2368" s="59">
        <f t="shared" si="211"/>
        <v>0</v>
      </c>
      <c r="N2368" s="59">
        <f t="shared" si="214"/>
        <v>0</v>
      </c>
      <c r="O2368" s="59">
        <f t="shared" si="212"/>
        <v>0</v>
      </c>
      <c r="P2368" s="59">
        <f t="shared" si="215"/>
        <v>0</v>
      </c>
    </row>
    <row r="2369" spans="12:16" ht="15" hidden="1" customHeight="1">
      <c r="L2369" s="58" t="str">
        <f t="shared" si="213"/>
        <v>-</v>
      </c>
      <c r="M2369" s="59">
        <f t="shared" si="211"/>
        <v>0</v>
      </c>
      <c r="N2369" s="59">
        <f t="shared" si="214"/>
        <v>0</v>
      </c>
      <c r="O2369" s="59">
        <f t="shared" si="212"/>
        <v>0</v>
      </c>
      <c r="P2369" s="59">
        <f t="shared" si="215"/>
        <v>0</v>
      </c>
    </row>
    <row r="2370" spans="12:16" ht="15" hidden="1" customHeight="1">
      <c r="L2370" s="58" t="str">
        <f t="shared" si="213"/>
        <v>-</v>
      </c>
      <c r="M2370" s="59">
        <f t="shared" si="211"/>
        <v>0</v>
      </c>
      <c r="N2370" s="59">
        <f t="shared" si="214"/>
        <v>0</v>
      </c>
      <c r="O2370" s="59">
        <f t="shared" si="212"/>
        <v>0</v>
      </c>
      <c r="P2370" s="59">
        <f t="shared" si="215"/>
        <v>0</v>
      </c>
    </row>
    <row r="2371" spans="12:16" ht="15" hidden="1" customHeight="1">
      <c r="L2371" s="58" t="str">
        <f t="shared" si="213"/>
        <v>-</v>
      </c>
      <c r="M2371" s="59">
        <f t="shared" si="211"/>
        <v>0</v>
      </c>
      <c r="N2371" s="59">
        <f t="shared" si="214"/>
        <v>0</v>
      </c>
      <c r="O2371" s="59">
        <f t="shared" si="212"/>
        <v>0</v>
      </c>
      <c r="P2371" s="59">
        <f t="shared" si="215"/>
        <v>0</v>
      </c>
    </row>
    <row r="2372" spans="12:16" ht="15" hidden="1" customHeight="1">
      <c r="L2372" s="58" t="str">
        <f t="shared" si="213"/>
        <v>-</v>
      </c>
      <c r="M2372" s="59">
        <f t="shared" si="211"/>
        <v>0</v>
      </c>
      <c r="N2372" s="59">
        <f t="shared" si="214"/>
        <v>0</v>
      </c>
      <c r="O2372" s="59">
        <f t="shared" si="212"/>
        <v>0</v>
      </c>
      <c r="P2372" s="59">
        <f t="shared" si="215"/>
        <v>0</v>
      </c>
    </row>
    <row r="2373" spans="12:16" ht="15" hidden="1" customHeight="1">
      <c r="L2373" s="58" t="str">
        <f t="shared" si="213"/>
        <v>-</v>
      </c>
      <c r="M2373" s="59">
        <f t="shared" si="211"/>
        <v>0</v>
      </c>
      <c r="N2373" s="59">
        <f t="shared" si="214"/>
        <v>0</v>
      </c>
      <c r="O2373" s="59">
        <f t="shared" si="212"/>
        <v>0</v>
      </c>
      <c r="P2373" s="59">
        <f t="shared" si="215"/>
        <v>0</v>
      </c>
    </row>
    <row r="2374" spans="12:16" ht="15" hidden="1" customHeight="1">
      <c r="L2374" s="58" t="str">
        <f t="shared" si="213"/>
        <v>-</v>
      </c>
      <c r="M2374" s="59">
        <f t="shared" si="211"/>
        <v>0</v>
      </c>
      <c r="N2374" s="59">
        <f t="shared" si="214"/>
        <v>0</v>
      </c>
      <c r="O2374" s="59">
        <f t="shared" si="212"/>
        <v>0</v>
      </c>
      <c r="P2374" s="59">
        <f t="shared" si="215"/>
        <v>0</v>
      </c>
    </row>
    <row r="2375" spans="12:16" ht="15" hidden="1" customHeight="1">
      <c r="L2375" s="58" t="str">
        <f t="shared" si="213"/>
        <v>-</v>
      </c>
      <c r="M2375" s="59">
        <f t="shared" si="211"/>
        <v>0</v>
      </c>
      <c r="N2375" s="59">
        <f t="shared" si="214"/>
        <v>0</v>
      </c>
      <c r="O2375" s="59">
        <f t="shared" si="212"/>
        <v>0</v>
      </c>
      <c r="P2375" s="59">
        <f t="shared" si="215"/>
        <v>0</v>
      </c>
    </row>
    <row r="2376" spans="12:16" ht="15" hidden="1" customHeight="1">
      <c r="L2376" s="58" t="str">
        <f t="shared" si="213"/>
        <v>-</v>
      </c>
      <c r="M2376" s="59">
        <f t="shared" si="211"/>
        <v>0</v>
      </c>
      <c r="N2376" s="59">
        <f t="shared" si="214"/>
        <v>0</v>
      </c>
      <c r="O2376" s="59">
        <f t="shared" si="212"/>
        <v>0</v>
      </c>
      <c r="P2376" s="59">
        <f t="shared" si="215"/>
        <v>0</v>
      </c>
    </row>
    <row r="2377" spans="12:16" ht="15" hidden="1" customHeight="1">
      <c r="L2377" s="58" t="str">
        <f t="shared" si="213"/>
        <v>-</v>
      </c>
      <c r="M2377" s="59">
        <f t="shared" si="211"/>
        <v>0</v>
      </c>
      <c r="N2377" s="59">
        <f t="shared" si="214"/>
        <v>0</v>
      </c>
      <c r="O2377" s="59">
        <f t="shared" si="212"/>
        <v>0</v>
      </c>
      <c r="P2377" s="59">
        <f t="shared" si="215"/>
        <v>0</v>
      </c>
    </row>
    <row r="2378" spans="12:16" ht="15" hidden="1" customHeight="1">
      <c r="L2378" s="58" t="str">
        <f t="shared" si="213"/>
        <v>-</v>
      </c>
      <c r="M2378" s="59">
        <f t="shared" si="211"/>
        <v>0</v>
      </c>
      <c r="N2378" s="59">
        <f t="shared" si="214"/>
        <v>0</v>
      </c>
      <c r="O2378" s="59">
        <f t="shared" si="212"/>
        <v>0</v>
      </c>
      <c r="P2378" s="59">
        <f t="shared" si="215"/>
        <v>0</v>
      </c>
    </row>
    <row r="2379" spans="12:16" ht="15" hidden="1" customHeight="1">
      <c r="L2379" s="58" t="str">
        <f t="shared" si="213"/>
        <v>-</v>
      </c>
      <c r="M2379" s="59">
        <f t="shared" si="211"/>
        <v>0</v>
      </c>
      <c r="N2379" s="59">
        <f t="shared" si="214"/>
        <v>0</v>
      </c>
      <c r="O2379" s="59">
        <f t="shared" si="212"/>
        <v>0</v>
      </c>
      <c r="P2379" s="59">
        <f t="shared" si="215"/>
        <v>0</v>
      </c>
    </row>
    <row r="2380" spans="12:16" ht="15" hidden="1" customHeight="1">
      <c r="L2380" s="58" t="str">
        <f t="shared" si="213"/>
        <v>-</v>
      </c>
      <c r="M2380" s="59">
        <f t="shared" si="211"/>
        <v>0</v>
      </c>
      <c r="N2380" s="59">
        <f t="shared" si="214"/>
        <v>0</v>
      </c>
      <c r="O2380" s="59">
        <f t="shared" si="212"/>
        <v>0</v>
      </c>
      <c r="P2380" s="59">
        <f t="shared" si="215"/>
        <v>0</v>
      </c>
    </row>
    <row r="2381" spans="12:16" ht="15" hidden="1" customHeight="1">
      <c r="L2381" s="58" t="str">
        <f t="shared" si="213"/>
        <v>-</v>
      </c>
      <c r="M2381" s="59">
        <f t="shared" si="211"/>
        <v>0</v>
      </c>
      <c r="N2381" s="59">
        <f t="shared" si="214"/>
        <v>0</v>
      </c>
      <c r="O2381" s="59">
        <f t="shared" si="212"/>
        <v>0</v>
      </c>
      <c r="P2381" s="59">
        <f t="shared" si="215"/>
        <v>0</v>
      </c>
    </row>
    <row r="2382" spans="12:16" ht="15" hidden="1" customHeight="1">
      <c r="L2382" s="58" t="str">
        <f t="shared" si="213"/>
        <v>-</v>
      </c>
      <c r="M2382" s="59">
        <f t="shared" si="211"/>
        <v>0</v>
      </c>
      <c r="N2382" s="59">
        <f t="shared" si="214"/>
        <v>0</v>
      </c>
      <c r="O2382" s="59">
        <f t="shared" si="212"/>
        <v>0</v>
      </c>
      <c r="P2382" s="59">
        <f t="shared" si="215"/>
        <v>0</v>
      </c>
    </row>
    <row r="2383" spans="12:16" ht="15" hidden="1" customHeight="1">
      <c r="L2383" s="58" t="str">
        <f t="shared" si="213"/>
        <v>-</v>
      </c>
      <c r="M2383" s="59">
        <f t="shared" si="211"/>
        <v>0</v>
      </c>
      <c r="N2383" s="59">
        <f t="shared" si="214"/>
        <v>0</v>
      </c>
      <c r="O2383" s="59">
        <f t="shared" si="212"/>
        <v>0</v>
      </c>
      <c r="P2383" s="59">
        <f t="shared" si="215"/>
        <v>0</v>
      </c>
    </row>
    <row r="2384" spans="12:16" ht="15" hidden="1" customHeight="1">
      <c r="L2384" s="58" t="str">
        <f t="shared" si="213"/>
        <v>-</v>
      </c>
      <c r="M2384" s="59">
        <f t="shared" si="211"/>
        <v>0</v>
      </c>
      <c r="N2384" s="59">
        <f t="shared" si="214"/>
        <v>0</v>
      </c>
      <c r="O2384" s="59">
        <f t="shared" si="212"/>
        <v>0</v>
      </c>
      <c r="P2384" s="59">
        <f t="shared" si="215"/>
        <v>0</v>
      </c>
    </row>
    <row r="2385" spans="12:16" ht="15" hidden="1" customHeight="1">
      <c r="L2385" s="58" t="str">
        <f t="shared" si="213"/>
        <v>-</v>
      </c>
      <c r="M2385" s="59">
        <f t="shared" si="211"/>
        <v>0</v>
      </c>
      <c r="N2385" s="59">
        <f t="shared" si="214"/>
        <v>0</v>
      </c>
      <c r="O2385" s="59">
        <f t="shared" si="212"/>
        <v>0</v>
      </c>
      <c r="P2385" s="59">
        <f t="shared" si="215"/>
        <v>0</v>
      </c>
    </row>
    <row r="2386" spans="12:16" ht="15" hidden="1" customHeight="1">
      <c r="L2386" s="58" t="str">
        <f t="shared" si="213"/>
        <v>-</v>
      </c>
      <c r="M2386" s="59">
        <f t="shared" si="211"/>
        <v>0</v>
      </c>
      <c r="N2386" s="59">
        <f t="shared" si="214"/>
        <v>0</v>
      </c>
      <c r="O2386" s="59">
        <f t="shared" si="212"/>
        <v>0</v>
      </c>
      <c r="P2386" s="59">
        <f t="shared" si="215"/>
        <v>0</v>
      </c>
    </row>
    <row r="2387" spans="12:16" ht="15" hidden="1" customHeight="1">
      <c r="L2387" s="58" t="str">
        <f t="shared" si="213"/>
        <v>-</v>
      </c>
      <c r="M2387" s="59">
        <f t="shared" ref="M2387:M2450" si="216">IFERROR(VLOOKUP(L2387,$B$19:$E$80,4,FALSE),0)</f>
        <v>0</v>
      </c>
      <c r="N2387" s="59">
        <f t="shared" si="214"/>
        <v>0</v>
      </c>
      <c r="O2387" s="59">
        <f t="shared" ref="O2387:O2450" si="217">IFERROR(IF(ISNUMBER(N2386),N2386,$E$8)*IF(L2387&gt;=$J$8,$E$12,$E$12)/IF(MOD(YEAR(L2387),4),365,366)*IF(ISBLANK(L2386),L2387-$F$5,L2387-L2386),0)</f>
        <v>0</v>
      </c>
      <c r="P2387" s="59">
        <f t="shared" si="215"/>
        <v>0</v>
      </c>
    </row>
    <row r="2388" spans="12:16" ht="15" hidden="1" customHeight="1">
      <c r="L2388" s="58" t="str">
        <f t="shared" si="213"/>
        <v>-</v>
      </c>
      <c r="M2388" s="59">
        <f t="shared" si="216"/>
        <v>0</v>
      </c>
      <c r="N2388" s="59">
        <f t="shared" si="214"/>
        <v>0</v>
      </c>
      <c r="O2388" s="59">
        <f t="shared" si="217"/>
        <v>0</v>
      </c>
      <c r="P2388" s="59">
        <f t="shared" si="215"/>
        <v>0</v>
      </c>
    </row>
    <row r="2389" spans="12:16" ht="15" hidden="1" customHeight="1">
      <c r="L2389" s="58" t="str">
        <f t="shared" si="213"/>
        <v>-</v>
      </c>
      <c r="M2389" s="59">
        <f t="shared" si="216"/>
        <v>0</v>
      </c>
      <c r="N2389" s="59">
        <f t="shared" si="214"/>
        <v>0</v>
      </c>
      <c r="O2389" s="59">
        <f t="shared" si="217"/>
        <v>0</v>
      </c>
      <c r="P2389" s="59">
        <f t="shared" si="215"/>
        <v>0</v>
      </c>
    </row>
    <row r="2390" spans="12:16" ht="15" hidden="1" customHeight="1">
      <c r="L2390" s="58" t="str">
        <f t="shared" si="213"/>
        <v>-</v>
      </c>
      <c r="M2390" s="59">
        <f t="shared" si="216"/>
        <v>0</v>
      </c>
      <c r="N2390" s="59">
        <f t="shared" si="214"/>
        <v>0</v>
      </c>
      <c r="O2390" s="59">
        <f t="shared" si="217"/>
        <v>0</v>
      </c>
      <c r="P2390" s="59">
        <f t="shared" si="215"/>
        <v>0</v>
      </c>
    </row>
    <row r="2391" spans="12:16" ht="15" hidden="1" customHeight="1">
      <c r="L2391" s="58" t="str">
        <f t="shared" si="213"/>
        <v>-</v>
      </c>
      <c r="M2391" s="59">
        <f t="shared" si="216"/>
        <v>0</v>
      </c>
      <c r="N2391" s="59">
        <f t="shared" si="214"/>
        <v>0</v>
      </c>
      <c r="O2391" s="59">
        <f t="shared" si="217"/>
        <v>0</v>
      </c>
      <c r="P2391" s="59">
        <f t="shared" si="215"/>
        <v>0</v>
      </c>
    </row>
    <row r="2392" spans="12:16" ht="15" hidden="1" customHeight="1">
      <c r="L2392" s="58" t="str">
        <f t="shared" si="213"/>
        <v>-</v>
      </c>
      <c r="M2392" s="59">
        <f t="shared" si="216"/>
        <v>0</v>
      </c>
      <c r="N2392" s="59">
        <f t="shared" si="214"/>
        <v>0</v>
      </c>
      <c r="O2392" s="59">
        <f t="shared" si="217"/>
        <v>0</v>
      </c>
      <c r="P2392" s="59">
        <f t="shared" si="215"/>
        <v>0</v>
      </c>
    </row>
    <row r="2393" spans="12:16" ht="15" hidden="1" customHeight="1">
      <c r="L2393" s="58" t="str">
        <f t="shared" si="213"/>
        <v>-</v>
      </c>
      <c r="M2393" s="59">
        <f t="shared" si="216"/>
        <v>0</v>
      </c>
      <c r="N2393" s="59">
        <f t="shared" si="214"/>
        <v>0</v>
      </c>
      <c r="O2393" s="59">
        <f t="shared" si="217"/>
        <v>0</v>
      </c>
      <c r="P2393" s="59">
        <f t="shared" si="215"/>
        <v>0</v>
      </c>
    </row>
    <row r="2394" spans="12:16" ht="15" hidden="1" customHeight="1">
      <c r="L2394" s="58" t="str">
        <f t="shared" si="213"/>
        <v>-</v>
      </c>
      <c r="M2394" s="59">
        <f t="shared" si="216"/>
        <v>0</v>
      </c>
      <c r="N2394" s="59">
        <f t="shared" si="214"/>
        <v>0</v>
      </c>
      <c r="O2394" s="59">
        <f t="shared" si="217"/>
        <v>0</v>
      </c>
      <c r="P2394" s="59">
        <f t="shared" si="215"/>
        <v>0</v>
      </c>
    </row>
    <row r="2395" spans="12:16" ht="15" hidden="1" customHeight="1">
      <c r="L2395" s="58" t="str">
        <f t="shared" si="213"/>
        <v>-</v>
      </c>
      <c r="M2395" s="59">
        <f t="shared" si="216"/>
        <v>0</v>
      </c>
      <c r="N2395" s="59">
        <f t="shared" si="214"/>
        <v>0</v>
      </c>
      <c r="O2395" s="59">
        <f t="shared" si="217"/>
        <v>0</v>
      </c>
      <c r="P2395" s="59">
        <f t="shared" si="215"/>
        <v>0</v>
      </c>
    </row>
    <row r="2396" spans="12:16" ht="15" hidden="1" customHeight="1">
      <c r="L2396" s="58" t="str">
        <f t="shared" si="213"/>
        <v>-</v>
      </c>
      <c r="M2396" s="59">
        <f t="shared" si="216"/>
        <v>0</v>
      </c>
      <c r="N2396" s="59">
        <f t="shared" si="214"/>
        <v>0</v>
      </c>
      <c r="O2396" s="59">
        <f t="shared" si="217"/>
        <v>0</v>
      </c>
      <c r="P2396" s="59">
        <f t="shared" si="215"/>
        <v>0</v>
      </c>
    </row>
    <row r="2397" spans="12:16" ht="15" hidden="1" customHeight="1">
      <c r="L2397" s="58" t="str">
        <f t="shared" si="213"/>
        <v>-</v>
      </c>
      <c r="M2397" s="59">
        <f t="shared" si="216"/>
        <v>0</v>
      </c>
      <c r="N2397" s="59">
        <f t="shared" si="214"/>
        <v>0</v>
      </c>
      <c r="O2397" s="59">
        <f t="shared" si="217"/>
        <v>0</v>
      </c>
      <c r="P2397" s="59">
        <f t="shared" si="215"/>
        <v>0</v>
      </c>
    </row>
    <row r="2398" spans="12:16" ht="15" hidden="1" customHeight="1">
      <c r="L2398" s="58" t="str">
        <f t="shared" si="213"/>
        <v>-</v>
      </c>
      <c r="M2398" s="59">
        <f t="shared" si="216"/>
        <v>0</v>
      </c>
      <c r="N2398" s="59">
        <f t="shared" si="214"/>
        <v>0</v>
      </c>
      <c r="O2398" s="59">
        <f t="shared" si="217"/>
        <v>0</v>
      </c>
      <c r="P2398" s="59">
        <f t="shared" si="215"/>
        <v>0</v>
      </c>
    </row>
    <row r="2399" spans="12:16" ht="15" hidden="1" customHeight="1">
      <c r="L2399" s="58" t="str">
        <f t="shared" si="213"/>
        <v>-</v>
      </c>
      <c r="M2399" s="59">
        <f t="shared" si="216"/>
        <v>0</v>
      </c>
      <c r="N2399" s="59">
        <f t="shared" si="214"/>
        <v>0</v>
      </c>
      <c r="O2399" s="59">
        <f t="shared" si="217"/>
        <v>0</v>
      </c>
      <c r="P2399" s="59">
        <f t="shared" si="215"/>
        <v>0</v>
      </c>
    </row>
    <row r="2400" spans="12:16" ht="15" hidden="1" customHeight="1">
      <c r="L2400" s="58" t="str">
        <f t="shared" si="213"/>
        <v>-</v>
      </c>
      <c r="M2400" s="59">
        <f t="shared" si="216"/>
        <v>0</v>
      </c>
      <c r="N2400" s="59">
        <f t="shared" si="214"/>
        <v>0</v>
      </c>
      <c r="O2400" s="59">
        <f t="shared" si="217"/>
        <v>0</v>
      </c>
      <c r="P2400" s="59">
        <f t="shared" si="215"/>
        <v>0</v>
      </c>
    </row>
    <row r="2401" spans="12:16" ht="15" hidden="1" customHeight="1">
      <c r="L2401" s="58" t="str">
        <f t="shared" si="213"/>
        <v>-</v>
      </c>
      <c r="M2401" s="59">
        <f t="shared" si="216"/>
        <v>0</v>
      </c>
      <c r="N2401" s="59">
        <f t="shared" si="214"/>
        <v>0</v>
      </c>
      <c r="O2401" s="59">
        <f t="shared" si="217"/>
        <v>0</v>
      </c>
      <c r="P2401" s="59">
        <f t="shared" si="215"/>
        <v>0</v>
      </c>
    </row>
    <row r="2402" spans="12:16" ht="15" hidden="1" customHeight="1">
      <c r="L2402" s="58" t="str">
        <f t="shared" ref="L2402:L2465" si="218">IFERROR(IF(MAX(L2401+1,$F$5+1)&gt;Дата_погашения_Займа,"-",MAX(L2401+1,$F$5+1)),"-")</f>
        <v>-</v>
      </c>
      <c r="M2402" s="59">
        <f t="shared" si="216"/>
        <v>0</v>
      </c>
      <c r="N2402" s="59">
        <f t="shared" si="214"/>
        <v>0</v>
      </c>
      <c r="O2402" s="59">
        <f t="shared" si="217"/>
        <v>0</v>
      </c>
      <c r="P2402" s="59">
        <f t="shared" si="215"/>
        <v>0</v>
      </c>
    </row>
    <row r="2403" spans="12:16" ht="15" hidden="1" customHeight="1">
      <c r="L2403" s="58" t="str">
        <f t="shared" si="218"/>
        <v>-</v>
      </c>
      <c r="M2403" s="59">
        <f t="shared" si="216"/>
        <v>0</v>
      </c>
      <c r="N2403" s="59">
        <f t="shared" si="214"/>
        <v>0</v>
      </c>
      <c r="O2403" s="59">
        <f t="shared" si="217"/>
        <v>0</v>
      </c>
      <c r="P2403" s="59">
        <f t="shared" si="215"/>
        <v>0</v>
      </c>
    </row>
    <row r="2404" spans="12:16" ht="15" hidden="1" customHeight="1">
      <c r="L2404" s="58" t="str">
        <f t="shared" si="218"/>
        <v>-</v>
      </c>
      <c r="M2404" s="59">
        <f t="shared" si="216"/>
        <v>0</v>
      </c>
      <c r="N2404" s="59">
        <f t="shared" si="214"/>
        <v>0</v>
      </c>
      <c r="O2404" s="59">
        <f t="shared" si="217"/>
        <v>0</v>
      </c>
      <c r="P2404" s="59">
        <f t="shared" si="215"/>
        <v>0</v>
      </c>
    </row>
    <row r="2405" spans="12:16" ht="15" hidden="1" customHeight="1">
      <c r="L2405" s="58" t="str">
        <f t="shared" si="218"/>
        <v>-</v>
      </c>
      <c r="M2405" s="59">
        <f t="shared" si="216"/>
        <v>0</v>
      </c>
      <c r="N2405" s="59">
        <f t="shared" si="214"/>
        <v>0</v>
      </c>
      <c r="O2405" s="59">
        <f t="shared" si="217"/>
        <v>0</v>
      </c>
      <c r="P2405" s="59">
        <f t="shared" si="215"/>
        <v>0</v>
      </c>
    </row>
    <row r="2406" spans="12:16" ht="15" hidden="1" customHeight="1">
      <c r="L2406" s="58" t="str">
        <f t="shared" si="218"/>
        <v>-</v>
      </c>
      <c r="M2406" s="59">
        <f t="shared" si="216"/>
        <v>0</v>
      </c>
      <c r="N2406" s="59">
        <f t="shared" si="214"/>
        <v>0</v>
      </c>
      <c r="O2406" s="59">
        <f t="shared" si="217"/>
        <v>0</v>
      </c>
      <c r="P2406" s="59">
        <f t="shared" si="215"/>
        <v>0</v>
      </c>
    </row>
    <row r="2407" spans="12:16" ht="15" hidden="1" customHeight="1">
      <c r="L2407" s="58" t="str">
        <f t="shared" si="218"/>
        <v>-</v>
      </c>
      <c r="M2407" s="59">
        <f t="shared" si="216"/>
        <v>0</v>
      </c>
      <c r="N2407" s="59">
        <f t="shared" si="214"/>
        <v>0</v>
      </c>
      <c r="O2407" s="59">
        <f t="shared" si="217"/>
        <v>0</v>
      </c>
      <c r="P2407" s="59">
        <f t="shared" si="215"/>
        <v>0</v>
      </c>
    </row>
    <row r="2408" spans="12:16" ht="15" hidden="1" customHeight="1">
      <c r="L2408" s="58" t="str">
        <f t="shared" si="218"/>
        <v>-</v>
      </c>
      <c r="M2408" s="59">
        <f t="shared" si="216"/>
        <v>0</v>
      </c>
      <c r="N2408" s="59">
        <f t="shared" si="214"/>
        <v>0</v>
      </c>
      <c r="O2408" s="59">
        <f t="shared" si="217"/>
        <v>0</v>
      </c>
      <c r="P2408" s="59">
        <f t="shared" si="215"/>
        <v>0</v>
      </c>
    </row>
    <row r="2409" spans="12:16" ht="15" hidden="1" customHeight="1">
      <c r="L2409" s="58" t="str">
        <f t="shared" si="218"/>
        <v>-</v>
      </c>
      <c r="M2409" s="59">
        <f t="shared" si="216"/>
        <v>0</v>
      </c>
      <c r="N2409" s="59">
        <f t="shared" si="214"/>
        <v>0</v>
      </c>
      <c r="O2409" s="59">
        <f t="shared" si="217"/>
        <v>0</v>
      </c>
      <c r="P2409" s="59">
        <f t="shared" si="215"/>
        <v>0</v>
      </c>
    </row>
    <row r="2410" spans="12:16" ht="15" hidden="1" customHeight="1">
      <c r="L2410" s="58" t="str">
        <f t="shared" si="218"/>
        <v>-</v>
      </c>
      <c r="M2410" s="59">
        <f t="shared" si="216"/>
        <v>0</v>
      </c>
      <c r="N2410" s="59">
        <f t="shared" si="214"/>
        <v>0</v>
      </c>
      <c r="O2410" s="59">
        <f t="shared" si="217"/>
        <v>0</v>
      </c>
      <c r="P2410" s="59">
        <f t="shared" si="215"/>
        <v>0</v>
      </c>
    </row>
    <row r="2411" spans="12:16" ht="15" hidden="1" customHeight="1">
      <c r="L2411" s="58" t="str">
        <f t="shared" si="218"/>
        <v>-</v>
      </c>
      <c r="M2411" s="59">
        <f t="shared" si="216"/>
        <v>0</v>
      </c>
      <c r="N2411" s="59">
        <f t="shared" si="214"/>
        <v>0</v>
      </c>
      <c r="O2411" s="59">
        <f t="shared" si="217"/>
        <v>0</v>
      </c>
      <c r="P2411" s="59">
        <f t="shared" si="215"/>
        <v>0</v>
      </c>
    </row>
    <row r="2412" spans="12:16" ht="15" hidden="1" customHeight="1">
      <c r="L2412" s="58" t="str">
        <f t="shared" si="218"/>
        <v>-</v>
      </c>
      <c r="M2412" s="59">
        <f t="shared" si="216"/>
        <v>0</v>
      </c>
      <c r="N2412" s="59">
        <f t="shared" si="214"/>
        <v>0</v>
      </c>
      <c r="O2412" s="59">
        <f t="shared" si="217"/>
        <v>0</v>
      </c>
      <c r="P2412" s="59">
        <f t="shared" si="215"/>
        <v>0</v>
      </c>
    </row>
    <row r="2413" spans="12:16" ht="15" hidden="1" customHeight="1">
      <c r="L2413" s="58" t="str">
        <f t="shared" si="218"/>
        <v>-</v>
      </c>
      <c r="M2413" s="59">
        <f t="shared" si="216"/>
        <v>0</v>
      </c>
      <c r="N2413" s="59">
        <f t="shared" si="214"/>
        <v>0</v>
      </c>
      <c r="O2413" s="59">
        <f t="shared" si="217"/>
        <v>0</v>
      </c>
      <c r="P2413" s="59">
        <f t="shared" si="215"/>
        <v>0</v>
      </c>
    </row>
    <row r="2414" spans="12:16" ht="15" hidden="1" customHeight="1">
      <c r="L2414" s="58" t="str">
        <f t="shared" si="218"/>
        <v>-</v>
      </c>
      <c r="M2414" s="59">
        <f t="shared" si="216"/>
        <v>0</v>
      </c>
      <c r="N2414" s="59">
        <f t="shared" si="214"/>
        <v>0</v>
      </c>
      <c r="O2414" s="59">
        <f t="shared" si="217"/>
        <v>0</v>
      </c>
      <c r="P2414" s="59">
        <f t="shared" si="215"/>
        <v>0</v>
      </c>
    </row>
    <row r="2415" spans="12:16" ht="15" hidden="1" customHeight="1">
      <c r="L2415" s="58" t="str">
        <f t="shared" si="218"/>
        <v>-</v>
      </c>
      <c r="M2415" s="59">
        <f t="shared" si="216"/>
        <v>0</v>
      </c>
      <c r="N2415" s="59">
        <f t="shared" si="214"/>
        <v>0</v>
      </c>
      <c r="O2415" s="59">
        <f t="shared" si="217"/>
        <v>0</v>
      </c>
      <c r="P2415" s="59">
        <f t="shared" si="215"/>
        <v>0</v>
      </c>
    </row>
    <row r="2416" spans="12:16" ht="15" hidden="1" customHeight="1">
      <c r="L2416" s="58" t="str">
        <f t="shared" si="218"/>
        <v>-</v>
      </c>
      <c r="M2416" s="59">
        <f t="shared" si="216"/>
        <v>0</v>
      </c>
      <c r="N2416" s="59">
        <f t="shared" ref="N2416:N2479" si="219">IF(ISNUMBER(N2415),N2415-M2416,$E$8)</f>
        <v>0</v>
      </c>
      <c r="O2416" s="59">
        <f t="shared" si="217"/>
        <v>0</v>
      </c>
      <c r="P2416" s="59">
        <f t="shared" ref="P2416:P2479" si="220">IFERROR(IF(ISNUMBER(N2415),N2415,$E$8)*3%/IF(MOD(YEAR(L2416),4),365,366)*IF(ISBLANK(L2415),(L2416-$F$5),L2416-L2415),0)</f>
        <v>0</v>
      </c>
    </row>
    <row r="2417" spans="12:16" ht="15" hidden="1" customHeight="1">
      <c r="L2417" s="58" t="str">
        <f t="shared" si="218"/>
        <v>-</v>
      </c>
      <c r="M2417" s="59">
        <f t="shared" si="216"/>
        <v>0</v>
      </c>
      <c r="N2417" s="59">
        <f t="shared" si="219"/>
        <v>0</v>
      </c>
      <c r="O2417" s="59">
        <f t="shared" si="217"/>
        <v>0</v>
      </c>
      <c r="P2417" s="59">
        <f t="shared" si="220"/>
        <v>0</v>
      </c>
    </row>
    <row r="2418" spans="12:16" ht="15" hidden="1" customHeight="1">
      <c r="L2418" s="58" t="str">
        <f t="shared" si="218"/>
        <v>-</v>
      </c>
      <c r="M2418" s="59">
        <f t="shared" si="216"/>
        <v>0</v>
      </c>
      <c r="N2418" s="59">
        <f t="shared" si="219"/>
        <v>0</v>
      </c>
      <c r="O2418" s="59">
        <f t="shared" si="217"/>
        <v>0</v>
      </c>
      <c r="P2418" s="59">
        <f t="shared" si="220"/>
        <v>0</v>
      </c>
    </row>
    <row r="2419" spans="12:16" ht="15" hidden="1" customHeight="1">
      <c r="L2419" s="58" t="str">
        <f t="shared" si="218"/>
        <v>-</v>
      </c>
      <c r="M2419" s="59">
        <f t="shared" si="216"/>
        <v>0</v>
      </c>
      <c r="N2419" s="59">
        <f t="shared" si="219"/>
        <v>0</v>
      </c>
      <c r="O2419" s="59">
        <f t="shared" si="217"/>
        <v>0</v>
      </c>
      <c r="P2419" s="59">
        <f t="shared" si="220"/>
        <v>0</v>
      </c>
    </row>
    <row r="2420" spans="12:16" ht="15" hidden="1" customHeight="1">
      <c r="L2420" s="58" t="str">
        <f t="shared" si="218"/>
        <v>-</v>
      </c>
      <c r="M2420" s="59">
        <f t="shared" si="216"/>
        <v>0</v>
      </c>
      <c r="N2420" s="59">
        <f t="shared" si="219"/>
        <v>0</v>
      </c>
      <c r="O2420" s="59">
        <f t="shared" si="217"/>
        <v>0</v>
      </c>
      <c r="P2420" s="59">
        <f t="shared" si="220"/>
        <v>0</v>
      </c>
    </row>
    <row r="2421" spans="12:16" ht="15" hidden="1" customHeight="1">
      <c r="L2421" s="58" t="str">
        <f t="shared" si="218"/>
        <v>-</v>
      </c>
      <c r="M2421" s="59">
        <f t="shared" si="216"/>
        <v>0</v>
      </c>
      <c r="N2421" s="59">
        <f t="shared" si="219"/>
        <v>0</v>
      </c>
      <c r="O2421" s="59">
        <f t="shared" si="217"/>
        <v>0</v>
      </c>
      <c r="P2421" s="59">
        <f t="shared" si="220"/>
        <v>0</v>
      </c>
    </row>
    <row r="2422" spans="12:16" ht="15" hidden="1" customHeight="1">
      <c r="L2422" s="58" t="str">
        <f t="shared" si="218"/>
        <v>-</v>
      </c>
      <c r="M2422" s="59">
        <f t="shared" si="216"/>
        <v>0</v>
      </c>
      <c r="N2422" s="59">
        <f t="shared" si="219"/>
        <v>0</v>
      </c>
      <c r="O2422" s="59">
        <f t="shared" si="217"/>
        <v>0</v>
      </c>
      <c r="P2422" s="59">
        <f t="shared" si="220"/>
        <v>0</v>
      </c>
    </row>
    <row r="2423" spans="12:16" ht="15" hidden="1" customHeight="1">
      <c r="L2423" s="58" t="str">
        <f t="shared" si="218"/>
        <v>-</v>
      </c>
      <c r="M2423" s="59">
        <f t="shared" si="216"/>
        <v>0</v>
      </c>
      <c r="N2423" s="59">
        <f t="shared" si="219"/>
        <v>0</v>
      </c>
      <c r="O2423" s="59">
        <f t="shared" si="217"/>
        <v>0</v>
      </c>
      <c r="P2423" s="59">
        <f t="shared" si="220"/>
        <v>0</v>
      </c>
    </row>
    <row r="2424" spans="12:16" ht="15" hidden="1" customHeight="1">
      <c r="L2424" s="58" t="str">
        <f t="shared" si="218"/>
        <v>-</v>
      </c>
      <c r="M2424" s="59">
        <f t="shared" si="216"/>
        <v>0</v>
      </c>
      <c r="N2424" s="59">
        <f t="shared" si="219"/>
        <v>0</v>
      </c>
      <c r="O2424" s="59">
        <f t="shared" si="217"/>
        <v>0</v>
      </c>
      <c r="P2424" s="59">
        <f t="shared" si="220"/>
        <v>0</v>
      </c>
    </row>
    <row r="2425" spans="12:16" ht="15" hidden="1" customHeight="1">
      <c r="L2425" s="58" t="str">
        <f t="shared" si="218"/>
        <v>-</v>
      </c>
      <c r="M2425" s="59">
        <f t="shared" si="216"/>
        <v>0</v>
      </c>
      <c r="N2425" s="59">
        <f t="shared" si="219"/>
        <v>0</v>
      </c>
      <c r="O2425" s="59">
        <f t="shared" si="217"/>
        <v>0</v>
      </c>
      <c r="P2425" s="59">
        <f t="shared" si="220"/>
        <v>0</v>
      </c>
    </row>
    <row r="2426" spans="12:16" ht="15" hidden="1" customHeight="1">
      <c r="L2426" s="58" t="str">
        <f t="shared" si="218"/>
        <v>-</v>
      </c>
      <c r="M2426" s="59">
        <f t="shared" si="216"/>
        <v>0</v>
      </c>
      <c r="N2426" s="59">
        <f t="shared" si="219"/>
        <v>0</v>
      </c>
      <c r="O2426" s="59">
        <f t="shared" si="217"/>
        <v>0</v>
      </c>
      <c r="P2426" s="59">
        <f t="shared" si="220"/>
        <v>0</v>
      </c>
    </row>
    <row r="2427" spans="12:16" ht="15" hidden="1" customHeight="1">
      <c r="L2427" s="58" t="str">
        <f t="shared" si="218"/>
        <v>-</v>
      </c>
      <c r="M2427" s="59">
        <f t="shared" si="216"/>
        <v>0</v>
      </c>
      <c r="N2427" s="59">
        <f t="shared" si="219"/>
        <v>0</v>
      </c>
      <c r="O2427" s="59">
        <f t="shared" si="217"/>
        <v>0</v>
      </c>
      <c r="P2427" s="59">
        <f t="shared" si="220"/>
        <v>0</v>
      </c>
    </row>
    <row r="2428" spans="12:16" ht="15" hidden="1" customHeight="1">
      <c r="L2428" s="58" t="str">
        <f t="shared" si="218"/>
        <v>-</v>
      </c>
      <c r="M2428" s="59">
        <f t="shared" si="216"/>
        <v>0</v>
      </c>
      <c r="N2428" s="59">
        <f t="shared" si="219"/>
        <v>0</v>
      </c>
      <c r="O2428" s="59">
        <f t="shared" si="217"/>
        <v>0</v>
      </c>
      <c r="P2428" s="59">
        <f t="shared" si="220"/>
        <v>0</v>
      </c>
    </row>
    <row r="2429" spans="12:16" ht="15" hidden="1" customHeight="1">
      <c r="L2429" s="58" t="str">
        <f t="shared" si="218"/>
        <v>-</v>
      </c>
      <c r="M2429" s="59">
        <f t="shared" si="216"/>
        <v>0</v>
      </c>
      <c r="N2429" s="59">
        <f t="shared" si="219"/>
        <v>0</v>
      </c>
      <c r="O2429" s="59">
        <f t="shared" si="217"/>
        <v>0</v>
      </c>
      <c r="P2429" s="59">
        <f t="shared" si="220"/>
        <v>0</v>
      </c>
    </row>
    <row r="2430" spans="12:16" ht="15" hidden="1" customHeight="1">
      <c r="L2430" s="58" t="str">
        <f t="shared" si="218"/>
        <v>-</v>
      </c>
      <c r="M2430" s="59">
        <f t="shared" si="216"/>
        <v>0</v>
      </c>
      <c r="N2430" s="59">
        <f t="shared" si="219"/>
        <v>0</v>
      </c>
      <c r="O2430" s="59">
        <f t="shared" si="217"/>
        <v>0</v>
      </c>
      <c r="P2430" s="59">
        <f t="shared" si="220"/>
        <v>0</v>
      </c>
    </row>
    <row r="2431" spans="12:16" ht="15" hidden="1" customHeight="1">
      <c r="L2431" s="58" t="str">
        <f t="shared" si="218"/>
        <v>-</v>
      </c>
      <c r="M2431" s="59">
        <f t="shared" si="216"/>
        <v>0</v>
      </c>
      <c r="N2431" s="59">
        <f t="shared" si="219"/>
        <v>0</v>
      </c>
      <c r="O2431" s="59">
        <f t="shared" si="217"/>
        <v>0</v>
      </c>
      <c r="P2431" s="59">
        <f t="shared" si="220"/>
        <v>0</v>
      </c>
    </row>
    <row r="2432" spans="12:16" ht="15" hidden="1" customHeight="1">
      <c r="L2432" s="58" t="str">
        <f t="shared" si="218"/>
        <v>-</v>
      </c>
      <c r="M2432" s="59">
        <f t="shared" si="216"/>
        <v>0</v>
      </c>
      <c r="N2432" s="59">
        <f t="shared" si="219"/>
        <v>0</v>
      </c>
      <c r="O2432" s="59">
        <f t="shared" si="217"/>
        <v>0</v>
      </c>
      <c r="P2432" s="59">
        <f t="shared" si="220"/>
        <v>0</v>
      </c>
    </row>
    <row r="2433" spans="12:16" ht="15" hidden="1" customHeight="1">
      <c r="L2433" s="58" t="str">
        <f t="shared" si="218"/>
        <v>-</v>
      </c>
      <c r="M2433" s="59">
        <f t="shared" si="216"/>
        <v>0</v>
      </c>
      <c r="N2433" s="59">
        <f t="shared" si="219"/>
        <v>0</v>
      </c>
      <c r="O2433" s="59">
        <f t="shared" si="217"/>
        <v>0</v>
      </c>
      <c r="P2433" s="59">
        <f t="shared" si="220"/>
        <v>0</v>
      </c>
    </row>
    <row r="2434" spans="12:16" ht="15" hidden="1" customHeight="1">
      <c r="L2434" s="58" t="str">
        <f t="shared" si="218"/>
        <v>-</v>
      </c>
      <c r="M2434" s="59">
        <f t="shared" si="216"/>
        <v>0</v>
      </c>
      <c r="N2434" s="59">
        <f t="shared" si="219"/>
        <v>0</v>
      </c>
      <c r="O2434" s="59">
        <f t="shared" si="217"/>
        <v>0</v>
      </c>
      <c r="P2434" s="59">
        <f t="shared" si="220"/>
        <v>0</v>
      </c>
    </row>
    <row r="2435" spans="12:16" ht="15" hidden="1" customHeight="1">
      <c r="L2435" s="58" t="str">
        <f t="shared" si="218"/>
        <v>-</v>
      </c>
      <c r="M2435" s="59">
        <f t="shared" si="216"/>
        <v>0</v>
      </c>
      <c r="N2435" s="59">
        <f t="shared" si="219"/>
        <v>0</v>
      </c>
      <c r="O2435" s="59">
        <f t="shared" si="217"/>
        <v>0</v>
      </c>
      <c r="P2435" s="59">
        <f t="shared" si="220"/>
        <v>0</v>
      </c>
    </row>
    <row r="2436" spans="12:16" ht="15" hidden="1" customHeight="1">
      <c r="L2436" s="58" t="str">
        <f t="shared" si="218"/>
        <v>-</v>
      </c>
      <c r="M2436" s="59">
        <f t="shared" si="216"/>
        <v>0</v>
      </c>
      <c r="N2436" s="59">
        <f t="shared" si="219"/>
        <v>0</v>
      </c>
      <c r="O2436" s="59">
        <f t="shared" si="217"/>
        <v>0</v>
      </c>
      <c r="P2436" s="59">
        <f t="shared" si="220"/>
        <v>0</v>
      </c>
    </row>
    <row r="2437" spans="12:16" ht="15" hidden="1" customHeight="1">
      <c r="L2437" s="58" t="str">
        <f t="shared" si="218"/>
        <v>-</v>
      </c>
      <c r="M2437" s="59">
        <f t="shared" si="216"/>
        <v>0</v>
      </c>
      <c r="N2437" s="59">
        <f t="shared" si="219"/>
        <v>0</v>
      </c>
      <c r="O2437" s="59">
        <f t="shared" si="217"/>
        <v>0</v>
      </c>
      <c r="P2437" s="59">
        <f t="shared" si="220"/>
        <v>0</v>
      </c>
    </row>
    <row r="2438" spans="12:16" ht="15" hidden="1" customHeight="1">
      <c r="L2438" s="58" t="str">
        <f t="shared" si="218"/>
        <v>-</v>
      </c>
      <c r="M2438" s="59">
        <f t="shared" si="216"/>
        <v>0</v>
      </c>
      <c r="N2438" s="59">
        <f t="shared" si="219"/>
        <v>0</v>
      </c>
      <c r="O2438" s="59">
        <f t="shared" si="217"/>
        <v>0</v>
      </c>
      <c r="P2438" s="59">
        <f t="shared" si="220"/>
        <v>0</v>
      </c>
    </row>
    <row r="2439" spans="12:16" ht="15" hidden="1" customHeight="1">
      <c r="L2439" s="58" t="str">
        <f t="shared" si="218"/>
        <v>-</v>
      </c>
      <c r="M2439" s="59">
        <f t="shared" si="216"/>
        <v>0</v>
      </c>
      <c r="N2439" s="59">
        <f t="shared" si="219"/>
        <v>0</v>
      </c>
      <c r="O2439" s="59">
        <f t="shared" si="217"/>
        <v>0</v>
      </c>
      <c r="P2439" s="59">
        <f t="shared" si="220"/>
        <v>0</v>
      </c>
    </row>
    <row r="2440" spans="12:16" ht="15" hidden="1" customHeight="1">
      <c r="L2440" s="58" t="str">
        <f t="shared" si="218"/>
        <v>-</v>
      </c>
      <c r="M2440" s="59">
        <f t="shared" si="216"/>
        <v>0</v>
      </c>
      <c r="N2440" s="59">
        <f t="shared" si="219"/>
        <v>0</v>
      </c>
      <c r="O2440" s="59">
        <f t="shared" si="217"/>
        <v>0</v>
      </c>
      <c r="P2440" s="59">
        <f t="shared" si="220"/>
        <v>0</v>
      </c>
    </row>
    <row r="2441" spans="12:16" ht="15" hidden="1" customHeight="1">
      <c r="L2441" s="58" t="str">
        <f t="shared" si="218"/>
        <v>-</v>
      </c>
      <c r="M2441" s="59">
        <f t="shared" si="216"/>
        <v>0</v>
      </c>
      <c r="N2441" s="59">
        <f t="shared" si="219"/>
        <v>0</v>
      </c>
      <c r="O2441" s="59">
        <f t="shared" si="217"/>
        <v>0</v>
      </c>
      <c r="P2441" s="59">
        <f t="shared" si="220"/>
        <v>0</v>
      </c>
    </row>
    <row r="2442" spans="12:16" ht="15" hidden="1" customHeight="1">
      <c r="L2442" s="58" t="str">
        <f t="shared" si="218"/>
        <v>-</v>
      </c>
      <c r="M2442" s="59">
        <f t="shared" si="216"/>
        <v>0</v>
      </c>
      <c r="N2442" s="59">
        <f t="shared" si="219"/>
        <v>0</v>
      </c>
      <c r="O2442" s="59">
        <f t="shared" si="217"/>
        <v>0</v>
      </c>
      <c r="P2442" s="59">
        <f t="shared" si="220"/>
        <v>0</v>
      </c>
    </row>
    <row r="2443" spans="12:16" ht="15" hidden="1" customHeight="1">
      <c r="L2443" s="58" t="str">
        <f t="shared" si="218"/>
        <v>-</v>
      </c>
      <c r="M2443" s="59">
        <f t="shared" si="216"/>
        <v>0</v>
      </c>
      <c r="N2443" s="59">
        <f t="shared" si="219"/>
        <v>0</v>
      </c>
      <c r="O2443" s="59">
        <f t="shared" si="217"/>
        <v>0</v>
      </c>
      <c r="P2443" s="59">
        <f t="shared" si="220"/>
        <v>0</v>
      </c>
    </row>
    <row r="2444" spans="12:16" ht="15" hidden="1" customHeight="1">
      <c r="L2444" s="58" t="str">
        <f t="shared" si="218"/>
        <v>-</v>
      </c>
      <c r="M2444" s="59">
        <f t="shared" si="216"/>
        <v>0</v>
      </c>
      <c r="N2444" s="59">
        <f t="shared" si="219"/>
        <v>0</v>
      </c>
      <c r="O2444" s="59">
        <f t="shared" si="217"/>
        <v>0</v>
      </c>
      <c r="P2444" s="59">
        <f t="shared" si="220"/>
        <v>0</v>
      </c>
    </row>
    <row r="2445" spans="12:16" ht="15" hidden="1" customHeight="1">
      <c r="L2445" s="58" t="str">
        <f t="shared" si="218"/>
        <v>-</v>
      </c>
      <c r="M2445" s="59">
        <f t="shared" si="216"/>
        <v>0</v>
      </c>
      <c r="N2445" s="59">
        <f t="shared" si="219"/>
        <v>0</v>
      </c>
      <c r="O2445" s="59">
        <f t="shared" si="217"/>
        <v>0</v>
      </c>
      <c r="P2445" s="59">
        <f t="shared" si="220"/>
        <v>0</v>
      </c>
    </row>
    <row r="2446" spans="12:16" ht="15" hidden="1" customHeight="1">
      <c r="L2446" s="58" t="str">
        <f t="shared" si="218"/>
        <v>-</v>
      </c>
      <c r="M2446" s="59">
        <f t="shared" si="216"/>
        <v>0</v>
      </c>
      <c r="N2446" s="59">
        <f t="shared" si="219"/>
        <v>0</v>
      </c>
      <c r="O2446" s="59">
        <f t="shared" si="217"/>
        <v>0</v>
      </c>
      <c r="P2446" s="59">
        <f t="shared" si="220"/>
        <v>0</v>
      </c>
    </row>
    <row r="2447" spans="12:16" ht="15" hidden="1" customHeight="1">
      <c r="L2447" s="58" t="str">
        <f t="shared" si="218"/>
        <v>-</v>
      </c>
      <c r="M2447" s="59">
        <f t="shared" si="216"/>
        <v>0</v>
      </c>
      <c r="N2447" s="59">
        <f t="shared" si="219"/>
        <v>0</v>
      </c>
      <c r="O2447" s="59">
        <f t="shared" si="217"/>
        <v>0</v>
      </c>
      <c r="P2447" s="59">
        <f t="shared" si="220"/>
        <v>0</v>
      </c>
    </row>
    <row r="2448" spans="12:16" ht="15" hidden="1" customHeight="1">
      <c r="L2448" s="58" t="str">
        <f t="shared" si="218"/>
        <v>-</v>
      </c>
      <c r="M2448" s="59">
        <f t="shared" si="216"/>
        <v>0</v>
      </c>
      <c r="N2448" s="59">
        <f t="shared" si="219"/>
        <v>0</v>
      </c>
      <c r="O2448" s="59">
        <f t="shared" si="217"/>
        <v>0</v>
      </c>
      <c r="P2448" s="59">
        <f t="shared" si="220"/>
        <v>0</v>
      </c>
    </row>
    <row r="2449" spans="12:16" ht="15" hidden="1" customHeight="1">
      <c r="L2449" s="58" t="str">
        <f t="shared" si="218"/>
        <v>-</v>
      </c>
      <c r="M2449" s="59">
        <f t="shared" si="216"/>
        <v>0</v>
      </c>
      <c r="N2449" s="59">
        <f t="shared" si="219"/>
        <v>0</v>
      </c>
      <c r="O2449" s="59">
        <f t="shared" si="217"/>
        <v>0</v>
      </c>
      <c r="P2449" s="59">
        <f t="shared" si="220"/>
        <v>0</v>
      </c>
    </row>
    <row r="2450" spans="12:16" ht="15" hidden="1" customHeight="1">
      <c r="L2450" s="58" t="str">
        <f t="shared" si="218"/>
        <v>-</v>
      </c>
      <c r="M2450" s="59">
        <f t="shared" si="216"/>
        <v>0</v>
      </c>
      <c r="N2450" s="59">
        <f t="shared" si="219"/>
        <v>0</v>
      </c>
      <c r="O2450" s="59">
        <f t="shared" si="217"/>
        <v>0</v>
      </c>
      <c r="P2450" s="59">
        <f t="shared" si="220"/>
        <v>0</v>
      </c>
    </row>
    <row r="2451" spans="12:16" ht="15" hidden="1" customHeight="1">
      <c r="L2451" s="58" t="str">
        <f t="shared" si="218"/>
        <v>-</v>
      </c>
      <c r="M2451" s="59">
        <f t="shared" ref="M2451:M2514" si="221">IFERROR(VLOOKUP(L2451,$B$19:$E$80,4,FALSE),0)</f>
        <v>0</v>
      </c>
      <c r="N2451" s="59">
        <f t="shared" si="219"/>
        <v>0</v>
      </c>
      <c r="O2451" s="59">
        <f t="shared" ref="O2451:O2514" si="222">IFERROR(IF(ISNUMBER(N2450),N2450,$E$8)*IF(L2451&gt;=$J$8,$E$12,$E$12)/IF(MOD(YEAR(L2451),4),365,366)*IF(ISBLANK(L2450),L2451-$F$5,L2451-L2450),0)</f>
        <v>0</v>
      </c>
      <c r="P2451" s="59">
        <f t="shared" si="220"/>
        <v>0</v>
      </c>
    </row>
    <row r="2452" spans="12:16" ht="15" hidden="1" customHeight="1">
      <c r="L2452" s="58" t="str">
        <f t="shared" si="218"/>
        <v>-</v>
      </c>
      <c r="M2452" s="59">
        <f t="shared" si="221"/>
        <v>0</v>
      </c>
      <c r="N2452" s="59">
        <f t="shared" si="219"/>
        <v>0</v>
      </c>
      <c r="O2452" s="59">
        <f t="shared" si="222"/>
        <v>0</v>
      </c>
      <c r="P2452" s="59">
        <f t="shared" si="220"/>
        <v>0</v>
      </c>
    </row>
    <row r="2453" spans="12:16" ht="15" hidden="1" customHeight="1">
      <c r="L2453" s="58" t="str">
        <f t="shared" si="218"/>
        <v>-</v>
      </c>
      <c r="M2453" s="59">
        <f t="shared" si="221"/>
        <v>0</v>
      </c>
      <c r="N2453" s="59">
        <f t="shared" si="219"/>
        <v>0</v>
      </c>
      <c r="O2453" s="59">
        <f t="shared" si="222"/>
        <v>0</v>
      </c>
      <c r="P2453" s="59">
        <f t="shared" si="220"/>
        <v>0</v>
      </c>
    </row>
    <row r="2454" spans="12:16" ht="15" hidden="1" customHeight="1">
      <c r="L2454" s="58" t="str">
        <f t="shared" si="218"/>
        <v>-</v>
      </c>
      <c r="M2454" s="59">
        <f t="shared" si="221"/>
        <v>0</v>
      </c>
      <c r="N2454" s="59">
        <f t="shared" si="219"/>
        <v>0</v>
      </c>
      <c r="O2454" s="59">
        <f t="shared" si="222"/>
        <v>0</v>
      </c>
      <c r="P2454" s="59">
        <f t="shared" si="220"/>
        <v>0</v>
      </c>
    </row>
    <row r="2455" spans="12:16" ht="15" hidden="1" customHeight="1">
      <c r="L2455" s="58" t="str">
        <f t="shared" si="218"/>
        <v>-</v>
      </c>
      <c r="M2455" s="59">
        <f t="shared" si="221"/>
        <v>0</v>
      </c>
      <c r="N2455" s="59">
        <f t="shared" si="219"/>
        <v>0</v>
      </c>
      <c r="O2455" s="59">
        <f t="shared" si="222"/>
        <v>0</v>
      </c>
      <c r="P2455" s="59">
        <f t="shared" si="220"/>
        <v>0</v>
      </c>
    </row>
    <row r="2456" spans="12:16" ht="15" hidden="1" customHeight="1">
      <c r="L2456" s="58" t="str">
        <f t="shared" si="218"/>
        <v>-</v>
      </c>
      <c r="M2456" s="59">
        <f t="shared" si="221"/>
        <v>0</v>
      </c>
      <c r="N2456" s="59">
        <f t="shared" si="219"/>
        <v>0</v>
      </c>
      <c r="O2456" s="59">
        <f t="shared" si="222"/>
        <v>0</v>
      </c>
      <c r="P2456" s="59">
        <f t="shared" si="220"/>
        <v>0</v>
      </c>
    </row>
    <row r="2457" spans="12:16" ht="15" hidden="1" customHeight="1">
      <c r="L2457" s="58" t="str">
        <f t="shared" si="218"/>
        <v>-</v>
      </c>
      <c r="M2457" s="59">
        <f t="shared" si="221"/>
        <v>0</v>
      </c>
      <c r="N2457" s="59">
        <f t="shared" si="219"/>
        <v>0</v>
      </c>
      <c r="O2457" s="59">
        <f t="shared" si="222"/>
        <v>0</v>
      </c>
      <c r="P2457" s="59">
        <f t="shared" si="220"/>
        <v>0</v>
      </c>
    </row>
    <row r="2458" spans="12:16" ht="15" hidden="1" customHeight="1">
      <c r="L2458" s="58" t="str">
        <f t="shared" si="218"/>
        <v>-</v>
      </c>
      <c r="M2458" s="59">
        <f t="shared" si="221"/>
        <v>0</v>
      </c>
      <c r="N2458" s="59">
        <f t="shared" si="219"/>
        <v>0</v>
      </c>
      <c r="O2458" s="59">
        <f t="shared" si="222"/>
        <v>0</v>
      </c>
      <c r="P2458" s="59">
        <f t="shared" si="220"/>
        <v>0</v>
      </c>
    </row>
    <row r="2459" spans="12:16" ht="15" hidden="1" customHeight="1">
      <c r="L2459" s="58" t="str">
        <f t="shared" si="218"/>
        <v>-</v>
      </c>
      <c r="M2459" s="59">
        <f t="shared" si="221"/>
        <v>0</v>
      </c>
      <c r="N2459" s="59">
        <f t="shared" si="219"/>
        <v>0</v>
      </c>
      <c r="O2459" s="59">
        <f t="shared" si="222"/>
        <v>0</v>
      </c>
      <c r="P2459" s="59">
        <f t="shared" si="220"/>
        <v>0</v>
      </c>
    </row>
    <row r="2460" spans="12:16" ht="15" hidden="1" customHeight="1">
      <c r="L2460" s="58" t="str">
        <f t="shared" si="218"/>
        <v>-</v>
      </c>
      <c r="M2460" s="59">
        <f t="shared" si="221"/>
        <v>0</v>
      </c>
      <c r="N2460" s="59">
        <f t="shared" si="219"/>
        <v>0</v>
      </c>
      <c r="O2460" s="59">
        <f t="shared" si="222"/>
        <v>0</v>
      </c>
      <c r="P2460" s="59">
        <f t="shared" si="220"/>
        <v>0</v>
      </c>
    </row>
    <row r="2461" spans="12:16" ht="15" hidden="1" customHeight="1">
      <c r="L2461" s="58" t="str">
        <f t="shared" si="218"/>
        <v>-</v>
      </c>
      <c r="M2461" s="59">
        <f t="shared" si="221"/>
        <v>0</v>
      </c>
      <c r="N2461" s="59">
        <f t="shared" si="219"/>
        <v>0</v>
      </c>
      <c r="O2461" s="59">
        <f t="shared" si="222"/>
        <v>0</v>
      </c>
      <c r="P2461" s="59">
        <f t="shared" si="220"/>
        <v>0</v>
      </c>
    </row>
    <row r="2462" spans="12:16" ht="15" hidden="1" customHeight="1">
      <c r="L2462" s="58" t="str">
        <f t="shared" si="218"/>
        <v>-</v>
      </c>
      <c r="M2462" s="59">
        <f t="shared" si="221"/>
        <v>0</v>
      </c>
      <c r="N2462" s="59">
        <f t="shared" si="219"/>
        <v>0</v>
      </c>
      <c r="O2462" s="59">
        <f t="shared" si="222"/>
        <v>0</v>
      </c>
      <c r="P2462" s="59">
        <f t="shared" si="220"/>
        <v>0</v>
      </c>
    </row>
    <row r="2463" spans="12:16" ht="15" hidden="1" customHeight="1">
      <c r="L2463" s="58" t="str">
        <f t="shared" si="218"/>
        <v>-</v>
      </c>
      <c r="M2463" s="59">
        <f t="shared" si="221"/>
        <v>0</v>
      </c>
      <c r="N2463" s="59">
        <f t="shared" si="219"/>
        <v>0</v>
      </c>
      <c r="O2463" s="59">
        <f t="shared" si="222"/>
        <v>0</v>
      </c>
      <c r="P2463" s="59">
        <f t="shared" si="220"/>
        <v>0</v>
      </c>
    </row>
    <row r="2464" spans="12:16" ht="15" hidden="1" customHeight="1">
      <c r="L2464" s="58" t="str">
        <f t="shared" si="218"/>
        <v>-</v>
      </c>
      <c r="M2464" s="59">
        <f t="shared" si="221"/>
        <v>0</v>
      </c>
      <c r="N2464" s="59">
        <f t="shared" si="219"/>
        <v>0</v>
      </c>
      <c r="O2464" s="59">
        <f t="shared" si="222"/>
        <v>0</v>
      </c>
      <c r="P2464" s="59">
        <f t="shared" si="220"/>
        <v>0</v>
      </c>
    </row>
    <row r="2465" spans="12:16" ht="15" hidden="1" customHeight="1">
      <c r="L2465" s="58" t="str">
        <f t="shared" si="218"/>
        <v>-</v>
      </c>
      <c r="M2465" s="59">
        <f t="shared" si="221"/>
        <v>0</v>
      </c>
      <c r="N2465" s="59">
        <f t="shared" si="219"/>
        <v>0</v>
      </c>
      <c r="O2465" s="59">
        <f t="shared" si="222"/>
        <v>0</v>
      </c>
      <c r="P2465" s="59">
        <f t="shared" si="220"/>
        <v>0</v>
      </c>
    </row>
    <row r="2466" spans="12:16" ht="15" hidden="1" customHeight="1">
      <c r="L2466" s="58" t="str">
        <f t="shared" ref="L2466:L2529" si="223">IFERROR(IF(MAX(L2465+1,$F$5+1)&gt;Дата_погашения_Займа,"-",MAX(L2465+1,$F$5+1)),"-")</f>
        <v>-</v>
      </c>
      <c r="M2466" s="59">
        <f t="shared" si="221"/>
        <v>0</v>
      </c>
      <c r="N2466" s="59">
        <f t="shared" si="219"/>
        <v>0</v>
      </c>
      <c r="O2466" s="59">
        <f t="shared" si="222"/>
        <v>0</v>
      </c>
      <c r="P2466" s="59">
        <f t="shared" si="220"/>
        <v>0</v>
      </c>
    </row>
    <row r="2467" spans="12:16" ht="15" hidden="1" customHeight="1">
      <c r="L2467" s="58" t="str">
        <f t="shared" si="223"/>
        <v>-</v>
      </c>
      <c r="M2467" s="59">
        <f t="shared" si="221"/>
        <v>0</v>
      </c>
      <c r="N2467" s="59">
        <f t="shared" si="219"/>
        <v>0</v>
      </c>
      <c r="O2467" s="59">
        <f t="shared" si="222"/>
        <v>0</v>
      </c>
      <c r="P2467" s="59">
        <f t="shared" si="220"/>
        <v>0</v>
      </c>
    </row>
    <row r="2468" spans="12:16" ht="15" hidden="1" customHeight="1">
      <c r="L2468" s="58" t="str">
        <f t="shared" si="223"/>
        <v>-</v>
      </c>
      <c r="M2468" s="59">
        <f t="shared" si="221"/>
        <v>0</v>
      </c>
      <c r="N2468" s="59">
        <f t="shared" si="219"/>
        <v>0</v>
      </c>
      <c r="O2468" s="59">
        <f t="shared" si="222"/>
        <v>0</v>
      </c>
      <c r="P2468" s="59">
        <f t="shared" si="220"/>
        <v>0</v>
      </c>
    </row>
    <row r="2469" spans="12:16" ht="15" hidden="1" customHeight="1">
      <c r="L2469" s="58" t="str">
        <f t="shared" si="223"/>
        <v>-</v>
      </c>
      <c r="M2469" s="59">
        <f t="shared" si="221"/>
        <v>0</v>
      </c>
      <c r="N2469" s="59">
        <f t="shared" si="219"/>
        <v>0</v>
      </c>
      <c r="O2469" s="59">
        <f t="shared" si="222"/>
        <v>0</v>
      </c>
      <c r="P2469" s="59">
        <f t="shared" si="220"/>
        <v>0</v>
      </c>
    </row>
    <row r="2470" spans="12:16" ht="15" hidden="1" customHeight="1">
      <c r="L2470" s="58" t="str">
        <f t="shared" si="223"/>
        <v>-</v>
      </c>
      <c r="M2470" s="59">
        <f t="shared" si="221"/>
        <v>0</v>
      </c>
      <c r="N2470" s="59">
        <f t="shared" si="219"/>
        <v>0</v>
      </c>
      <c r="O2470" s="59">
        <f t="shared" si="222"/>
        <v>0</v>
      </c>
      <c r="P2470" s="59">
        <f t="shared" si="220"/>
        <v>0</v>
      </c>
    </row>
    <row r="2471" spans="12:16" ht="15" hidden="1" customHeight="1">
      <c r="L2471" s="58" t="str">
        <f t="shared" si="223"/>
        <v>-</v>
      </c>
      <c r="M2471" s="59">
        <f t="shared" si="221"/>
        <v>0</v>
      </c>
      <c r="N2471" s="59">
        <f t="shared" si="219"/>
        <v>0</v>
      </c>
      <c r="O2471" s="59">
        <f t="shared" si="222"/>
        <v>0</v>
      </c>
      <c r="P2471" s="59">
        <f t="shared" si="220"/>
        <v>0</v>
      </c>
    </row>
    <row r="2472" spans="12:16" ht="15" hidden="1" customHeight="1">
      <c r="L2472" s="58" t="str">
        <f t="shared" si="223"/>
        <v>-</v>
      </c>
      <c r="M2472" s="59">
        <f t="shared" si="221"/>
        <v>0</v>
      </c>
      <c r="N2472" s="59">
        <f t="shared" si="219"/>
        <v>0</v>
      </c>
      <c r="O2472" s="59">
        <f t="shared" si="222"/>
        <v>0</v>
      </c>
      <c r="P2472" s="59">
        <f t="shared" si="220"/>
        <v>0</v>
      </c>
    </row>
    <row r="2473" spans="12:16" ht="15" hidden="1" customHeight="1">
      <c r="L2473" s="58" t="str">
        <f t="shared" si="223"/>
        <v>-</v>
      </c>
      <c r="M2473" s="59">
        <f t="shared" si="221"/>
        <v>0</v>
      </c>
      <c r="N2473" s="59">
        <f t="shared" si="219"/>
        <v>0</v>
      </c>
      <c r="O2473" s="59">
        <f t="shared" si="222"/>
        <v>0</v>
      </c>
      <c r="P2473" s="59">
        <f t="shared" si="220"/>
        <v>0</v>
      </c>
    </row>
    <row r="2474" spans="12:16" ht="15" hidden="1" customHeight="1">
      <c r="L2474" s="58" t="str">
        <f t="shared" si="223"/>
        <v>-</v>
      </c>
      <c r="M2474" s="59">
        <f t="shared" si="221"/>
        <v>0</v>
      </c>
      <c r="N2474" s="59">
        <f t="shared" si="219"/>
        <v>0</v>
      </c>
      <c r="O2474" s="59">
        <f t="shared" si="222"/>
        <v>0</v>
      </c>
      <c r="P2474" s="59">
        <f t="shared" si="220"/>
        <v>0</v>
      </c>
    </row>
    <row r="2475" spans="12:16" ht="15" hidden="1" customHeight="1">
      <c r="L2475" s="58" t="str">
        <f t="shared" si="223"/>
        <v>-</v>
      </c>
      <c r="M2475" s="59">
        <f t="shared" si="221"/>
        <v>0</v>
      </c>
      <c r="N2475" s="59">
        <f t="shared" si="219"/>
        <v>0</v>
      </c>
      <c r="O2475" s="59">
        <f t="shared" si="222"/>
        <v>0</v>
      </c>
      <c r="P2475" s="59">
        <f t="shared" si="220"/>
        <v>0</v>
      </c>
    </row>
    <row r="2476" spans="12:16" ht="15" hidden="1" customHeight="1">
      <c r="L2476" s="58" t="str">
        <f t="shared" si="223"/>
        <v>-</v>
      </c>
      <c r="M2476" s="59">
        <f t="shared" si="221"/>
        <v>0</v>
      </c>
      <c r="N2476" s="59">
        <f t="shared" si="219"/>
        <v>0</v>
      </c>
      <c r="O2476" s="59">
        <f t="shared" si="222"/>
        <v>0</v>
      </c>
      <c r="P2476" s="59">
        <f t="shared" si="220"/>
        <v>0</v>
      </c>
    </row>
    <row r="2477" spans="12:16" ht="15" hidden="1" customHeight="1">
      <c r="L2477" s="58" t="str">
        <f t="shared" si="223"/>
        <v>-</v>
      </c>
      <c r="M2477" s="59">
        <f t="shared" si="221"/>
        <v>0</v>
      </c>
      <c r="N2477" s="59">
        <f t="shared" si="219"/>
        <v>0</v>
      </c>
      <c r="O2477" s="59">
        <f t="shared" si="222"/>
        <v>0</v>
      </c>
      <c r="P2477" s="59">
        <f t="shared" si="220"/>
        <v>0</v>
      </c>
    </row>
    <row r="2478" spans="12:16" ht="15" hidden="1" customHeight="1">
      <c r="L2478" s="58" t="str">
        <f t="shared" si="223"/>
        <v>-</v>
      </c>
      <c r="M2478" s="59">
        <f t="shared" si="221"/>
        <v>0</v>
      </c>
      <c r="N2478" s="59">
        <f t="shared" si="219"/>
        <v>0</v>
      </c>
      <c r="O2478" s="59">
        <f t="shared" si="222"/>
        <v>0</v>
      </c>
      <c r="P2478" s="59">
        <f t="shared" si="220"/>
        <v>0</v>
      </c>
    </row>
    <row r="2479" spans="12:16" ht="15" hidden="1" customHeight="1">
      <c r="L2479" s="58" t="str">
        <f t="shared" si="223"/>
        <v>-</v>
      </c>
      <c r="M2479" s="59">
        <f t="shared" si="221"/>
        <v>0</v>
      </c>
      <c r="N2479" s="59">
        <f t="shared" si="219"/>
        <v>0</v>
      </c>
      <c r="O2479" s="59">
        <f t="shared" si="222"/>
        <v>0</v>
      </c>
      <c r="P2479" s="59">
        <f t="shared" si="220"/>
        <v>0</v>
      </c>
    </row>
    <row r="2480" spans="12:16" ht="15" hidden="1" customHeight="1">
      <c r="L2480" s="58" t="str">
        <f t="shared" si="223"/>
        <v>-</v>
      </c>
      <c r="M2480" s="59">
        <f t="shared" si="221"/>
        <v>0</v>
      </c>
      <c r="N2480" s="59">
        <f t="shared" ref="N2480:N2543" si="224">IF(ISNUMBER(N2479),N2479-M2480,$E$8)</f>
        <v>0</v>
      </c>
      <c r="O2480" s="59">
        <f t="shared" si="222"/>
        <v>0</v>
      </c>
      <c r="P2480" s="59">
        <f t="shared" ref="P2480:P2543" si="225">IFERROR(IF(ISNUMBER(N2479),N2479,$E$8)*3%/IF(MOD(YEAR(L2480),4),365,366)*IF(ISBLANK(L2479),(L2480-$F$5),L2480-L2479),0)</f>
        <v>0</v>
      </c>
    </row>
    <row r="2481" spans="12:16" ht="15" hidden="1" customHeight="1">
      <c r="L2481" s="58" t="str">
        <f t="shared" si="223"/>
        <v>-</v>
      </c>
      <c r="M2481" s="59">
        <f t="shared" si="221"/>
        <v>0</v>
      </c>
      <c r="N2481" s="59">
        <f t="shared" si="224"/>
        <v>0</v>
      </c>
      <c r="O2481" s="59">
        <f t="shared" si="222"/>
        <v>0</v>
      </c>
      <c r="P2481" s="59">
        <f t="shared" si="225"/>
        <v>0</v>
      </c>
    </row>
    <row r="2482" spans="12:16" ht="15" hidden="1" customHeight="1">
      <c r="L2482" s="58" t="str">
        <f t="shared" si="223"/>
        <v>-</v>
      </c>
      <c r="M2482" s="59">
        <f t="shared" si="221"/>
        <v>0</v>
      </c>
      <c r="N2482" s="59">
        <f t="shared" si="224"/>
        <v>0</v>
      </c>
      <c r="O2482" s="59">
        <f t="shared" si="222"/>
        <v>0</v>
      </c>
      <c r="P2482" s="59">
        <f t="shared" si="225"/>
        <v>0</v>
      </c>
    </row>
    <row r="2483" spans="12:16" ht="15" hidden="1" customHeight="1">
      <c r="L2483" s="58" t="str">
        <f t="shared" si="223"/>
        <v>-</v>
      </c>
      <c r="M2483" s="59">
        <f t="shared" si="221"/>
        <v>0</v>
      </c>
      <c r="N2483" s="59">
        <f t="shared" si="224"/>
        <v>0</v>
      </c>
      <c r="O2483" s="59">
        <f t="shared" si="222"/>
        <v>0</v>
      </c>
      <c r="P2483" s="59">
        <f t="shared" si="225"/>
        <v>0</v>
      </c>
    </row>
    <row r="2484" spans="12:16" ht="15" hidden="1" customHeight="1">
      <c r="L2484" s="58" t="str">
        <f t="shared" si="223"/>
        <v>-</v>
      </c>
      <c r="M2484" s="59">
        <f t="shared" si="221"/>
        <v>0</v>
      </c>
      <c r="N2484" s="59">
        <f t="shared" si="224"/>
        <v>0</v>
      </c>
      <c r="O2484" s="59">
        <f t="shared" si="222"/>
        <v>0</v>
      </c>
      <c r="P2484" s="59">
        <f t="shared" si="225"/>
        <v>0</v>
      </c>
    </row>
    <row r="2485" spans="12:16" ht="15" hidden="1" customHeight="1">
      <c r="L2485" s="58" t="str">
        <f t="shared" si="223"/>
        <v>-</v>
      </c>
      <c r="M2485" s="59">
        <f t="shared" si="221"/>
        <v>0</v>
      </c>
      <c r="N2485" s="59">
        <f t="shared" si="224"/>
        <v>0</v>
      </c>
      <c r="O2485" s="59">
        <f t="shared" si="222"/>
        <v>0</v>
      </c>
      <c r="P2485" s="59">
        <f t="shared" si="225"/>
        <v>0</v>
      </c>
    </row>
    <row r="2486" spans="12:16" ht="15" hidden="1" customHeight="1">
      <c r="L2486" s="58" t="str">
        <f t="shared" si="223"/>
        <v>-</v>
      </c>
      <c r="M2486" s="59">
        <f t="shared" si="221"/>
        <v>0</v>
      </c>
      <c r="N2486" s="59">
        <f t="shared" si="224"/>
        <v>0</v>
      </c>
      <c r="O2486" s="59">
        <f t="shared" si="222"/>
        <v>0</v>
      </c>
      <c r="P2486" s="59">
        <f t="shared" si="225"/>
        <v>0</v>
      </c>
    </row>
    <row r="2487" spans="12:16" ht="15" hidden="1" customHeight="1">
      <c r="L2487" s="58" t="str">
        <f t="shared" si="223"/>
        <v>-</v>
      </c>
      <c r="M2487" s="59">
        <f t="shared" si="221"/>
        <v>0</v>
      </c>
      <c r="N2487" s="59">
        <f t="shared" si="224"/>
        <v>0</v>
      </c>
      <c r="O2487" s="59">
        <f t="shared" si="222"/>
        <v>0</v>
      </c>
      <c r="P2487" s="59">
        <f t="shared" si="225"/>
        <v>0</v>
      </c>
    </row>
    <row r="2488" spans="12:16" ht="15" hidden="1" customHeight="1">
      <c r="L2488" s="58" t="str">
        <f t="shared" si="223"/>
        <v>-</v>
      </c>
      <c r="M2488" s="59">
        <f t="shared" si="221"/>
        <v>0</v>
      </c>
      <c r="N2488" s="59">
        <f t="shared" si="224"/>
        <v>0</v>
      </c>
      <c r="O2488" s="59">
        <f t="shared" si="222"/>
        <v>0</v>
      </c>
      <c r="P2488" s="59">
        <f t="shared" si="225"/>
        <v>0</v>
      </c>
    </row>
    <row r="2489" spans="12:16" ht="15" hidden="1" customHeight="1">
      <c r="L2489" s="58" t="str">
        <f t="shared" si="223"/>
        <v>-</v>
      </c>
      <c r="M2489" s="59">
        <f t="shared" si="221"/>
        <v>0</v>
      </c>
      <c r="N2489" s="59">
        <f t="shared" si="224"/>
        <v>0</v>
      </c>
      <c r="O2489" s="59">
        <f t="shared" si="222"/>
        <v>0</v>
      </c>
      <c r="P2489" s="59">
        <f t="shared" si="225"/>
        <v>0</v>
      </c>
    </row>
    <row r="2490" spans="12:16" ht="15" hidden="1" customHeight="1">
      <c r="L2490" s="58" t="str">
        <f t="shared" si="223"/>
        <v>-</v>
      </c>
      <c r="M2490" s="59">
        <f t="shared" si="221"/>
        <v>0</v>
      </c>
      <c r="N2490" s="59">
        <f t="shared" si="224"/>
        <v>0</v>
      </c>
      <c r="O2490" s="59">
        <f t="shared" si="222"/>
        <v>0</v>
      </c>
      <c r="P2490" s="59">
        <f t="shared" si="225"/>
        <v>0</v>
      </c>
    </row>
    <row r="2491" spans="12:16" ht="15" hidden="1" customHeight="1">
      <c r="L2491" s="58" t="str">
        <f t="shared" si="223"/>
        <v>-</v>
      </c>
      <c r="M2491" s="59">
        <f t="shared" si="221"/>
        <v>0</v>
      </c>
      <c r="N2491" s="59">
        <f t="shared" si="224"/>
        <v>0</v>
      </c>
      <c r="O2491" s="59">
        <f t="shared" si="222"/>
        <v>0</v>
      </c>
      <c r="P2491" s="59">
        <f t="shared" si="225"/>
        <v>0</v>
      </c>
    </row>
    <row r="2492" spans="12:16" ht="15" hidden="1" customHeight="1">
      <c r="L2492" s="58" t="str">
        <f t="shared" si="223"/>
        <v>-</v>
      </c>
      <c r="M2492" s="59">
        <f t="shared" si="221"/>
        <v>0</v>
      </c>
      <c r="N2492" s="59">
        <f t="shared" si="224"/>
        <v>0</v>
      </c>
      <c r="O2492" s="59">
        <f t="shared" si="222"/>
        <v>0</v>
      </c>
      <c r="P2492" s="59">
        <f t="shared" si="225"/>
        <v>0</v>
      </c>
    </row>
    <row r="2493" spans="12:16" ht="15" hidden="1" customHeight="1">
      <c r="L2493" s="58" t="str">
        <f t="shared" si="223"/>
        <v>-</v>
      </c>
      <c r="M2493" s="59">
        <f t="shared" si="221"/>
        <v>0</v>
      </c>
      <c r="N2493" s="59">
        <f t="shared" si="224"/>
        <v>0</v>
      </c>
      <c r="O2493" s="59">
        <f t="shared" si="222"/>
        <v>0</v>
      </c>
      <c r="P2493" s="59">
        <f t="shared" si="225"/>
        <v>0</v>
      </c>
    </row>
    <row r="2494" spans="12:16" ht="15" hidden="1" customHeight="1">
      <c r="L2494" s="58" t="str">
        <f t="shared" si="223"/>
        <v>-</v>
      </c>
      <c r="M2494" s="59">
        <f t="shared" si="221"/>
        <v>0</v>
      </c>
      <c r="N2494" s="59">
        <f t="shared" si="224"/>
        <v>0</v>
      </c>
      <c r="O2494" s="59">
        <f t="shared" si="222"/>
        <v>0</v>
      </c>
      <c r="P2494" s="59">
        <f t="shared" si="225"/>
        <v>0</v>
      </c>
    </row>
    <row r="2495" spans="12:16" ht="15" hidden="1" customHeight="1">
      <c r="L2495" s="58" t="str">
        <f t="shared" si="223"/>
        <v>-</v>
      </c>
      <c r="M2495" s="59">
        <f t="shared" si="221"/>
        <v>0</v>
      </c>
      <c r="N2495" s="59">
        <f t="shared" si="224"/>
        <v>0</v>
      </c>
      <c r="O2495" s="59">
        <f t="shared" si="222"/>
        <v>0</v>
      </c>
      <c r="P2495" s="59">
        <f t="shared" si="225"/>
        <v>0</v>
      </c>
    </row>
    <row r="2496" spans="12:16" ht="15" hidden="1" customHeight="1">
      <c r="L2496" s="58" t="str">
        <f t="shared" si="223"/>
        <v>-</v>
      </c>
      <c r="M2496" s="59">
        <f t="shared" si="221"/>
        <v>0</v>
      </c>
      <c r="N2496" s="59">
        <f t="shared" si="224"/>
        <v>0</v>
      </c>
      <c r="O2496" s="59">
        <f t="shared" si="222"/>
        <v>0</v>
      </c>
      <c r="P2496" s="59">
        <f t="shared" si="225"/>
        <v>0</v>
      </c>
    </row>
    <row r="2497" spans="12:16" ht="15" hidden="1" customHeight="1">
      <c r="L2497" s="58" t="str">
        <f t="shared" si="223"/>
        <v>-</v>
      </c>
      <c r="M2497" s="59">
        <f t="shared" si="221"/>
        <v>0</v>
      </c>
      <c r="N2497" s="59">
        <f t="shared" si="224"/>
        <v>0</v>
      </c>
      <c r="O2497" s="59">
        <f t="shared" si="222"/>
        <v>0</v>
      </c>
      <c r="P2497" s="59">
        <f t="shared" si="225"/>
        <v>0</v>
      </c>
    </row>
    <row r="2498" spans="12:16" ht="15" hidden="1" customHeight="1">
      <c r="L2498" s="58" t="str">
        <f t="shared" si="223"/>
        <v>-</v>
      </c>
      <c r="M2498" s="59">
        <f t="shared" si="221"/>
        <v>0</v>
      </c>
      <c r="N2498" s="59">
        <f t="shared" si="224"/>
        <v>0</v>
      </c>
      <c r="O2498" s="59">
        <f t="shared" si="222"/>
        <v>0</v>
      </c>
      <c r="P2498" s="59">
        <f t="shared" si="225"/>
        <v>0</v>
      </c>
    </row>
    <row r="2499" spans="12:16" ht="15" hidden="1" customHeight="1">
      <c r="L2499" s="58" t="str">
        <f t="shared" si="223"/>
        <v>-</v>
      </c>
      <c r="M2499" s="59">
        <f t="shared" si="221"/>
        <v>0</v>
      </c>
      <c r="N2499" s="59">
        <f t="shared" si="224"/>
        <v>0</v>
      </c>
      <c r="O2499" s="59">
        <f t="shared" si="222"/>
        <v>0</v>
      </c>
      <c r="P2499" s="59">
        <f t="shared" si="225"/>
        <v>0</v>
      </c>
    </row>
    <row r="2500" spans="12:16" ht="15" hidden="1" customHeight="1">
      <c r="L2500" s="58" t="str">
        <f t="shared" si="223"/>
        <v>-</v>
      </c>
      <c r="M2500" s="59">
        <f t="shared" si="221"/>
        <v>0</v>
      </c>
      <c r="N2500" s="59">
        <f t="shared" si="224"/>
        <v>0</v>
      </c>
      <c r="O2500" s="59">
        <f t="shared" si="222"/>
        <v>0</v>
      </c>
      <c r="P2500" s="59">
        <f t="shared" si="225"/>
        <v>0</v>
      </c>
    </row>
    <row r="2501" spans="12:16" ht="15" hidden="1" customHeight="1">
      <c r="L2501" s="58" t="str">
        <f t="shared" si="223"/>
        <v>-</v>
      </c>
      <c r="M2501" s="59">
        <f t="shared" si="221"/>
        <v>0</v>
      </c>
      <c r="N2501" s="59">
        <f t="shared" si="224"/>
        <v>0</v>
      </c>
      <c r="O2501" s="59">
        <f t="shared" si="222"/>
        <v>0</v>
      </c>
      <c r="P2501" s="59">
        <f t="shared" si="225"/>
        <v>0</v>
      </c>
    </row>
    <row r="2502" spans="12:16" ht="15" hidden="1" customHeight="1">
      <c r="L2502" s="58" t="str">
        <f t="shared" si="223"/>
        <v>-</v>
      </c>
      <c r="M2502" s="59">
        <f t="shared" si="221"/>
        <v>0</v>
      </c>
      <c r="N2502" s="59">
        <f t="shared" si="224"/>
        <v>0</v>
      </c>
      <c r="O2502" s="59">
        <f t="shared" si="222"/>
        <v>0</v>
      </c>
      <c r="P2502" s="59">
        <f t="shared" si="225"/>
        <v>0</v>
      </c>
    </row>
    <row r="2503" spans="12:16" ht="15" hidden="1" customHeight="1">
      <c r="L2503" s="58" t="str">
        <f t="shared" si="223"/>
        <v>-</v>
      </c>
      <c r="M2503" s="59">
        <f t="shared" si="221"/>
        <v>0</v>
      </c>
      <c r="N2503" s="59">
        <f t="shared" si="224"/>
        <v>0</v>
      </c>
      <c r="O2503" s="59">
        <f t="shared" si="222"/>
        <v>0</v>
      </c>
      <c r="P2503" s="59">
        <f t="shared" si="225"/>
        <v>0</v>
      </c>
    </row>
    <row r="2504" spans="12:16" ht="15" hidden="1" customHeight="1">
      <c r="L2504" s="58" t="str">
        <f t="shared" si="223"/>
        <v>-</v>
      </c>
      <c r="M2504" s="59">
        <f t="shared" si="221"/>
        <v>0</v>
      </c>
      <c r="N2504" s="59">
        <f t="shared" si="224"/>
        <v>0</v>
      </c>
      <c r="O2504" s="59">
        <f t="shared" si="222"/>
        <v>0</v>
      </c>
      <c r="P2504" s="59">
        <f t="shared" si="225"/>
        <v>0</v>
      </c>
    </row>
    <row r="2505" spans="12:16" ht="15" hidden="1" customHeight="1">
      <c r="L2505" s="58" t="str">
        <f t="shared" si="223"/>
        <v>-</v>
      </c>
      <c r="M2505" s="59">
        <f t="shared" si="221"/>
        <v>0</v>
      </c>
      <c r="N2505" s="59">
        <f t="shared" si="224"/>
        <v>0</v>
      </c>
      <c r="O2505" s="59">
        <f t="shared" si="222"/>
        <v>0</v>
      </c>
      <c r="P2505" s="59">
        <f t="shared" si="225"/>
        <v>0</v>
      </c>
    </row>
    <row r="2506" spans="12:16" ht="15" hidden="1" customHeight="1">
      <c r="L2506" s="58" t="str">
        <f t="shared" si="223"/>
        <v>-</v>
      </c>
      <c r="M2506" s="59">
        <f t="shared" si="221"/>
        <v>0</v>
      </c>
      <c r="N2506" s="59">
        <f t="shared" si="224"/>
        <v>0</v>
      </c>
      <c r="O2506" s="59">
        <f t="shared" si="222"/>
        <v>0</v>
      </c>
      <c r="P2506" s="59">
        <f t="shared" si="225"/>
        <v>0</v>
      </c>
    </row>
    <row r="2507" spans="12:16" ht="15" hidden="1" customHeight="1">
      <c r="L2507" s="58" t="str">
        <f t="shared" si="223"/>
        <v>-</v>
      </c>
      <c r="M2507" s="59">
        <f t="shared" si="221"/>
        <v>0</v>
      </c>
      <c r="N2507" s="59">
        <f t="shared" si="224"/>
        <v>0</v>
      </c>
      <c r="O2507" s="59">
        <f t="shared" si="222"/>
        <v>0</v>
      </c>
      <c r="P2507" s="59">
        <f t="shared" si="225"/>
        <v>0</v>
      </c>
    </row>
    <row r="2508" spans="12:16" ht="15" hidden="1" customHeight="1">
      <c r="L2508" s="58" t="str">
        <f t="shared" si="223"/>
        <v>-</v>
      </c>
      <c r="M2508" s="59">
        <f t="shared" si="221"/>
        <v>0</v>
      </c>
      <c r="N2508" s="59">
        <f t="shared" si="224"/>
        <v>0</v>
      </c>
      <c r="O2508" s="59">
        <f t="shared" si="222"/>
        <v>0</v>
      </c>
      <c r="P2508" s="59">
        <f t="shared" si="225"/>
        <v>0</v>
      </c>
    </row>
    <row r="2509" spans="12:16" ht="15" hidden="1" customHeight="1">
      <c r="L2509" s="58" t="str">
        <f t="shared" si="223"/>
        <v>-</v>
      </c>
      <c r="M2509" s="59">
        <f t="shared" si="221"/>
        <v>0</v>
      </c>
      <c r="N2509" s="59">
        <f t="shared" si="224"/>
        <v>0</v>
      </c>
      <c r="O2509" s="59">
        <f t="shared" si="222"/>
        <v>0</v>
      </c>
      <c r="P2509" s="59">
        <f t="shared" si="225"/>
        <v>0</v>
      </c>
    </row>
    <row r="2510" spans="12:16" ht="15" hidden="1" customHeight="1">
      <c r="L2510" s="58" t="str">
        <f t="shared" si="223"/>
        <v>-</v>
      </c>
      <c r="M2510" s="59">
        <f t="shared" si="221"/>
        <v>0</v>
      </c>
      <c r="N2510" s="59">
        <f t="shared" si="224"/>
        <v>0</v>
      </c>
      <c r="O2510" s="59">
        <f t="shared" si="222"/>
        <v>0</v>
      </c>
      <c r="P2510" s="59">
        <f t="shared" si="225"/>
        <v>0</v>
      </c>
    </row>
    <row r="2511" spans="12:16" ht="15" hidden="1" customHeight="1">
      <c r="L2511" s="58" t="str">
        <f t="shared" si="223"/>
        <v>-</v>
      </c>
      <c r="M2511" s="59">
        <f t="shared" si="221"/>
        <v>0</v>
      </c>
      <c r="N2511" s="59">
        <f t="shared" si="224"/>
        <v>0</v>
      </c>
      <c r="O2511" s="59">
        <f t="shared" si="222"/>
        <v>0</v>
      </c>
      <c r="P2511" s="59">
        <f t="shared" si="225"/>
        <v>0</v>
      </c>
    </row>
    <row r="2512" spans="12:16" ht="15" hidden="1" customHeight="1">
      <c r="L2512" s="58" t="str">
        <f t="shared" si="223"/>
        <v>-</v>
      </c>
      <c r="M2512" s="59">
        <f t="shared" si="221"/>
        <v>0</v>
      </c>
      <c r="N2512" s="59">
        <f t="shared" si="224"/>
        <v>0</v>
      </c>
      <c r="O2512" s="59">
        <f t="shared" si="222"/>
        <v>0</v>
      </c>
      <c r="P2512" s="59">
        <f t="shared" si="225"/>
        <v>0</v>
      </c>
    </row>
    <row r="2513" spans="12:16" ht="15" hidden="1" customHeight="1">
      <c r="L2513" s="58" t="str">
        <f t="shared" si="223"/>
        <v>-</v>
      </c>
      <c r="M2513" s="59">
        <f t="shared" si="221"/>
        <v>0</v>
      </c>
      <c r="N2513" s="59">
        <f t="shared" si="224"/>
        <v>0</v>
      </c>
      <c r="O2513" s="59">
        <f t="shared" si="222"/>
        <v>0</v>
      </c>
      <c r="P2513" s="59">
        <f t="shared" si="225"/>
        <v>0</v>
      </c>
    </row>
    <row r="2514" spans="12:16" ht="15" hidden="1" customHeight="1">
      <c r="L2514" s="58" t="str">
        <f t="shared" si="223"/>
        <v>-</v>
      </c>
      <c r="M2514" s="59">
        <f t="shared" si="221"/>
        <v>0</v>
      </c>
      <c r="N2514" s="59">
        <f t="shared" si="224"/>
        <v>0</v>
      </c>
      <c r="O2514" s="59">
        <f t="shared" si="222"/>
        <v>0</v>
      </c>
      <c r="P2514" s="59">
        <f t="shared" si="225"/>
        <v>0</v>
      </c>
    </row>
    <row r="2515" spans="12:16" ht="15" hidden="1" customHeight="1">
      <c r="L2515" s="58" t="str">
        <f t="shared" si="223"/>
        <v>-</v>
      </c>
      <c r="M2515" s="59">
        <f t="shared" ref="M2515:M2578" si="226">IFERROR(VLOOKUP(L2515,$B$19:$E$80,4,FALSE),0)</f>
        <v>0</v>
      </c>
      <c r="N2515" s="59">
        <f t="shared" si="224"/>
        <v>0</v>
      </c>
      <c r="O2515" s="59">
        <f t="shared" ref="O2515:O2578" si="227">IFERROR(IF(ISNUMBER(N2514),N2514,$E$8)*IF(L2515&gt;=$J$8,$E$12,$E$12)/IF(MOD(YEAR(L2515),4),365,366)*IF(ISBLANK(L2514),L2515-$F$5,L2515-L2514),0)</f>
        <v>0</v>
      </c>
      <c r="P2515" s="59">
        <f t="shared" si="225"/>
        <v>0</v>
      </c>
    </row>
    <row r="2516" spans="12:16" ht="15" hidden="1" customHeight="1">
      <c r="L2516" s="58" t="str">
        <f t="shared" si="223"/>
        <v>-</v>
      </c>
      <c r="M2516" s="59">
        <f t="shared" si="226"/>
        <v>0</v>
      </c>
      <c r="N2516" s="59">
        <f t="shared" si="224"/>
        <v>0</v>
      </c>
      <c r="O2516" s="59">
        <f t="shared" si="227"/>
        <v>0</v>
      </c>
      <c r="P2516" s="59">
        <f t="shared" si="225"/>
        <v>0</v>
      </c>
    </row>
    <row r="2517" spans="12:16" ht="15" hidden="1" customHeight="1">
      <c r="L2517" s="58" t="str">
        <f t="shared" si="223"/>
        <v>-</v>
      </c>
      <c r="M2517" s="59">
        <f t="shared" si="226"/>
        <v>0</v>
      </c>
      <c r="N2517" s="59">
        <f t="shared" si="224"/>
        <v>0</v>
      </c>
      <c r="O2517" s="59">
        <f t="shared" si="227"/>
        <v>0</v>
      </c>
      <c r="P2517" s="59">
        <f t="shared" si="225"/>
        <v>0</v>
      </c>
    </row>
    <row r="2518" spans="12:16" ht="15" hidden="1" customHeight="1">
      <c r="L2518" s="58" t="str">
        <f t="shared" si="223"/>
        <v>-</v>
      </c>
      <c r="M2518" s="59">
        <f t="shared" si="226"/>
        <v>0</v>
      </c>
      <c r="N2518" s="59">
        <f t="shared" si="224"/>
        <v>0</v>
      </c>
      <c r="O2518" s="59">
        <f t="shared" si="227"/>
        <v>0</v>
      </c>
      <c r="P2518" s="59">
        <f t="shared" si="225"/>
        <v>0</v>
      </c>
    </row>
    <row r="2519" spans="12:16" ht="15" hidden="1" customHeight="1">
      <c r="L2519" s="58" t="str">
        <f t="shared" si="223"/>
        <v>-</v>
      </c>
      <c r="M2519" s="59">
        <f t="shared" si="226"/>
        <v>0</v>
      </c>
      <c r="N2519" s="59">
        <f t="shared" si="224"/>
        <v>0</v>
      </c>
      <c r="O2519" s="59">
        <f t="shared" si="227"/>
        <v>0</v>
      </c>
      <c r="P2519" s="59">
        <f t="shared" si="225"/>
        <v>0</v>
      </c>
    </row>
    <row r="2520" spans="12:16" ht="15" hidden="1" customHeight="1">
      <c r="L2520" s="58" t="str">
        <f t="shared" si="223"/>
        <v>-</v>
      </c>
      <c r="M2520" s="59">
        <f t="shared" si="226"/>
        <v>0</v>
      </c>
      <c r="N2520" s="59">
        <f t="shared" si="224"/>
        <v>0</v>
      </c>
      <c r="O2520" s="59">
        <f t="shared" si="227"/>
        <v>0</v>
      </c>
      <c r="P2520" s="59">
        <f t="shared" si="225"/>
        <v>0</v>
      </c>
    </row>
    <row r="2521" spans="12:16" ht="15" hidden="1" customHeight="1">
      <c r="L2521" s="58" t="str">
        <f t="shared" si="223"/>
        <v>-</v>
      </c>
      <c r="M2521" s="59">
        <f t="shared" si="226"/>
        <v>0</v>
      </c>
      <c r="N2521" s="59">
        <f t="shared" si="224"/>
        <v>0</v>
      </c>
      <c r="O2521" s="59">
        <f t="shared" si="227"/>
        <v>0</v>
      </c>
      <c r="P2521" s="59">
        <f t="shared" si="225"/>
        <v>0</v>
      </c>
    </row>
    <row r="2522" spans="12:16" ht="15" hidden="1" customHeight="1">
      <c r="L2522" s="58" t="str">
        <f t="shared" si="223"/>
        <v>-</v>
      </c>
      <c r="M2522" s="59">
        <f t="shared" si="226"/>
        <v>0</v>
      </c>
      <c r="N2522" s="59">
        <f t="shared" si="224"/>
        <v>0</v>
      </c>
      <c r="O2522" s="59">
        <f t="shared" si="227"/>
        <v>0</v>
      </c>
      <c r="P2522" s="59">
        <f t="shared" si="225"/>
        <v>0</v>
      </c>
    </row>
    <row r="2523" spans="12:16" ht="15" hidden="1" customHeight="1">
      <c r="L2523" s="58" t="str">
        <f t="shared" si="223"/>
        <v>-</v>
      </c>
      <c r="M2523" s="59">
        <f t="shared" si="226"/>
        <v>0</v>
      </c>
      <c r="N2523" s="59">
        <f t="shared" si="224"/>
        <v>0</v>
      </c>
      <c r="O2523" s="59">
        <f t="shared" si="227"/>
        <v>0</v>
      </c>
      <c r="P2523" s="59">
        <f t="shared" si="225"/>
        <v>0</v>
      </c>
    </row>
    <row r="2524" spans="12:16" ht="15" hidden="1" customHeight="1">
      <c r="L2524" s="58" t="str">
        <f t="shared" si="223"/>
        <v>-</v>
      </c>
      <c r="M2524" s="59">
        <f t="shared" si="226"/>
        <v>0</v>
      </c>
      <c r="N2524" s="59">
        <f t="shared" si="224"/>
        <v>0</v>
      </c>
      <c r="O2524" s="59">
        <f t="shared" si="227"/>
        <v>0</v>
      </c>
      <c r="P2524" s="59">
        <f t="shared" si="225"/>
        <v>0</v>
      </c>
    </row>
    <row r="2525" spans="12:16" ht="15" hidden="1" customHeight="1">
      <c r="L2525" s="58" t="str">
        <f t="shared" si="223"/>
        <v>-</v>
      </c>
      <c r="M2525" s="59">
        <f t="shared" si="226"/>
        <v>0</v>
      </c>
      <c r="N2525" s="59">
        <f t="shared" si="224"/>
        <v>0</v>
      </c>
      <c r="O2525" s="59">
        <f t="shared" si="227"/>
        <v>0</v>
      </c>
      <c r="P2525" s="59">
        <f t="shared" si="225"/>
        <v>0</v>
      </c>
    </row>
    <row r="2526" spans="12:16" ht="15" hidden="1" customHeight="1">
      <c r="L2526" s="58" t="str">
        <f t="shared" si="223"/>
        <v>-</v>
      </c>
      <c r="M2526" s="59">
        <f t="shared" si="226"/>
        <v>0</v>
      </c>
      <c r="N2526" s="59">
        <f t="shared" si="224"/>
        <v>0</v>
      </c>
      <c r="O2526" s="59">
        <f t="shared" si="227"/>
        <v>0</v>
      </c>
      <c r="P2526" s="59">
        <f t="shared" si="225"/>
        <v>0</v>
      </c>
    </row>
    <row r="2527" spans="12:16" ht="15" hidden="1" customHeight="1">
      <c r="L2527" s="58" t="str">
        <f t="shared" si="223"/>
        <v>-</v>
      </c>
      <c r="M2527" s="59">
        <f t="shared" si="226"/>
        <v>0</v>
      </c>
      <c r="N2527" s="59">
        <f t="shared" si="224"/>
        <v>0</v>
      </c>
      <c r="O2527" s="59">
        <f t="shared" si="227"/>
        <v>0</v>
      </c>
      <c r="P2527" s="59">
        <f t="shared" si="225"/>
        <v>0</v>
      </c>
    </row>
    <row r="2528" spans="12:16" ht="15" hidden="1" customHeight="1">
      <c r="L2528" s="58" t="str">
        <f t="shared" si="223"/>
        <v>-</v>
      </c>
      <c r="M2528" s="59">
        <f t="shared" si="226"/>
        <v>0</v>
      </c>
      <c r="N2528" s="59">
        <f t="shared" si="224"/>
        <v>0</v>
      </c>
      <c r="O2528" s="59">
        <f t="shared" si="227"/>
        <v>0</v>
      </c>
      <c r="P2528" s="59">
        <f t="shared" si="225"/>
        <v>0</v>
      </c>
    </row>
    <row r="2529" spans="12:16" ht="15" hidden="1" customHeight="1">
      <c r="L2529" s="58" t="str">
        <f t="shared" si="223"/>
        <v>-</v>
      </c>
      <c r="M2529" s="59">
        <f t="shared" si="226"/>
        <v>0</v>
      </c>
      <c r="N2529" s="59">
        <f t="shared" si="224"/>
        <v>0</v>
      </c>
      <c r="O2529" s="59">
        <f t="shared" si="227"/>
        <v>0</v>
      </c>
      <c r="P2529" s="59">
        <f t="shared" si="225"/>
        <v>0</v>
      </c>
    </row>
    <row r="2530" spans="12:16" ht="15" hidden="1" customHeight="1">
      <c r="L2530" s="58" t="str">
        <f t="shared" ref="L2530:L2593" si="228">IFERROR(IF(MAX(L2529+1,$F$5+1)&gt;Дата_погашения_Займа,"-",MAX(L2529+1,$F$5+1)),"-")</f>
        <v>-</v>
      </c>
      <c r="M2530" s="59">
        <f t="shared" si="226"/>
        <v>0</v>
      </c>
      <c r="N2530" s="59">
        <f t="shared" si="224"/>
        <v>0</v>
      </c>
      <c r="O2530" s="59">
        <f t="shared" si="227"/>
        <v>0</v>
      </c>
      <c r="P2530" s="59">
        <f t="shared" si="225"/>
        <v>0</v>
      </c>
    </row>
    <row r="2531" spans="12:16" ht="15" hidden="1" customHeight="1">
      <c r="L2531" s="58" t="str">
        <f t="shared" si="228"/>
        <v>-</v>
      </c>
      <c r="M2531" s="59">
        <f t="shared" si="226"/>
        <v>0</v>
      </c>
      <c r="N2531" s="59">
        <f t="shared" si="224"/>
        <v>0</v>
      </c>
      <c r="O2531" s="59">
        <f t="shared" si="227"/>
        <v>0</v>
      </c>
      <c r="P2531" s="59">
        <f t="shared" si="225"/>
        <v>0</v>
      </c>
    </row>
    <row r="2532" spans="12:16" ht="15" hidden="1" customHeight="1">
      <c r="L2532" s="58" t="str">
        <f t="shared" si="228"/>
        <v>-</v>
      </c>
      <c r="M2532" s="59">
        <f t="shared" si="226"/>
        <v>0</v>
      </c>
      <c r="N2532" s="59">
        <f t="shared" si="224"/>
        <v>0</v>
      </c>
      <c r="O2532" s="59">
        <f t="shared" si="227"/>
        <v>0</v>
      </c>
      <c r="P2532" s="59">
        <f t="shared" si="225"/>
        <v>0</v>
      </c>
    </row>
    <row r="2533" spans="12:16" ht="15" hidden="1" customHeight="1">
      <c r="L2533" s="58" t="str">
        <f t="shared" si="228"/>
        <v>-</v>
      </c>
      <c r="M2533" s="59">
        <f t="shared" si="226"/>
        <v>0</v>
      </c>
      <c r="N2533" s="59">
        <f t="shared" si="224"/>
        <v>0</v>
      </c>
      <c r="O2533" s="59">
        <f t="shared" si="227"/>
        <v>0</v>
      </c>
      <c r="P2533" s="59">
        <f t="shared" si="225"/>
        <v>0</v>
      </c>
    </row>
    <row r="2534" spans="12:16" ht="15" hidden="1" customHeight="1">
      <c r="L2534" s="58" t="str">
        <f t="shared" si="228"/>
        <v>-</v>
      </c>
      <c r="M2534" s="59">
        <f t="shared" si="226"/>
        <v>0</v>
      </c>
      <c r="N2534" s="59">
        <f t="shared" si="224"/>
        <v>0</v>
      </c>
      <c r="O2534" s="59">
        <f t="shared" si="227"/>
        <v>0</v>
      </c>
      <c r="P2534" s="59">
        <f t="shared" si="225"/>
        <v>0</v>
      </c>
    </row>
    <row r="2535" spans="12:16" ht="15" hidden="1" customHeight="1">
      <c r="L2535" s="58" t="str">
        <f t="shared" si="228"/>
        <v>-</v>
      </c>
      <c r="M2535" s="59">
        <f t="shared" si="226"/>
        <v>0</v>
      </c>
      <c r="N2535" s="59">
        <f t="shared" si="224"/>
        <v>0</v>
      </c>
      <c r="O2535" s="59">
        <f t="shared" si="227"/>
        <v>0</v>
      </c>
      <c r="P2535" s="59">
        <f t="shared" si="225"/>
        <v>0</v>
      </c>
    </row>
    <row r="2536" spans="12:16" ht="15" hidden="1" customHeight="1">
      <c r="L2536" s="58" t="str">
        <f t="shared" si="228"/>
        <v>-</v>
      </c>
      <c r="M2536" s="59">
        <f t="shared" si="226"/>
        <v>0</v>
      </c>
      <c r="N2536" s="59">
        <f t="shared" si="224"/>
        <v>0</v>
      </c>
      <c r="O2536" s="59">
        <f t="shared" si="227"/>
        <v>0</v>
      </c>
      <c r="P2536" s="59">
        <f t="shared" si="225"/>
        <v>0</v>
      </c>
    </row>
    <row r="2537" spans="12:16" ht="15" hidden="1" customHeight="1">
      <c r="L2537" s="58" t="str">
        <f t="shared" si="228"/>
        <v>-</v>
      </c>
      <c r="M2537" s="59">
        <f t="shared" si="226"/>
        <v>0</v>
      </c>
      <c r="N2537" s="59">
        <f t="shared" si="224"/>
        <v>0</v>
      </c>
      <c r="O2537" s="59">
        <f t="shared" si="227"/>
        <v>0</v>
      </c>
      <c r="P2537" s="59">
        <f t="shared" si="225"/>
        <v>0</v>
      </c>
    </row>
    <row r="2538" spans="12:16" ht="15" hidden="1" customHeight="1">
      <c r="L2538" s="58" t="str">
        <f t="shared" si="228"/>
        <v>-</v>
      </c>
      <c r="M2538" s="59">
        <f t="shared" si="226"/>
        <v>0</v>
      </c>
      <c r="N2538" s="59">
        <f t="shared" si="224"/>
        <v>0</v>
      </c>
      <c r="O2538" s="59">
        <f t="shared" si="227"/>
        <v>0</v>
      </c>
      <c r="P2538" s="59">
        <f t="shared" si="225"/>
        <v>0</v>
      </c>
    </row>
    <row r="2539" spans="12:16" ht="15" hidden="1" customHeight="1">
      <c r="L2539" s="58" t="str">
        <f t="shared" si="228"/>
        <v>-</v>
      </c>
      <c r="M2539" s="59">
        <f t="shared" si="226"/>
        <v>0</v>
      </c>
      <c r="N2539" s="59">
        <f t="shared" si="224"/>
        <v>0</v>
      </c>
      <c r="O2539" s="59">
        <f t="shared" si="227"/>
        <v>0</v>
      </c>
      <c r="P2539" s="59">
        <f t="shared" si="225"/>
        <v>0</v>
      </c>
    </row>
    <row r="2540" spans="12:16" ht="15" hidden="1" customHeight="1">
      <c r="L2540" s="58" t="str">
        <f t="shared" si="228"/>
        <v>-</v>
      </c>
      <c r="M2540" s="59">
        <f t="shared" si="226"/>
        <v>0</v>
      </c>
      <c r="N2540" s="59">
        <f t="shared" si="224"/>
        <v>0</v>
      </c>
      <c r="O2540" s="59">
        <f t="shared" si="227"/>
        <v>0</v>
      </c>
      <c r="P2540" s="59">
        <f t="shared" si="225"/>
        <v>0</v>
      </c>
    </row>
    <row r="2541" spans="12:16" ht="15" hidden="1" customHeight="1">
      <c r="L2541" s="58" t="str">
        <f t="shared" si="228"/>
        <v>-</v>
      </c>
      <c r="M2541" s="59">
        <f t="shared" si="226"/>
        <v>0</v>
      </c>
      <c r="N2541" s="59">
        <f t="shared" si="224"/>
        <v>0</v>
      </c>
      <c r="O2541" s="59">
        <f t="shared" si="227"/>
        <v>0</v>
      </c>
      <c r="P2541" s="59">
        <f t="shared" si="225"/>
        <v>0</v>
      </c>
    </row>
    <row r="2542" spans="12:16" ht="15" hidden="1" customHeight="1">
      <c r="L2542" s="58" t="str">
        <f t="shared" si="228"/>
        <v>-</v>
      </c>
      <c r="M2542" s="59">
        <f t="shared" si="226"/>
        <v>0</v>
      </c>
      <c r="N2542" s="59">
        <f t="shared" si="224"/>
        <v>0</v>
      </c>
      <c r="O2542" s="59">
        <f t="shared" si="227"/>
        <v>0</v>
      </c>
      <c r="P2542" s="59">
        <f t="shared" si="225"/>
        <v>0</v>
      </c>
    </row>
    <row r="2543" spans="12:16" ht="15" hidden="1" customHeight="1">
      <c r="L2543" s="58" t="str">
        <f t="shared" si="228"/>
        <v>-</v>
      </c>
      <c r="M2543" s="59">
        <f t="shared" si="226"/>
        <v>0</v>
      </c>
      <c r="N2543" s="59">
        <f t="shared" si="224"/>
        <v>0</v>
      </c>
      <c r="O2543" s="59">
        <f t="shared" si="227"/>
        <v>0</v>
      </c>
      <c r="P2543" s="59">
        <f t="shared" si="225"/>
        <v>0</v>
      </c>
    </row>
    <row r="2544" spans="12:16" ht="15" hidden="1" customHeight="1">
      <c r="L2544" s="58" t="str">
        <f t="shared" si="228"/>
        <v>-</v>
      </c>
      <c r="M2544" s="59">
        <f t="shared" si="226"/>
        <v>0</v>
      </c>
      <c r="N2544" s="59">
        <f t="shared" ref="N2544:N2587" si="229">IF(ISNUMBER(N2543),N2543-M2544,$E$8)</f>
        <v>0</v>
      </c>
      <c r="O2544" s="59">
        <f t="shared" si="227"/>
        <v>0</v>
      </c>
      <c r="P2544" s="59">
        <f t="shared" ref="P2544:P2587" si="230">IFERROR(IF(ISNUMBER(N2543),N2543,$E$8)*3%/IF(MOD(YEAR(L2544),4),365,366)*IF(ISBLANK(L2543),(L2544-$F$5),L2544-L2543),0)</f>
        <v>0</v>
      </c>
    </row>
    <row r="2545" spans="12:16" ht="15" hidden="1" customHeight="1">
      <c r="L2545" s="58" t="str">
        <f t="shared" si="228"/>
        <v>-</v>
      </c>
      <c r="M2545" s="59">
        <f t="shared" si="226"/>
        <v>0</v>
      </c>
      <c r="N2545" s="59">
        <f t="shared" si="229"/>
        <v>0</v>
      </c>
      <c r="O2545" s="59">
        <f t="shared" si="227"/>
        <v>0</v>
      </c>
      <c r="P2545" s="59">
        <f t="shared" si="230"/>
        <v>0</v>
      </c>
    </row>
    <row r="2546" spans="12:16" ht="15" hidden="1" customHeight="1">
      <c r="L2546" s="58" t="str">
        <f t="shared" si="228"/>
        <v>-</v>
      </c>
      <c r="M2546" s="59">
        <f t="shared" si="226"/>
        <v>0</v>
      </c>
      <c r="N2546" s="59">
        <f t="shared" si="229"/>
        <v>0</v>
      </c>
      <c r="O2546" s="59">
        <f t="shared" si="227"/>
        <v>0</v>
      </c>
      <c r="P2546" s="59">
        <f t="shared" si="230"/>
        <v>0</v>
      </c>
    </row>
    <row r="2547" spans="12:16" ht="15" hidden="1" customHeight="1">
      <c r="L2547" s="58" t="str">
        <f t="shared" si="228"/>
        <v>-</v>
      </c>
      <c r="M2547" s="59">
        <f t="shared" si="226"/>
        <v>0</v>
      </c>
      <c r="N2547" s="59">
        <f t="shared" si="229"/>
        <v>0</v>
      </c>
      <c r="O2547" s="59">
        <f t="shared" si="227"/>
        <v>0</v>
      </c>
      <c r="P2547" s="59">
        <f t="shared" si="230"/>
        <v>0</v>
      </c>
    </row>
    <row r="2548" spans="12:16" ht="15" hidden="1" customHeight="1">
      <c r="L2548" s="58" t="str">
        <f t="shared" si="228"/>
        <v>-</v>
      </c>
      <c r="M2548" s="59">
        <f t="shared" si="226"/>
        <v>0</v>
      </c>
      <c r="N2548" s="59">
        <f t="shared" si="229"/>
        <v>0</v>
      </c>
      <c r="O2548" s="59">
        <f t="shared" si="227"/>
        <v>0</v>
      </c>
      <c r="P2548" s="59">
        <f t="shared" si="230"/>
        <v>0</v>
      </c>
    </row>
    <row r="2549" spans="12:16" ht="15" hidden="1" customHeight="1">
      <c r="L2549" s="58" t="str">
        <f t="shared" si="228"/>
        <v>-</v>
      </c>
      <c r="M2549" s="59">
        <f t="shared" si="226"/>
        <v>0</v>
      </c>
      <c r="N2549" s="59">
        <f t="shared" si="229"/>
        <v>0</v>
      </c>
      <c r="O2549" s="59">
        <f t="shared" si="227"/>
        <v>0</v>
      </c>
      <c r="P2549" s="59">
        <f t="shared" si="230"/>
        <v>0</v>
      </c>
    </row>
    <row r="2550" spans="12:16" ht="15" hidden="1" customHeight="1">
      <c r="L2550" s="58" t="str">
        <f t="shared" si="228"/>
        <v>-</v>
      </c>
      <c r="M2550" s="59">
        <f t="shared" si="226"/>
        <v>0</v>
      </c>
      <c r="N2550" s="59">
        <f t="shared" si="229"/>
        <v>0</v>
      </c>
      <c r="O2550" s="59">
        <f t="shared" si="227"/>
        <v>0</v>
      </c>
      <c r="P2550" s="59">
        <f t="shared" si="230"/>
        <v>0</v>
      </c>
    </row>
    <row r="2551" spans="12:16" ht="15" hidden="1" customHeight="1">
      <c r="L2551" s="58" t="str">
        <f t="shared" si="228"/>
        <v>-</v>
      </c>
      <c r="M2551" s="59">
        <f t="shared" si="226"/>
        <v>0</v>
      </c>
      <c r="N2551" s="59">
        <f t="shared" si="229"/>
        <v>0</v>
      </c>
      <c r="O2551" s="59">
        <f t="shared" si="227"/>
        <v>0</v>
      </c>
      <c r="P2551" s="59">
        <f t="shared" si="230"/>
        <v>0</v>
      </c>
    </row>
    <row r="2552" spans="12:16" ht="15" hidden="1" customHeight="1">
      <c r="L2552" s="58" t="str">
        <f t="shared" si="228"/>
        <v>-</v>
      </c>
      <c r="M2552" s="59">
        <f t="shared" si="226"/>
        <v>0</v>
      </c>
      <c r="N2552" s="59">
        <f t="shared" si="229"/>
        <v>0</v>
      </c>
      <c r="O2552" s="59">
        <f t="shared" si="227"/>
        <v>0</v>
      </c>
      <c r="P2552" s="59">
        <f t="shared" si="230"/>
        <v>0</v>
      </c>
    </row>
    <row r="2553" spans="12:16" ht="15" hidden="1" customHeight="1">
      <c r="L2553" s="58" t="str">
        <f t="shared" si="228"/>
        <v>-</v>
      </c>
      <c r="M2553" s="59">
        <f t="shared" si="226"/>
        <v>0</v>
      </c>
      <c r="N2553" s="59">
        <f t="shared" si="229"/>
        <v>0</v>
      </c>
      <c r="O2553" s="59">
        <f t="shared" si="227"/>
        <v>0</v>
      </c>
      <c r="P2553" s="59">
        <f t="shared" si="230"/>
        <v>0</v>
      </c>
    </row>
    <row r="2554" spans="12:16" ht="15" hidden="1" customHeight="1">
      <c r="L2554" s="58" t="str">
        <f t="shared" si="228"/>
        <v>-</v>
      </c>
      <c r="M2554" s="59">
        <f t="shared" si="226"/>
        <v>0</v>
      </c>
      <c r="N2554" s="59">
        <f t="shared" si="229"/>
        <v>0</v>
      </c>
      <c r="O2554" s="59">
        <f t="shared" si="227"/>
        <v>0</v>
      </c>
      <c r="P2554" s="59">
        <f t="shared" si="230"/>
        <v>0</v>
      </c>
    </row>
    <row r="2555" spans="12:16" ht="15" hidden="1" customHeight="1">
      <c r="L2555" s="58" t="str">
        <f t="shared" si="228"/>
        <v>-</v>
      </c>
      <c r="M2555" s="59">
        <f t="shared" si="226"/>
        <v>0</v>
      </c>
      <c r="N2555" s="59">
        <f t="shared" si="229"/>
        <v>0</v>
      </c>
      <c r="O2555" s="59">
        <f t="shared" si="227"/>
        <v>0</v>
      </c>
      <c r="P2555" s="59">
        <f t="shared" si="230"/>
        <v>0</v>
      </c>
    </row>
    <row r="2556" spans="12:16" ht="15" hidden="1" customHeight="1">
      <c r="L2556" s="58" t="str">
        <f t="shared" si="228"/>
        <v>-</v>
      </c>
      <c r="M2556" s="59">
        <f t="shared" si="226"/>
        <v>0</v>
      </c>
      <c r="N2556" s="59">
        <f t="shared" si="229"/>
        <v>0</v>
      </c>
      <c r="O2556" s="59">
        <f t="shared" si="227"/>
        <v>0</v>
      </c>
      <c r="P2556" s="59">
        <f t="shared" si="230"/>
        <v>0</v>
      </c>
    </row>
    <row r="2557" spans="12:16" ht="15" hidden="1" customHeight="1">
      <c r="L2557" s="58" t="str">
        <f t="shared" si="228"/>
        <v>-</v>
      </c>
      <c r="M2557" s="59">
        <f t="shared" si="226"/>
        <v>0</v>
      </c>
      <c r="N2557" s="59">
        <f t="shared" si="229"/>
        <v>0</v>
      </c>
      <c r="O2557" s="59">
        <f t="shared" si="227"/>
        <v>0</v>
      </c>
      <c r="P2557" s="59">
        <f t="shared" si="230"/>
        <v>0</v>
      </c>
    </row>
    <row r="2558" spans="12:16" ht="15" hidden="1" customHeight="1">
      <c r="L2558" s="58" t="str">
        <f t="shared" si="228"/>
        <v>-</v>
      </c>
      <c r="M2558" s="59">
        <f t="shared" si="226"/>
        <v>0</v>
      </c>
      <c r="N2558" s="59">
        <f t="shared" si="229"/>
        <v>0</v>
      </c>
      <c r="O2558" s="59">
        <f t="shared" si="227"/>
        <v>0</v>
      </c>
      <c r="P2558" s="59">
        <f t="shared" si="230"/>
        <v>0</v>
      </c>
    </row>
    <row r="2559" spans="12:16" ht="15" hidden="1" customHeight="1">
      <c r="L2559" s="58" t="str">
        <f t="shared" si="228"/>
        <v>-</v>
      </c>
      <c r="M2559" s="59">
        <f t="shared" si="226"/>
        <v>0</v>
      </c>
      <c r="N2559" s="59">
        <f t="shared" si="229"/>
        <v>0</v>
      </c>
      <c r="O2559" s="59">
        <f t="shared" si="227"/>
        <v>0</v>
      </c>
      <c r="P2559" s="59">
        <f t="shared" si="230"/>
        <v>0</v>
      </c>
    </row>
    <row r="2560" spans="12:16" ht="15" hidden="1" customHeight="1">
      <c r="L2560" s="58" t="str">
        <f t="shared" si="228"/>
        <v>-</v>
      </c>
      <c r="M2560" s="59">
        <f t="shared" si="226"/>
        <v>0</v>
      </c>
      <c r="N2560" s="59">
        <f t="shared" si="229"/>
        <v>0</v>
      </c>
      <c r="O2560" s="59">
        <f t="shared" si="227"/>
        <v>0</v>
      </c>
      <c r="P2560" s="59">
        <f t="shared" si="230"/>
        <v>0</v>
      </c>
    </row>
    <row r="2561" spans="12:16" ht="15" hidden="1" customHeight="1">
      <c r="L2561" s="58" t="str">
        <f t="shared" si="228"/>
        <v>-</v>
      </c>
      <c r="M2561" s="59">
        <f t="shared" si="226"/>
        <v>0</v>
      </c>
      <c r="N2561" s="59">
        <f t="shared" si="229"/>
        <v>0</v>
      </c>
      <c r="O2561" s="59">
        <f t="shared" si="227"/>
        <v>0</v>
      </c>
      <c r="P2561" s="59">
        <f t="shared" si="230"/>
        <v>0</v>
      </c>
    </row>
    <row r="2562" spans="12:16" ht="15" hidden="1" customHeight="1">
      <c r="L2562" s="58" t="str">
        <f t="shared" si="228"/>
        <v>-</v>
      </c>
      <c r="M2562" s="59">
        <f t="shared" si="226"/>
        <v>0</v>
      </c>
      <c r="N2562" s="59">
        <f t="shared" si="229"/>
        <v>0</v>
      </c>
      <c r="O2562" s="59">
        <f t="shared" si="227"/>
        <v>0</v>
      </c>
      <c r="P2562" s="59">
        <f t="shared" si="230"/>
        <v>0</v>
      </c>
    </row>
    <row r="2563" spans="12:16" ht="15" hidden="1" customHeight="1">
      <c r="L2563" s="58" t="str">
        <f t="shared" si="228"/>
        <v>-</v>
      </c>
      <c r="M2563" s="59">
        <f t="shared" si="226"/>
        <v>0</v>
      </c>
      <c r="N2563" s="59">
        <f t="shared" si="229"/>
        <v>0</v>
      </c>
      <c r="O2563" s="59">
        <f t="shared" si="227"/>
        <v>0</v>
      </c>
      <c r="P2563" s="59">
        <f t="shared" si="230"/>
        <v>0</v>
      </c>
    </row>
    <row r="2564" spans="12:16" ht="15" hidden="1" customHeight="1">
      <c r="L2564" s="58" t="str">
        <f t="shared" si="228"/>
        <v>-</v>
      </c>
      <c r="M2564" s="59">
        <f t="shared" si="226"/>
        <v>0</v>
      </c>
      <c r="N2564" s="59">
        <f t="shared" si="229"/>
        <v>0</v>
      </c>
      <c r="O2564" s="59">
        <f t="shared" si="227"/>
        <v>0</v>
      </c>
      <c r="P2564" s="59">
        <f t="shared" si="230"/>
        <v>0</v>
      </c>
    </row>
    <row r="2565" spans="12:16" ht="15" hidden="1" customHeight="1">
      <c r="L2565" s="58" t="str">
        <f t="shared" si="228"/>
        <v>-</v>
      </c>
      <c r="M2565" s="59">
        <f t="shared" si="226"/>
        <v>0</v>
      </c>
      <c r="N2565" s="59">
        <f t="shared" si="229"/>
        <v>0</v>
      </c>
      <c r="O2565" s="59">
        <f t="shared" si="227"/>
        <v>0</v>
      </c>
      <c r="P2565" s="59">
        <f t="shared" si="230"/>
        <v>0</v>
      </c>
    </row>
    <row r="2566" spans="12:16" ht="15" hidden="1" customHeight="1">
      <c r="L2566" s="58" t="str">
        <f t="shared" si="228"/>
        <v>-</v>
      </c>
      <c r="M2566" s="59">
        <f t="shared" si="226"/>
        <v>0</v>
      </c>
      <c r="N2566" s="59">
        <f t="shared" si="229"/>
        <v>0</v>
      </c>
      <c r="O2566" s="59">
        <f t="shared" si="227"/>
        <v>0</v>
      </c>
      <c r="P2566" s="59">
        <f t="shared" si="230"/>
        <v>0</v>
      </c>
    </row>
    <row r="2567" spans="12:16" ht="15" hidden="1" customHeight="1">
      <c r="L2567" s="58" t="str">
        <f t="shared" si="228"/>
        <v>-</v>
      </c>
      <c r="M2567" s="59">
        <f t="shared" si="226"/>
        <v>0</v>
      </c>
      <c r="N2567" s="59">
        <f t="shared" si="229"/>
        <v>0</v>
      </c>
      <c r="O2567" s="59">
        <f t="shared" si="227"/>
        <v>0</v>
      </c>
      <c r="P2567" s="59">
        <f t="shared" si="230"/>
        <v>0</v>
      </c>
    </row>
    <row r="2568" spans="12:16" ht="15" hidden="1" customHeight="1">
      <c r="L2568" s="58" t="str">
        <f t="shared" si="228"/>
        <v>-</v>
      </c>
      <c r="M2568" s="59">
        <f t="shared" si="226"/>
        <v>0</v>
      </c>
      <c r="N2568" s="59">
        <f t="shared" si="229"/>
        <v>0</v>
      </c>
      <c r="O2568" s="59">
        <f t="shared" si="227"/>
        <v>0</v>
      </c>
      <c r="P2568" s="59">
        <f t="shared" si="230"/>
        <v>0</v>
      </c>
    </row>
    <row r="2569" spans="12:16" ht="15" hidden="1" customHeight="1">
      <c r="L2569" s="58" t="str">
        <f t="shared" si="228"/>
        <v>-</v>
      </c>
      <c r="M2569" s="59">
        <f t="shared" si="226"/>
        <v>0</v>
      </c>
      <c r="N2569" s="59">
        <f t="shared" si="229"/>
        <v>0</v>
      </c>
      <c r="O2569" s="59">
        <f t="shared" si="227"/>
        <v>0</v>
      </c>
      <c r="P2569" s="59">
        <f t="shared" si="230"/>
        <v>0</v>
      </c>
    </row>
    <row r="2570" spans="12:16" ht="15" hidden="1" customHeight="1">
      <c r="L2570" s="58" t="str">
        <f t="shared" si="228"/>
        <v>-</v>
      </c>
      <c r="M2570" s="59">
        <f t="shared" si="226"/>
        <v>0</v>
      </c>
      <c r="N2570" s="59">
        <f t="shared" si="229"/>
        <v>0</v>
      </c>
      <c r="O2570" s="59">
        <f t="shared" si="227"/>
        <v>0</v>
      </c>
      <c r="P2570" s="59">
        <f t="shared" si="230"/>
        <v>0</v>
      </c>
    </row>
    <row r="2571" spans="12:16" ht="15" hidden="1" customHeight="1">
      <c r="L2571" s="58" t="str">
        <f t="shared" si="228"/>
        <v>-</v>
      </c>
      <c r="M2571" s="59">
        <f t="shared" si="226"/>
        <v>0</v>
      </c>
      <c r="N2571" s="59">
        <f t="shared" si="229"/>
        <v>0</v>
      </c>
      <c r="O2571" s="59">
        <f t="shared" si="227"/>
        <v>0</v>
      </c>
      <c r="P2571" s="59">
        <f t="shared" si="230"/>
        <v>0</v>
      </c>
    </row>
    <row r="2572" spans="12:16" ht="15" hidden="1" customHeight="1">
      <c r="L2572" s="58" t="str">
        <f t="shared" si="228"/>
        <v>-</v>
      </c>
      <c r="M2572" s="59">
        <f t="shared" si="226"/>
        <v>0</v>
      </c>
      <c r="N2572" s="59">
        <f t="shared" si="229"/>
        <v>0</v>
      </c>
      <c r="O2572" s="59">
        <f t="shared" si="227"/>
        <v>0</v>
      </c>
      <c r="P2572" s="59">
        <f t="shared" si="230"/>
        <v>0</v>
      </c>
    </row>
    <row r="2573" spans="12:16" ht="15" hidden="1" customHeight="1">
      <c r="L2573" s="58" t="str">
        <f t="shared" si="228"/>
        <v>-</v>
      </c>
      <c r="M2573" s="59">
        <f t="shared" si="226"/>
        <v>0</v>
      </c>
      <c r="N2573" s="59">
        <f t="shared" si="229"/>
        <v>0</v>
      </c>
      <c r="O2573" s="59">
        <f t="shared" si="227"/>
        <v>0</v>
      </c>
      <c r="P2573" s="59">
        <f t="shared" si="230"/>
        <v>0</v>
      </c>
    </row>
    <row r="2574" spans="12:16" ht="15" hidden="1" customHeight="1">
      <c r="L2574" s="58" t="str">
        <f t="shared" si="228"/>
        <v>-</v>
      </c>
      <c r="M2574" s="59">
        <f t="shared" si="226"/>
        <v>0</v>
      </c>
      <c r="N2574" s="59">
        <f t="shared" si="229"/>
        <v>0</v>
      </c>
      <c r="O2574" s="59">
        <f t="shared" si="227"/>
        <v>0</v>
      </c>
      <c r="P2574" s="59">
        <f t="shared" si="230"/>
        <v>0</v>
      </c>
    </row>
    <row r="2575" spans="12:16" ht="15" hidden="1" customHeight="1">
      <c r="L2575" s="58" t="str">
        <f t="shared" si="228"/>
        <v>-</v>
      </c>
      <c r="M2575" s="59">
        <f t="shared" si="226"/>
        <v>0</v>
      </c>
      <c r="N2575" s="59">
        <f t="shared" si="229"/>
        <v>0</v>
      </c>
      <c r="O2575" s="59">
        <f t="shared" si="227"/>
        <v>0</v>
      </c>
      <c r="P2575" s="59">
        <f t="shared" si="230"/>
        <v>0</v>
      </c>
    </row>
    <row r="2576" spans="12:16" ht="15" hidden="1" customHeight="1">
      <c r="L2576" s="58" t="str">
        <f t="shared" si="228"/>
        <v>-</v>
      </c>
      <c r="M2576" s="59">
        <f t="shared" si="226"/>
        <v>0</v>
      </c>
      <c r="N2576" s="59">
        <f t="shared" si="229"/>
        <v>0</v>
      </c>
      <c r="O2576" s="59">
        <f t="shared" si="227"/>
        <v>0</v>
      </c>
      <c r="P2576" s="59">
        <f t="shared" si="230"/>
        <v>0</v>
      </c>
    </row>
    <row r="2577" spans="12:16" ht="15" hidden="1" customHeight="1">
      <c r="L2577" s="58" t="str">
        <f t="shared" si="228"/>
        <v>-</v>
      </c>
      <c r="M2577" s="59">
        <f t="shared" si="226"/>
        <v>0</v>
      </c>
      <c r="N2577" s="59">
        <f t="shared" si="229"/>
        <v>0</v>
      </c>
      <c r="O2577" s="59">
        <f t="shared" si="227"/>
        <v>0</v>
      </c>
      <c r="P2577" s="59">
        <f t="shared" si="230"/>
        <v>0</v>
      </c>
    </row>
    <row r="2578" spans="12:16" ht="15" hidden="1" customHeight="1">
      <c r="L2578" s="58" t="str">
        <f t="shared" si="228"/>
        <v>-</v>
      </c>
      <c r="M2578" s="59">
        <f t="shared" si="226"/>
        <v>0</v>
      </c>
      <c r="N2578" s="59">
        <f t="shared" si="229"/>
        <v>0</v>
      </c>
      <c r="O2578" s="59">
        <f t="shared" si="227"/>
        <v>0</v>
      </c>
      <c r="P2578" s="59">
        <f t="shared" si="230"/>
        <v>0</v>
      </c>
    </row>
    <row r="2579" spans="12:16" ht="15" hidden="1" customHeight="1">
      <c r="L2579" s="58" t="str">
        <f t="shared" si="228"/>
        <v>-</v>
      </c>
      <c r="M2579" s="59">
        <f t="shared" ref="M2579:M2642" si="231">IFERROR(VLOOKUP(L2579,$B$19:$E$80,4,FALSE),0)</f>
        <v>0</v>
      </c>
      <c r="N2579" s="59">
        <f t="shared" si="229"/>
        <v>0</v>
      </c>
      <c r="O2579" s="59">
        <f t="shared" ref="O2579:O2642" si="232">IFERROR(IF(ISNUMBER(N2578),N2578,$E$8)*IF(L2579&gt;=$J$8,$E$12,$E$12)/IF(MOD(YEAR(L2579),4),365,366)*IF(ISBLANK(L2578),L2579-$F$5,L2579-L2578),0)</f>
        <v>0</v>
      </c>
      <c r="P2579" s="59">
        <f t="shared" si="230"/>
        <v>0</v>
      </c>
    </row>
    <row r="2580" spans="12:16" ht="15" hidden="1" customHeight="1">
      <c r="L2580" s="58" t="str">
        <f t="shared" si="228"/>
        <v>-</v>
      </c>
      <c r="M2580" s="59">
        <f t="shared" si="231"/>
        <v>0</v>
      </c>
      <c r="N2580" s="59">
        <f t="shared" si="229"/>
        <v>0</v>
      </c>
      <c r="O2580" s="59">
        <f t="shared" si="232"/>
        <v>0</v>
      </c>
      <c r="P2580" s="59">
        <f t="shared" si="230"/>
        <v>0</v>
      </c>
    </row>
    <row r="2581" spans="12:16" ht="15" hidden="1" customHeight="1">
      <c r="L2581" s="58" t="str">
        <f t="shared" si="228"/>
        <v>-</v>
      </c>
      <c r="M2581" s="59">
        <f t="shared" si="231"/>
        <v>0</v>
      </c>
      <c r="N2581" s="59">
        <f t="shared" si="229"/>
        <v>0</v>
      </c>
      <c r="O2581" s="59">
        <f t="shared" si="232"/>
        <v>0</v>
      </c>
      <c r="P2581" s="59">
        <f t="shared" si="230"/>
        <v>0</v>
      </c>
    </row>
    <row r="2582" spans="12:16" ht="15" hidden="1" customHeight="1">
      <c r="L2582" s="58" t="str">
        <f t="shared" si="228"/>
        <v>-</v>
      </c>
      <c r="M2582" s="59">
        <f t="shared" si="231"/>
        <v>0</v>
      </c>
      <c r="N2582" s="59">
        <f t="shared" si="229"/>
        <v>0</v>
      </c>
      <c r="O2582" s="59">
        <f t="shared" si="232"/>
        <v>0</v>
      </c>
      <c r="P2582" s="59">
        <f t="shared" si="230"/>
        <v>0</v>
      </c>
    </row>
    <row r="2583" spans="12:16" ht="15" hidden="1" customHeight="1">
      <c r="L2583" s="58" t="str">
        <f t="shared" si="228"/>
        <v>-</v>
      </c>
      <c r="M2583" s="59">
        <f t="shared" si="231"/>
        <v>0</v>
      </c>
      <c r="N2583" s="59">
        <f t="shared" si="229"/>
        <v>0</v>
      </c>
      <c r="O2583" s="59">
        <f t="shared" si="232"/>
        <v>0</v>
      </c>
      <c r="P2583" s="59">
        <f t="shared" si="230"/>
        <v>0</v>
      </c>
    </row>
    <row r="2584" spans="12:16" ht="15" hidden="1" customHeight="1">
      <c r="L2584" s="58" t="str">
        <f t="shared" si="228"/>
        <v>-</v>
      </c>
      <c r="M2584" s="59">
        <f t="shared" si="231"/>
        <v>0</v>
      </c>
      <c r="N2584" s="59">
        <f t="shared" si="229"/>
        <v>0</v>
      </c>
      <c r="O2584" s="59">
        <f t="shared" si="232"/>
        <v>0</v>
      </c>
      <c r="P2584" s="59">
        <f t="shared" si="230"/>
        <v>0</v>
      </c>
    </row>
    <row r="2585" spans="12:16" ht="15" hidden="1" customHeight="1">
      <c r="L2585" s="58" t="str">
        <f t="shared" si="228"/>
        <v>-</v>
      </c>
      <c r="M2585" s="59">
        <f t="shared" si="231"/>
        <v>0</v>
      </c>
      <c r="N2585" s="59">
        <f t="shared" si="229"/>
        <v>0</v>
      </c>
      <c r="O2585" s="59">
        <f t="shared" si="232"/>
        <v>0</v>
      </c>
      <c r="P2585" s="59">
        <f t="shared" si="230"/>
        <v>0</v>
      </c>
    </row>
    <row r="2586" spans="12:16" ht="15" hidden="1" customHeight="1">
      <c r="L2586" s="58" t="str">
        <f t="shared" si="228"/>
        <v>-</v>
      </c>
      <c r="M2586" s="59">
        <f t="shared" si="231"/>
        <v>0</v>
      </c>
      <c r="N2586" s="59">
        <f t="shared" si="229"/>
        <v>0</v>
      </c>
      <c r="O2586" s="59">
        <f t="shared" si="232"/>
        <v>0</v>
      </c>
      <c r="P2586" s="59">
        <f t="shared" si="230"/>
        <v>0</v>
      </c>
    </row>
    <row r="2587" spans="12:16" ht="15" hidden="1" customHeight="1">
      <c r="L2587" s="58" t="str">
        <f t="shared" si="228"/>
        <v>-</v>
      </c>
      <c r="M2587" s="59">
        <f t="shared" si="231"/>
        <v>0</v>
      </c>
      <c r="N2587" s="59">
        <f t="shared" si="229"/>
        <v>0</v>
      </c>
      <c r="O2587" s="59">
        <f t="shared" si="232"/>
        <v>0</v>
      </c>
      <c r="P2587" s="59">
        <f t="shared" si="230"/>
        <v>0</v>
      </c>
    </row>
    <row r="2588" spans="12:16" ht="15" hidden="1" customHeight="1">
      <c r="L2588" s="58" t="str">
        <f t="shared" si="228"/>
        <v>-</v>
      </c>
      <c r="M2588" s="59">
        <f t="shared" si="231"/>
        <v>0</v>
      </c>
      <c r="N2588" s="59">
        <f t="shared" ref="N2588:N2651" si="233">IF(ISNUMBER(N2587),N2587-M2588,$E$8)</f>
        <v>0</v>
      </c>
      <c r="O2588" s="59">
        <f t="shared" si="232"/>
        <v>0</v>
      </c>
      <c r="P2588" s="59">
        <f t="shared" ref="P2588:P2651" si="234">IFERROR(IF(ISNUMBER(N2587),N2587,$E$8)*3%/IF(MOD(YEAR(L2588),4),365,366)*IF(ISBLANK(L2587),(L2588-$F$5),L2588-L2587),0)</f>
        <v>0</v>
      </c>
    </row>
    <row r="2589" spans="12:16" ht="15" hidden="1" customHeight="1">
      <c r="L2589" s="58" t="str">
        <f t="shared" si="228"/>
        <v>-</v>
      </c>
      <c r="M2589" s="59">
        <f t="shared" si="231"/>
        <v>0</v>
      </c>
      <c r="N2589" s="59">
        <f t="shared" si="233"/>
        <v>0</v>
      </c>
      <c r="O2589" s="59">
        <f t="shared" si="232"/>
        <v>0</v>
      </c>
      <c r="P2589" s="59">
        <f t="shared" si="234"/>
        <v>0</v>
      </c>
    </row>
    <row r="2590" spans="12:16" ht="15" hidden="1" customHeight="1">
      <c r="L2590" s="58" t="str">
        <f t="shared" si="228"/>
        <v>-</v>
      </c>
      <c r="M2590" s="59">
        <f t="shared" si="231"/>
        <v>0</v>
      </c>
      <c r="N2590" s="59">
        <f t="shared" si="233"/>
        <v>0</v>
      </c>
      <c r="O2590" s="59">
        <f t="shared" si="232"/>
        <v>0</v>
      </c>
      <c r="P2590" s="59">
        <f t="shared" si="234"/>
        <v>0</v>
      </c>
    </row>
    <row r="2591" spans="12:16" ht="15" hidden="1" customHeight="1">
      <c r="L2591" s="58" t="str">
        <f t="shared" si="228"/>
        <v>-</v>
      </c>
      <c r="M2591" s="59">
        <f t="shared" si="231"/>
        <v>0</v>
      </c>
      <c r="N2591" s="59">
        <f t="shared" si="233"/>
        <v>0</v>
      </c>
      <c r="O2591" s="59">
        <f t="shared" si="232"/>
        <v>0</v>
      </c>
      <c r="P2591" s="59">
        <f t="shared" si="234"/>
        <v>0</v>
      </c>
    </row>
    <row r="2592" spans="12:16" ht="15" hidden="1" customHeight="1">
      <c r="L2592" s="58" t="str">
        <f t="shared" si="228"/>
        <v>-</v>
      </c>
      <c r="M2592" s="59">
        <f t="shared" si="231"/>
        <v>0</v>
      </c>
      <c r="N2592" s="59">
        <f t="shared" si="233"/>
        <v>0</v>
      </c>
      <c r="O2592" s="59">
        <f t="shared" si="232"/>
        <v>0</v>
      </c>
      <c r="P2592" s="59">
        <f t="shared" si="234"/>
        <v>0</v>
      </c>
    </row>
    <row r="2593" spans="12:16" ht="15" hidden="1" customHeight="1">
      <c r="L2593" s="58" t="str">
        <f t="shared" si="228"/>
        <v>-</v>
      </c>
      <c r="M2593" s="59">
        <f t="shared" si="231"/>
        <v>0</v>
      </c>
      <c r="N2593" s="59">
        <f t="shared" si="233"/>
        <v>0</v>
      </c>
      <c r="O2593" s="59">
        <f t="shared" si="232"/>
        <v>0</v>
      </c>
      <c r="P2593" s="59">
        <f t="shared" si="234"/>
        <v>0</v>
      </c>
    </row>
    <row r="2594" spans="12:16" ht="15" hidden="1" customHeight="1">
      <c r="L2594" s="58" t="str">
        <f t="shared" ref="L2594:L2657" si="235">IFERROR(IF(MAX(L2593+1,$F$5+1)&gt;Дата_погашения_Займа,"-",MAX(L2593+1,$F$5+1)),"-")</f>
        <v>-</v>
      </c>
      <c r="M2594" s="59">
        <f t="shared" si="231"/>
        <v>0</v>
      </c>
      <c r="N2594" s="59">
        <f t="shared" si="233"/>
        <v>0</v>
      </c>
      <c r="O2594" s="59">
        <f t="shared" si="232"/>
        <v>0</v>
      </c>
      <c r="P2594" s="59">
        <f t="shared" si="234"/>
        <v>0</v>
      </c>
    </row>
    <row r="2595" spans="12:16" ht="15" hidden="1" customHeight="1">
      <c r="L2595" s="58" t="str">
        <f t="shared" si="235"/>
        <v>-</v>
      </c>
      <c r="M2595" s="59">
        <f t="shared" si="231"/>
        <v>0</v>
      </c>
      <c r="N2595" s="59">
        <f t="shared" si="233"/>
        <v>0</v>
      </c>
      <c r="O2595" s="59">
        <f t="shared" si="232"/>
        <v>0</v>
      </c>
      <c r="P2595" s="59">
        <f t="shared" si="234"/>
        <v>0</v>
      </c>
    </row>
    <row r="2596" spans="12:16" ht="15" hidden="1" customHeight="1">
      <c r="L2596" s="58" t="str">
        <f t="shared" si="235"/>
        <v>-</v>
      </c>
      <c r="M2596" s="59">
        <f t="shared" si="231"/>
        <v>0</v>
      </c>
      <c r="N2596" s="59">
        <f t="shared" si="233"/>
        <v>0</v>
      </c>
      <c r="O2596" s="59">
        <f t="shared" si="232"/>
        <v>0</v>
      </c>
      <c r="P2596" s="59">
        <f t="shared" si="234"/>
        <v>0</v>
      </c>
    </row>
    <row r="2597" spans="12:16" ht="15" hidden="1" customHeight="1">
      <c r="L2597" s="58" t="str">
        <f t="shared" si="235"/>
        <v>-</v>
      </c>
      <c r="M2597" s="59">
        <f t="shared" si="231"/>
        <v>0</v>
      </c>
      <c r="N2597" s="59">
        <f t="shared" si="233"/>
        <v>0</v>
      </c>
      <c r="O2597" s="59">
        <f t="shared" si="232"/>
        <v>0</v>
      </c>
      <c r="P2597" s="59">
        <f t="shared" si="234"/>
        <v>0</v>
      </c>
    </row>
    <row r="2598" spans="12:16" ht="15" hidden="1" customHeight="1">
      <c r="L2598" s="58" t="str">
        <f t="shared" si="235"/>
        <v>-</v>
      </c>
      <c r="M2598" s="59">
        <f t="shared" si="231"/>
        <v>0</v>
      </c>
      <c r="N2598" s="59">
        <f t="shared" si="233"/>
        <v>0</v>
      </c>
      <c r="O2598" s="59">
        <f t="shared" si="232"/>
        <v>0</v>
      </c>
      <c r="P2598" s="59">
        <f t="shared" si="234"/>
        <v>0</v>
      </c>
    </row>
    <row r="2599" spans="12:16" ht="15" hidden="1" customHeight="1">
      <c r="L2599" s="58" t="str">
        <f t="shared" si="235"/>
        <v>-</v>
      </c>
      <c r="M2599" s="59">
        <f t="shared" si="231"/>
        <v>0</v>
      </c>
      <c r="N2599" s="59">
        <f t="shared" si="233"/>
        <v>0</v>
      </c>
      <c r="O2599" s="59">
        <f t="shared" si="232"/>
        <v>0</v>
      </c>
      <c r="P2599" s="59">
        <f t="shared" si="234"/>
        <v>0</v>
      </c>
    </row>
    <row r="2600" spans="12:16" ht="15" hidden="1" customHeight="1">
      <c r="L2600" s="58" t="str">
        <f t="shared" si="235"/>
        <v>-</v>
      </c>
      <c r="M2600" s="59">
        <f t="shared" si="231"/>
        <v>0</v>
      </c>
      <c r="N2600" s="59">
        <f t="shared" si="233"/>
        <v>0</v>
      </c>
      <c r="O2600" s="59">
        <f t="shared" si="232"/>
        <v>0</v>
      </c>
      <c r="P2600" s="59">
        <f t="shared" si="234"/>
        <v>0</v>
      </c>
    </row>
    <row r="2601" spans="12:16" ht="15" hidden="1" customHeight="1">
      <c r="L2601" s="58" t="str">
        <f t="shared" si="235"/>
        <v>-</v>
      </c>
      <c r="M2601" s="59">
        <f t="shared" si="231"/>
        <v>0</v>
      </c>
      <c r="N2601" s="59">
        <f t="shared" si="233"/>
        <v>0</v>
      </c>
      <c r="O2601" s="59">
        <f t="shared" si="232"/>
        <v>0</v>
      </c>
      <c r="P2601" s="59">
        <f t="shared" si="234"/>
        <v>0</v>
      </c>
    </row>
    <row r="2602" spans="12:16" ht="15" hidden="1" customHeight="1">
      <c r="L2602" s="58" t="str">
        <f t="shared" si="235"/>
        <v>-</v>
      </c>
      <c r="M2602" s="59">
        <f t="shared" si="231"/>
        <v>0</v>
      </c>
      <c r="N2602" s="59">
        <f t="shared" si="233"/>
        <v>0</v>
      </c>
      <c r="O2602" s="59">
        <f t="shared" si="232"/>
        <v>0</v>
      </c>
      <c r="P2602" s="59">
        <f t="shared" si="234"/>
        <v>0</v>
      </c>
    </row>
    <row r="2603" spans="12:16" ht="15" hidden="1" customHeight="1">
      <c r="L2603" s="58" t="str">
        <f t="shared" si="235"/>
        <v>-</v>
      </c>
      <c r="M2603" s="59">
        <f t="shared" si="231"/>
        <v>0</v>
      </c>
      <c r="N2603" s="59">
        <f t="shared" si="233"/>
        <v>0</v>
      </c>
      <c r="O2603" s="59">
        <f t="shared" si="232"/>
        <v>0</v>
      </c>
      <c r="P2603" s="59">
        <f t="shared" si="234"/>
        <v>0</v>
      </c>
    </row>
    <row r="2604" spans="12:16" ht="15" hidden="1" customHeight="1">
      <c r="L2604" s="58" t="str">
        <f t="shared" si="235"/>
        <v>-</v>
      </c>
      <c r="M2604" s="59">
        <f t="shared" si="231"/>
        <v>0</v>
      </c>
      <c r="N2604" s="59">
        <f t="shared" si="233"/>
        <v>0</v>
      </c>
      <c r="O2604" s="59">
        <f t="shared" si="232"/>
        <v>0</v>
      </c>
      <c r="P2604" s="59">
        <f t="shared" si="234"/>
        <v>0</v>
      </c>
    </row>
    <row r="2605" spans="12:16" ht="15" hidden="1" customHeight="1">
      <c r="L2605" s="58" t="str">
        <f t="shared" si="235"/>
        <v>-</v>
      </c>
      <c r="M2605" s="59">
        <f t="shared" si="231"/>
        <v>0</v>
      </c>
      <c r="N2605" s="59">
        <f t="shared" si="233"/>
        <v>0</v>
      </c>
      <c r="O2605" s="59">
        <f t="shared" si="232"/>
        <v>0</v>
      </c>
      <c r="P2605" s="59">
        <f t="shared" si="234"/>
        <v>0</v>
      </c>
    </row>
    <row r="2606" spans="12:16" ht="15" hidden="1" customHeight="1">
      <c r="L2606" s="58" t="str">
        <f t="shared" si="235"/>
        <v>-</v>
      </c>
      <c r="M2606" s="59">
        <f t="shared" si="231"/>
        <v>0</v>
      </c>
      <c r="N2606" s="59">
        <f t="shared" si="233"/>
        <v>0</v>
      </c>
      <c r="O2606" s="59">
        <f t="shared" si="232"/>
        <v>0</v>
      </c>
      <c r="P2606" s="59">
        <f t="shared" si="234"/>
        <v>0</v>
      </c>
    </row>
    <row r="2607" spans="12:16" ht="15" hidden="1" customHeight="1">
      <c r="L2607" s="58" t="str">
        <f t="shared" si="235"/>
        <v>-</v>
      </c>
      <c r="M2607" s="59">
        <f t="shared" si="231"/>
        <v>0</v>
      </c>
      <c r="N2607" s="59">
        <f t="shared" si="233"/>
        <v>0</v>
      </c>
      <c r="O2607" s="59">
        <f t="shared" si="232"/>
        <v>0</v>
      </c>
      <c r="P2607" s="59">
        <f t="shared" si="234"/>
        <v>0</v>
      </c>
    </row>
    <row r="2608" spans="12:16" ht="15" hidden="1" customHeight="1">
      <c r="L2608" s="58" t="str">
        <f t="shared" si="235"/>
        <v>-</v>
      </c>
      <c r="M2608" s="59">
        <f t="shared" si="231"/>
        <v>0</v>
      </c>
      <c r="N2608" s="59">
        <f t="shared" si="233"/>
        <v>0</v>
      </c>
      <c r="O2608" s="59">
        <f t="shared" si="232"/>
        <v>0</v>
      </c>
      <c r="P2608" s="59">
        <f t="shared" si="234"/>
        <v>0</v>
      </c>
    </row>
    <row r="2609" spans="12:16" ht="15" hidden="1" customHeight="1">
      <c r="L2609" s="58" t="str">
        <f t="shared" si="235"/>
        <v>-</v>
      </c>
      <c r="M2609" s="59">
        <f t="shared" si="231"/>
        <v>0</v>
      </c>
      <c r="N2609" s="59">
        <f t="shared" si="233"/>
        <v>0</v>
      </c>
      <c r="O2609" s="59">
        <f t="shared" si="232"/>
        <v>0</v>
      </c>
      <c r="P2609" s="59">
        <f t="shared" si="234"/>
        <v>0</v>
      </c>
    </row>
    <row r="2610" spans="12:16" ht="15" hidden="1" customHeight="1">
      <c r="L2610" s="58" t="str">
        <f t="shared" si="235"/>
        <v>-</v>
      </c>
      <c r="M2610" s="59">
        <f t="shared" si="231"/>
        <v>0</v>
      </c>
      <c r="N2610" s="59">
        <f t="shared" si="233"/>
        <v>0</v>
      </c>
      <c r="O2610" s="59">
        <f t="shared" si="232"/>
        <v>0</v>
      </c>
      <c r="P2610" s="59">
        <f t="shared" si="234"/>
        <v>0</v>
      </c>
    </row>
    <row r="2611" spans="12:16" ht="15" hidden="1" customHeight="1">
      <c r="L2611" s="58" t="str">
        <f t="shared" si="235"/>
        <v>-</v>
      </c>
      <c r="M2611" s="59">
        <f t="shared" si="231"/>
        <v>0</v>
      </c>
      <c r="N2611" s="59">
        <f t="shared" si="233"/>
        <v>0</v>
      </c>
      <c r="O2611" s="59">
        <f t="shared" si="232"/>
        <v>0</v>
      </c>
      <c r="P2611" s="59">
        <f t="shared" si="234"/>
        <v>0</v>
      </c>
    </row>
    <row r="2612" spans="12:16" ht="15" hidden="1" customHeight="1">
      <c r="L2612" s="58" t="str">
        <f t="shared" si="235"/>
        <v>-</v>
      </c>
      <c r="M2612" s="59">
        <f t="shared" si="231"/>
        <v>0</v>
      </c>
      <c r="N2612" s="59">
        <f t="shared" si="233"/>
        <v>0</v>
      </c>
      <c r="O2612" s="59">
        <f t="shared" si="232"/>
        <v>0</v>
      </c>
      <c r="P2612" s="59">
        <f t="shared" si="234"/>
        <v>0</v>
      </c>
    </row>
    <row r="2613" spans="12:16" ht="15" hidden="1" customHeight="1">
      <c r="L2613" s="58" t="str">
        <f t="shared" si="235"/>
        <v>-</v>
      </c>
      <c r="M2613" s="59">
        <f t="shared" si="231"/>
        <v>0</v>
      </c>
      <c r="N2613" s="59">
        <f t="shared" si="233"/>
        <v>0</v>
      </c>
      <c r="O2613" s="59">
        <f t="shared" si="232"/>
        <v>0</v>
      </c>
      <c r="P2613" s="59">
        <f t="shared" si="234"/>
        <v>0</v>
      </c>
    </row>
    <row r="2614" spans="12:16" ht="15" hidden="1" customHeight="1">
      <c r="L2614" s="58" t="str">
        <f t="shared" si="235"/>
        <v>-</v>
      </c>
      <c r="M2614" s="59">
        <f t="shared" si="231"/>
        <v>0</v>
      </c>
      <c r="N2614" s="59">
        <f t="shared" si="233"/>
        <v>0</v>
      </c>
      <c r="O2614" s="59">
        <f t="shared" si="232"/>
        <v>0</v>
      </c>
      <c r="P2614" s="59">
        <f t="shared" si="234"/>
        <v>0</v>
      </c>
    </row>
    <row r="2615" spans="12:16" ht="15" hidden="1" customHeight="1">
      <c r="L2615" s="58" t="str">
        <f t="shared" si="235"/>
        <v>-</v>
      </c>
      <c r="M2615" s="59">
        <f t="shared" si="231"/>
        <v>0</v>
      </c>
      <c r="N2615" s="59">
        <f t="shared" si="233"/>
        <v>0</v>
      </c>
      <c r="O2615" s="59">
        <f t="shared" si="232"/>
        <v>0</v>
      </c>
      <c r="P2615" s="59">
        <f t="shared" si="234"/>
        <v>0</v>
      </c>
    </row>
    <row r="2616" spans="12:16" ht="15" hidden="1" customHeight="1">
      <c r="L2616" s="58" t="str">
        <f t="shared" si="235"/>
        <v>-</v>
      </c>
      <c r="M2616" s="59">
        <f t="shared" si="231"/>
        <v>0</v>
      </c>
      <c r="N2616" s="59">
        <f t="shared" si="233"/>
        <v>0</v>
      </c>
      <c r="O2616" s="59">
        <f t="shared" si="232"/>
        <v>0</v>
      </c>
      <c r="P2616" s="59">
        <f t="shared" si="234"/>
        <v>0</v>
      </c>
    </row>
    <row r="2617" spans="12:16" ht="15" hidden="1" customHeight="1">
      <c r="L2617" s="58" t="str">
        <f t="shared" si="235"/>
        <v>-</v>
      </c>
      <c r="M2617" s="59">
        <f t="shared" si="231"/>
        <v>0</v>
      </c>
      <c r="N2617" s="59">
        <f t="shared" si="233"/>
        <v>0</v>
      </c>
      <c r="O2617" s="59">
        <f t="shared" si="232"/>
        <v>0</v>
      </c>
      <c r="P2617" s="59">
        <f t="shared" si="234"/>
        <v>0</v>
      </c>
    </row>
    <row r="2618" spans="12:16" ht="15" hidden="1" customHeight="1">
      <c r="L2618" s="58" t="str">
        <f t="shared" si="235"/>
        <v>-</v>
      </c>
      <c r="M2618" s="59">
        <f t="shared" si="231"/>
        <v>0</v>
      </c>
      <c r="N2618" s="59">
        <f t="shared" si="233"/>
        <v>0</v>
      </c>
      <c r="O2618" s="59">
        <f t="shared" si="232"/>
        <v>0</v>
      </c>
      <c r="P2618" s="59">
        <f t="shared" si="234"/>
        <v>0</v>
      </c>
    </row>
    <row r="2619" spans="12:16" ht="15" hidden="1" customHeight="1">
      <c r="L2619" s="58" t="str">
        <f t="shared" si="235"/>
        <v>-</v>
      </c>
      <c r="M2619" s="59">
        <f t="shared" si="231"/>
        <v>0</v>
      </c>
      <c r="N2619" s="59">
        <f t="shared" si="233"/>
        <v>0</v>
      </c>
      <c r="O2619" s="59">
        <f t="shared" si="232"/>
        <v>0</v>
      </c>
      <c r="P2619" s="59">
        <f t="shared" si="234"/>
        <v>0</v>
      </c>
    </row>
    <row r="2620" spans="12:16" ht="15" hidden="1" customHeight="1">
      <c r="L2620" s="58" t="str">
        <f t="shared" si="235"/>
        <v>-</v>
      </c>
      <c r="M2620" s="59">
        <f t="shared" si="231"/>
        <v>0</v>
      </c>
      <c r="N2620" s="59">
        <f t="shared" si="233"/>
        <v>0</v>
      </c>
      <c r="O2620" s="59">
        <f t="shared" si="232"/>
        <v>0</v>
      </c>
      <c r="P2620" s="59">
        <f t="shared" si="234"/>
        <v>0</v>
      </c>
    </row>
    <row r="2621" spans="12:16" ht="15" hidden="1" customHeight="1">
      <c r="L2621" s="58" t="str">
        <f t="shared" si="235"/>
        <v>-</v>
      </c>
      <c r="M2621" s="59">
        <f t="shared" si="231"/>
        <v>0</v>
      </c>
      <c r="N2621" s="59">
        <f t="shared" si="233"/>
        <v>0</v>
      </c>
      <c r="O2621" s="59">
        <f t="shared" si="232"/>
        <v>0</v>
      </c>
      <c r="P2621" s="59">
        <f t="shared" si="234"/>
        <v>0</v>
      </c>
    </row>
    <row r="2622" spans="12:16" ht="15" hidden="1" customHeight="1">
      <c r="L2622" s="58" t="str">
        <f t="shared" si="235"/>
        <v>-</v>
      </c>
      <c r="M2622" s="59">
        <f t="shared" si="231"/>
        <v>0</v>
      </c>
      <c r="N2622" s="59">
        <f t="shared" si="233"/>
        <v>0</v>
      </c>
      <c r="O2622" s="59">
        <f t="shared" si="232"/>
        <v>0</v>
      </c>
      <c r="P2622" s="59">
        <f t="shared" si="234"/>
        <v>0</v>
      </c>
    </row>
    <row r="2623" spans="12:16" ht="15" hidden="1" customHeight="1">
      <c r="L2623" s="58" t="str">
        <f t="shared" si="235"/>
        <v>-</v>
      </c>
      <c r="M2623" s="59">
        <f t="shared" si="231"/>
        <v>0</v>
      </c>
      <c r="N2623" s="59">
        <f t="shared" si="233"/>
        <v>0</v>
      </c>
      <c r="O2623" s="59">
        <f t="shared" si="232"/>
        <v>0</v>
      </c>
      <c r="P2623" s="59">
        <f t="shared" si="234"/>
        <v>0</v>
      </c>
    </row>
    <row r="2624" spans="12:16" ht="15" hidden="1" customHeight="1">
      <c r="L2624" s="58" t="str">
        <f t="shared" si="235"/>
        <v>-</v>
      </c>
      <c r="M2624" s="59">
        <f t="shared" si="231"/>
        <v>0</v>
      </c>
      <c r="N2624" s="59">
        <f t="shared" si="233"/>
        <v>0</v>
      </c>
      <c r="O2624" s="59">
        <f t="shared" si="232"/>
        <v>0</v>
      </c>
      <c r="P2624" s="59">
        <f t="shared" si="234"/>
        <v>0</v>
      </c>
    </row>
    <row r="2625" spans="12:16" ht="15" hidden="1" customHeight="1">
      <c r="L2625" s="58" t="str">
        <f t="shared" si="235"/>
        <v>-</v>
      </c>
      <c r="M2625" s="59">
        <f t="shared" si="231"/>
        <v>0</v>
      </c>
      <c r="N2625" s="59">
        <f t="shared" si="233"/>
        <v>0</v>
      </c>
      <c r="O2625" s="59">
        <f t="shared" si="232"/>
        <v>0</v>
      </c>
      <c r="P2625" s="59">
        <f t="shared" si="234"/>
        <v>0</v>
      </c>
    </row>
    <row r="2626" spans="12:16" ht="15" hidden="1" customHeight="1">
      <c r="L2626" s="58" t="str">
        <f t="shared" si="235"/>
        <v>-</v>
      </c>
      <c r="M2626" s="59">
        <f t="shared" si="231"/>
        <v>0</v>
      </c>
      <c r="N2626" s="59">
        <f t="shared" si="233"/>
        <v>0</v>
      </c>
      <c r="O2626" s="59">
        <f t="shared" si="232"/>
        <v>0</v>
      </c>
      <c r="P2626" s="59">
        <f t="shared" si="234"/>
        <v>0</v>
      </c>
    </row>
    <row r="2627" spans="12:16" ht="15" hidden="1" customHeight="1">
      <c r="L2627" s="58" t="str">
        <f t="shared" si="235"/>
        <v>-</v>
      </c>
      <c r="M2627" s="59">
        <f t="shared" si="231"/>
        <v>0</v>
      </c>
      <c r="N2627" s="59">
        <f t="shared" si="233"/>
        <v>0</v>
      </c>
      <c r="O2627" s="59">
        <f t="shared" si="232"/>
        <v>0</v>
      </c>
      <c r="P2627" s="59">
        <f t="shared" si="234"/>
        <v>0</v>
      </c>
    </row>
    <row r="2628" spans="12:16" ht="15" hidden="1" customHeight="1">
      <c r="L2628" s="58" t="str">
        <f t="shared" si="235"/>
        <v>-</v>
      </c>
      <c r="M2628" s="59">
        <f t="shared" si="231"/>
        <v>0</v>
      </c>
      <c r="N2628" s="59">
        <f t="shared" si="233"/>
        <v>0</v>
      </c>
      <c r="O2628" s="59">
        <f t="shared" si="232"/>
        <v>0</v>
      </c>
      <c r="P2628" s="59">
        <f t="shared" si="234"/>
        <v>0</v>
      </c>
    </row>
    <row r="2629" spans="12:16" ht="15" hidden="1" customHeight="1">
      <c r="L2629" s="58" t="str">
        <f t="shared" si="235"/>
        <v>-</v>
      </c>
      <c r="M2629" s="59">
        <f t="shared" si="231"/>
        <v>0</v>
      </c>
      <c r="N2629" s="59">
        <f t="shared" si="233"/>
        <v>0</v>
      </c>
      <c r="O2629" s="59">
        <f t="shared" si="232"/>
        <v>0</v>
      </c>
      <c r="P2629" s="59">
        <f t="shared" si="234"/>
        <v>0</v>
      </c>
    </row>
    <row r="2630" spans="12:16" ht="15" hidden="1" customHeight="1">
      <c r="L2630" s="58" t="str">
        <f t="shared" si="235"/>
        <v>-</v>
      </c>
      <c r="M2630" s="59">
        <f t="shared" si="231"/>
        <v>0</v>
      </c>
      <c r="N2630" s="59">
        <f t="shared" si="233"/>
        <v>0</v>
      </c>
      <c r="O2630" s="59">
        <f t="shared" si="232"/>
        <v>0</v>
      </c>
      <c r="P2630" s="59">
        <f t="shared" si="234"/>
        <v>0</v>
      </c>
    </row>
    <row r="2631" spans="12:16" ht="15" hidden="1" customHeight="1">
      <c r="L2631" s="58" t="str">
        <f t="shared" si="235"/>
        <v>-</v>
      </c>
      <c r="M2631" s="59">
        <f t="shared" si="231"/>
        <v>0</v>
      </c>
      <c r="N2631" s="59">
        <f t="shared" si="233"/>
        <v>0</v>
      </c>
      <c r="O2631" s="59">
        <f t="shared" si="232"/>
        <v>0</v>
      </c>
      <c r="P2631" s="59">
        <f t="shared" si="234"/>
        <v>0</v>
      </c>
    </row>
    <row r="2632" spans="12:16" ht="15" hidden="1" customHeight="1">
      <c r="L2632" s="58" t="str">
        <f t="shared" si="235"/>
        <v>-</v>
      </c>
      <c r="M2632" s="59">
        <f t="shared" si="231"/>
        <v>0</v>
      </c>
      <c r="N2632" s="59">
        <f t="shared" si="233"/>
        <v>0</v>
      </c>
      <c r="O2632" s="59">
        <f t="shared" si="232"/>
        <v>0</v>
      </c>
      <c r="P2632" s="59">
        <f t="shared" si="234"/>
        <v>0</v>
      </c>
    </row>
    <row r="2633" spans="12:16" ht="15" hidden="1" customHeight="1">
      <c r="L2633" s="58" t="str">
        <f t="shared" si="235"/>
        <v>-</v>
      </c>
      <c r="M2633" s="59">
        <f t="shared" si="231"/>
        <v>0</v>
      </c>
      <c r="N2633" s="59">
        <f t="shared" si="233"/>
        <v>0</v>
      </c>
      <c r="O2633" s="59">
        <f t="shared" si="232"/>
        <v>0</v>
      </c>
      <c r="P2633" s="59">
        <f t="shared" si="234"/>
        <v>0</v>
      </c>
    </row>
    <row r="2634" spans="12:16" ht="15" hidden="1" customHeight="1">
      <c r="L2634" s="58" t="str">
        <f t="shared" si="235"/>
        <v>-</v>
      </c>
      <c r="M2634" s="59">
        <f t="shared" si="231"/>
        <v>0</v>
      </c>
      <c r="N2634" s="59">
        <f t="shared" si="233"/>
        <v>0</v>
      </c>
      <c r="O2634" s="59">
        <f t="shared" si="232"/>
        <v>0</v>
      </c>
      <c r="P2634" s="59">
        <f t="shared" si="234"/>
        <v>0</v>
      </c>
    </row>
    <row r="2635" spans="12:16" ht="15" hidden="1" customHeight="1">
      <c r="L2635" s="58" t="str">
        <f t="shared" si="235"/>
        <v>-</v>
      </c>
      <c r="M2635" s="59">
        <f t="shared" si="231"/>
        <v>0</v>
      </c>
      <c r="N2635" s="59">
        <f t="shared" si="233"/>
        <v>0</v>
      </c>
      <c r="O2635" s="59">
        <f t="shared" si="232"/>
        <v>0</v>
      </c>
      <c r="P2635" s="59">
        <f t="shared" si="234"/>
        <v>0</v>
      </c>
    </row>
    <row r="2636" spans="12:16" ht="15" hidden="1" customHeight="1">
      <c r="L2636" s="58" t="str">
        <f t="shared" si="235"/>
        <v>-</v>
      </c>
      <c r="M2636" s="59">
        <f t="shared" si="231"/>
        <v>0</v>
      </c>
      <c r="N2636" s="59">
        <f t="shared" si="233"/>
        <v>0</v>
      </c>
      <c r="O2636" s="59">
        <f t="shared" si="232"/>
        <v>0</v>
      </c>
      <c r="P2636" s="59">
        <f t="shared" si="234"/>
        <v>0</v>
      </c>
    </row>
    <row r="2637" spans="12:16" ht="15" hidden="1" customHeight="1">
      <c r="L2637" s="58" t="str">
        <f t="shared" si="235"/>
        <v>-</v>
      </c>
      <c r="M2637" s="59">
        <f t="shared" si="231"/>
        <v>0</v>
      </c>
      <c r="N2637" s="59">
        <f t="shared" si="233"/>
        <v>0</v>
      </c>
      <c r="O2637" s="59">
        <f t="shared" si="232"/>
        <v>0</v>
      </c>
      <c r="P2637" s="59">
        <f t="shared" si="234"/>
        <v>0</v>
      </c>
    </row>
    <row r="2638" spans="12:16" ht="15" hidden="1" customHeight="1">
      <c r="L2638" s="58" t="str">
        <f t="shared" si="235"/>
        <v>-</v>
      </c>
      <c r="M2638" s="59">
        <f t="shared" si="231"/>
        <v>0</v>
      </c>
      <c r="N2638" s="59">
        <f t="shared" si="233"/>
        <v>0</v>
      </c>
      <c r="O2638" s="59">
        <f t="shared" si="232"/>
        <v>0</v>
      </c>
      <c r="P2638" s="59">
        <f t="shared" si="234"/>
        <v>0</v>
      </c>
    </row>
    <row r="2639" spans="12:16" ht="15" hidden="1" customHeight="1">
      <c r="L2639" s="58" t="str">
        <f t="shared" si="235"/>
        <v>-</v>
      </c>
      <c r="M2639" s="59">
        <f t="shared" si="231"/>
        <v>0</v>
      </c>
      <c r="N2639" s="59">
        <f t="shared" si="233"/>
        <v>0</v>
      </c>
      <c r="O2639" s="59">
        <f t="shared" si="232"/>
        <v>0</v>
      </c>
      <c r="P2639" s="59">
        <f t="shared" si="234"/>
        <v>0</v>
      </c>
    </row>
    <row r="2640" spans="12:16" ht="15" hidden="1" customHeight="1">
      <c r="L2640" s="58" t="str">
        <f t="shared" si="235"/>
        <v>-</v>
      </c>
      <c r="M2640" s="59">
        <f t="shared" si="231"/>
        <v>0</v>
      </c>
      <c r="N2640" s="59">
        <f t="shared" si="233"/>
        <v>0</v>
      </c>
      <c r="O2640" s="59">
        <f t="shared" si="232"/>
        <v>0</v>
      </c>
      <c r="P2640" s="59">
        <f t="shared" si="234"/>
        <v>0</v>
      </c>
    </row>
    <row r="2641" spans="12:16" ht="15" hidden="1" customHeight="1">
      <c r="L2641" s="58" t="str">
        <f t="shared" si="235"/>
        <v>-</v>
      </c>
      <c r="M2641" s="59">
        <f t="shared" si="231"/>
        <v>0</v>
      </c>
      <c r="N2641" s="59">
        <f t="shared" si="233"/>
        <v>0</v>
      </c>
      <c r="O2641" s="59">
        <f t="shared" si="232"/>
        <v>0</v>
      </c>
      <c r="P2641" s="59">
        <f t="shared" si="234"/>
        <v>0</v>
      </c>
    </row>
    <row r="2642" spans="12:16" ht="15" hidden="1" customHeight="1">
      <c r="L2642" s="58" t="str">
        <f t="shared" si="235"/>
        <v>-</v>
      </c>
      <c r="M2642" s="59">
        <f t="shared" si="231"/>
        <v>0</v>
      </c>
      <c r="N2642" s="59">
        <f t="shared" si="233"/>
        <v>0</v>
      </c>
      <c r="O2642" s="59">
        <f t="shared" si="232"/>
        <v>0</v>
      </c>
      <c r="P2642" s="59">
        <f t="shared" si="234"/>
        <v>0</v>
      </c>
    </row>
    <row r="2643" spans="12:16" ht="15" hidden="1" customHeight="1">
      <c r="L2643" s="58" t="str">
        <f t="shared" si="235"/>
        <v>-</v>
      </c>
      <c r="M2643" s="59">
        <f t="shared" ref="M2643:M2706" si="236">IFERROR(VLOOKUP(L2643,$B$19:$E$80,4,FALSE),0)</f>
        <v>0</v>
      </c>
      <c r="N2643" s="59">
        <f t="shared" si="233"/>
        <v>0</v>
      </c>
      <c r="O2643" s="59">
        <f t="shared" ref="O2643:O2706" si="237">IFERROR(IF(ISNUMBER(N2642),N2642,$E$8)*IF(L2643&gt;=$J$8,$E$12,$E$12)/IF(MOD(YEAR(L2643),4),365,366)*IF(ISBLANK(L2642),L2643-$F$5,L2643-L2642),0)</f>
        <v>0</v>
      </c>
      <c r="P2643" s="59">
        <f t="shared" si="234"/>
        <v>0</v>
      </c>
    </row>
    <row r="2644" spans="12:16" ht="15" hidden="1" customHeight="1">
      <c r="L2644" s="58" t="str">
        <f t="shared" si="235"/>
        <v>-</v>
      </c>
      <c r="M2644" s="59">
        <f t="shared" si="236"/>
        <v>0</v>
      </c>
      <c r="N2644" s="59">
        <f t="shared" si="233"/>
        <v>0</v>
      </c>
      <c r="O2644" s="59">
        <f t="shared" si="237"/>
        <v>0</v>
      </c>
      <c r="P2644" s="59">
        <f t="shared" si="234"/>
        <v>0</v>
      </c>
    </row>
    <row r="2645" spans="12:16" ht="15" hidden="1" customHeight="1">
      <c r="L2645" s="58" t="str">
        <f t="shared" si="235"/>
        <v>-</v>
      </c>
      <c r="M2645" s="59">
        <f t="shared" si="236"/>
        <v>0</v>
      </c>
      <c r="N2645" s="59">
        <f t="shared" si="233"/>
        <v>0</v>
      </c>
      <c r="O2645" s="59">
        <f t="shared" si="237"/>
        <v>0</v>
      </c>
      <c r="P2645" s="59">
        <f t="shared" si="234"/>
        <v>0</v>
      </c>
    </row>
    <row r="2646" spans="12:16" ht="15" hidden="1" customHeight="1">
      <c r="L2646" s="58" t="str">
        <f t="shared" si="235"/>
        <v>-</v>
      </c>
      <c r="M2646" s="59">
        <f t="shared" si="236"/>
        <v>0</v>
      </c>
      <c r="N2646" s="59">
        <f t="shared" si="233"/>
        <v>0</v>
      </c>
      <c r="O2646" s="59">
        <f t="shared" si="237"/>
        <v>0</v>
      </c>
      <c r="P2646" s="59">
        <f t="shared" si="234"/>
        <v>0</v>
      </c>
    </row>
    <row r="2647" spans="12:16" ht="15" hidden="1" customHeight="1">
      <c r="L2647" s="58" t="str">
        <f t="shared" si="235"/>
        <v>-</v>
      </c>
      <c r="M2647" s="59">
        <f t="shared" si="236"/>
        <v>0</v>
      </c>
      <c r="N2647" s="59">
        <f t="shared" si="233"/>
        <v>0</v>
      </c>
      <c r="O2647" s="59">
        <f t="shared" si="237"/>
        <v>0</v>
      </c>
      <c r="P2647" s="59">
        <f t="shared" si="234"/>
        <v>0</v>
      </c>
    </row>
    <row r="2648" spans="12:16" ht="15" hidden="1" customHeight="1">
      <c r="L2648" s="58" t="str">
        <f t="shared" si="235"/>
        <v>-</v>
      </c>
      <c r="M2648" s="59">
        <f t="shared" si="236"/>
        <v>0</v>
      </c>
      <c r="N2648" s="59">
        <f t="shared" si="233"/>
        <v>0</v>
      </c>
      <c r="O2648" s="59">
        <f t="shared" si="237"/>
        <v>0</v>
      </c>
      <c r="P2648" s="59">
        <f t="shared" si="234"/>
        <v>0</v>
      </c>
    </row>
    <row r="2649" spans="12:16" ht="15" hidden="1" customHeight="1">
      <c r="L2649" s="58" t="str">
        <f t="shared" si="235"/>
        <v>-</v>
      </c>
      <c r="M2649" s="59">
        <f t="shared" si="236"/>
        <v>0</v>
      </c>
      <c r="N2649" s="59">
        <f t="shared" si="233"/>
        <v>0</v>
      </c>
      <c r="O2649" s="59">
        <f t="shared" si="237"/>
        <v>0</v>
      </c>
      <c r="P2649" s="59">
        <f t="shared" si="234"/>
        <v>0</v>
      </c>
    </row>
    <row r="2650" spans="12:16" ht="15" hidden="1" customHeight="1">
      <c r="L2650" s="58" t="str">
        <f t="shared" si="235"/>
        <v>-</v>
      </c>
      <c r="M2650" s="59">
        <f t="shared" si="236"/>
        <v>0</v>
      </c>
      <c r="N2650" s="59">
        <f t="shared" si="233"/>
        <v>0</v>
      </c>
      <c r="O2650" s="59">
        <f t="shared" si="237"/>
        <v>0</v>
      </c>
      <c r="P2650" s="59">
        <f t="shared" si="234"/>
        <v>0</v>
      </c>
    </row>
    <row r="2651" spans="12:16" ht="15" hidden="1" customHeight="1">
      <c r="L2651" s="58" t="str">
        <f t="shared" si="235"/>
        <v>-</v>
      </c>
      <c r="M2651" s="59">
        <f t="shared" si="236"/>
        <v>0</v>
      </c>
      <c r="N2651" s="59">
        <f t="shared" si="233"/>
        <v>0</v>
      </c>
      <c r="O2651" s="59">
        <f t="shared" si="237"/>
        <v>0</v>
      </c>
      <c r="P2651" s="59">
        <f t="shared" si="234"/>
        <v>0</v>
      </c>
    </row>
    <row r="2652" spans="12:16" ht="15" hidden="1" customHeight="1">
      <c r="L2652" s="58" t="str">
        <f t="shared" si="235"/>
        <v>-</v>
      </c>
      <c r="M2652" s="59">
        <f t="shared" si="236"/>
        <v>0</v>
      </c>
      <c r="N2652" s="59">
        <f t="shared" ref="N2652:N2715" si="238">IF(ISNUMBER(N2651),N2651-M2652,$E$8)</f>
        <v>0</v>
      </c>
      <c r="O2652" s="59">
        <f t="shared" si="237"/>
        <v>0</v>
      </c>
      <c r="P2652" s="59">
        <f t="shared" ref="P2652:P2715" si="239">IFERROR(IF(ISNUMBER(N2651),N2651,$E$8)*3%/IF(MOD(YEAR(L2652),4),365,366)*IF(ISBLANK(L2651),(L2652-$F$5),L2652-L2651),0)</f>
        <v>0</v>
      </c>
    </row>
    <row r="2653" spans="12:16" ht="15" hidden="1" customHeight="1">
      <c r="L2653" s="58" t="str">
        <f t="shared" si="235"/>
        <v>-</v>
      </c>
      <c r="M2653" s="59">
        <f t="shared" si="236"/>
        <v>0</v>
      </c>
      <c r="N2653" s="59">
        <f t="shared" si="238"/>
        <v>0</v>
      </c>
      <c r="O2653" s="59">
        <f t="shared" si="237"/>
        <v>0</v>
      </c>
      <c r="P2653" s="59">
        <f t="shared" si="239"/>
        <v>0</v>
      </c>
    </row>
    <row r="2654" spans="12:16" ht="15" hidden="1" customHeight="1">
      <c r="L2654" s="58" t="str">
        <f t="shared" si="235"/>
        <v>-</v>
      </c>
      <c r="M2654" s="59">
        <f t="shared" si="236"/>
        <v>0</v>
      </c>
      <c r="N2654" s="59">
        <f t="shared" si="238"/>
        <v>0</v>
      </c>
      <c r="O2654" s="59">
        <f t="shared" si="237"/>
        <v>0</v>
      </c>
      <c r="P2654" s="59">
        <f t="shared" si="239"/>
        <v>0</v>
      </c>
    </row>
    <row r="2655" spans="12:16" ht="15" hidden="1" customHeight="1">
      <c r="L2655" s="58" t="str">
        <f t="shared" si="235"/>
        <v>-</v>
      </c>
      <c r="M2655" s="59">
        <f t="shared" si="236"/>
        <v>0</v>
      </c>
      <c r="N2655" s="59">
        <f t="shared" si="238"/>
        <v>0</v>
      </c>
      <c r="O2655" s="59">
        <f t="shared" si="237"/>
        <v>0</v>
      </c>
      <c r="P2655" s="59">
        <f t="shared" si="239"/>
        <v>0</v>
      </c>
    </row>
    <row r="2656" spans="12:16" ht="15" hidden="1" customHeight="1">
      <c r="L2656" s="58" t="str">
        <f t="shared" si="235"/>
        <v>-</v>
      </c>
      <c r="M2656" s="59">
        <f t="shared" si="236"/>
        <v>0</v>
      </c>
      <c r="N2656" s="59">
        <f t="shared" si="238"/>
        <v>0</v>
      </c>
      <c r="O2656" s="59">
        <f t="shared" si="237"/>
        <v>0</v>
      </c>
      <c r="P2656" s="59">
        <f t="shared" si="239"/>
        <v>0</v>
      </c>
    </row>
    <row r="2657" spans="12:16" ht="15" hidden="1" customHeight="1">
      <c r="L2657" s="58" t="str">
        <f t="shared" si="235"/>
        <v>-</v>
      </c>
      <c r="M2657" s="59">
        <f t="shared" si="236"/>
        <v>0</v>
      </c>
      <c r="N2657" s="59">
        <f t="shared" si="238"/>
        <v>0</v>
      </c>
      <c r="O2657" s="59">
        <f t="shared" si="237"/>
        <v>0</v>
      </c>
      <c r="P2657" s="59">
        <f t="shared" si="239"/>
        <v>0</v>
      </c>
    </row>
    <row r="2658" spans="12:16" ht="15" hidden="1" customHeight="1">
      <c r="L2658" s="58" t="str">
        <f t="shared" ref="L2658:L2721" si="240">IFERROR(IF(MAX(L2657+1,$F$5+1)&gt;Дата_погашения_Займа,"-",MAX(L2657+1,$F$5+1)),"-")</f>
        <v>-</v>
      </c>
      <c r="M2658" s="59">
        <f t="shared" si="236"/>
        <v>0</v>
      </c>
      <c r="N2658" s="59">
        <f t="shared" si="238"/>
        <v>0</v>
      </c>
      <c r="O2658" s="59">
        <f t="shared" si="237"/>
        <v>0</v>
      </c>
      <c r="P2658" s="59">
        <f t="shared" si="239"/>
        <v>0</v>
      </c>
    </row>
    <row r="2659" spans="12:16" ht="15" hidden="1" customHeight="1">
      <c r="L2659" s="58" t="str">
        <f t="shared" si="240"/>
        <v>-</v>
      </c>
      <c r="M2659" s="59">
        <f t="shared" si="236"/>
        <v>0</v>
      </c>
      <c r="N2659" s="59">
        <f t="shared" si="238"/>
        <v>0</v>
      </c>
      <c r="O2659" s="59">
        <f t="shared" si="237"/>
        <v>0</v>
      </c>
      <c r="P2659" s="59">
        <f t="shared" si="239"/>
        <v>0</v>
      </c>
    </row>
    <row r="2660" spans="12:16" ht="15" hidden="1" customHeight="1">
      <c r="L2660" s="58" t="str">
        <f t="shared" si="240"/>
        <v>-</v>
      </c>
      <c r="M2660" s="59">
        <f t="shared" si="236"/>
        <v>0</v>
      </c>
      <c r="N2660" s="59">
        <f t="shared" si="238"/>
        <v>0</v>
      </c>
      <c r="O2660" s="59">
        <f t="shared" si="237"/>
        <v>0</v>
      </c>
      <c r="P2660" s="59">
        <f t="shared" si="239"/>
        <v>0</v>
      </c>
    </row>
    <row r="2661" spans="12:16" ht="15" hidden="1" customHeight="1">
      <c r="L2661" s="58" t="str">
        <f t="shared" si="240"/>
        <v>-</v>
      </c>
      <c r="M2661" s="59">
        <f t="shared" si="236"/>
        <v>0</v>
      </c>
      <c r="N2661" s="59">
        <f t="shared" si="238"/>
        <v>0</v>
      </c>
      <c r="O2661" s="59">
        <f t="shared" si="237"/>
        <v>0</v>
      </c>
      <c r="P2661" s="59">
        <f t="shared" si="239"/>
        <v>0</v>
      </c>
    </row>
    <row r="2662" spans="12:16" ht="15" hidden="1" customHeight="1">
      <c r="L2662" s="58" t="str">
        <f t="shared" si="240"/>
        <v>-</v>
      </c>
      <c r="M2662" s="59">
        <f t="shared" si="236"/>
        <v>0</v>
      </c>
      <c r="N2662" s="59">
        <f t="shared" si="238"/>
        <v>0</v>
      </c>
      <c r="O2662" s="59">
        <f t="shared" si="237"/>
        <v>0</v>
      </c>
      <c r="P2662" s="59">
        <f t="shared" si="239"/>
        <v>0</v>
      </c>
    </row>
    <row r="2663" spans="12:16" ht="15" hidden="1" customHeight="1">
      <c r="L2663" s="58" t="str">
        <f t="shared" si="240"/>
        <v>-</v>
      </c>
      <c r="M2663" s="59">
        <f t="shared" si="236"/>
        <v>0</v>
      </c>
      <c r="N2663" s="59">
        <f t="shared" si="238"/>
        <v>0</v>
      </c>
      <c r="O2663" s="59">
        <f t="shared" si="237"/>
        <v>0</v>
      </c>
      <c r="P2663" s="59">
        <f t="shared" si="239"/>
        <v>0</v>
      </c>
    </row>
    <row r="2664" spans="12:16" ht="15" hidden="1" customHeight="1">
      <c r="L2664" s="58" t="str">
        <f t="shared" si="240"/>
        <v>-</v>
      </c>
      <c r="M2664" s="59">
        <f t="shared" si="236"/>
        <v>0</v>
      </c>
      <c r="N2664" s="59">
        <f t="shared" si="238"/>
        <v>0</v>
      </c>
      <c r="O2664" s="59">
        <f t="shared" si="237"/>
        <v>0</v>
      </c>
      <c r="P2664" s="59">
        <f t="shared" si="239"/>
        <v>0</v>
      </c>
    </row>
    <row r="2665" spans="12:16" ht="15" hidden="1" customHeight="1">
      <c r="L2665" s="58" t="str">
        <f t="shared" si="240"/>
        <v>-</v>
      </c>
      <c r="M2665" s="59">
        <f t="shared" si="236"/>
        <v>0</v>
      </c>
      <c r="N2665" s="59">
        <f t="shared" si="238"/>
        <v>0</v>
      </c>
      <c r="O2665" s="59">
        <f t="shared" si="237"/>
        <v>0</v>
      </c>
      <c r="P2665" s="59">
        <f t="shared" si="239"/>
        <v>0</v>
      </c>
    </row>
    <row r="2666" spans="12:16" ht="15" hidden="1" customHeight="1">
      <c r="L2666" s="58" t="str">
        <f t="shared" si="240"/>
        <v>-</v>
      </c>
      <c r="M2666" s="59">
        <f t="shared" si="236"/>
        <v>0</v>
      </c>
      <c r="N2666" s="59">
        <f t="shared" si="238"/>
        <v>0</v>
      </c>
      <c r="O2666" s="59">
        <f t="shared" si="237"/>
        <v>0</v>
      </c>
      <c r="P2666" s="59">
        <f t="shared" si="239"/>
        <v>0</v>
      </c>
    </row>
    <row r="2667" spans="12:16" ht="15" hidden="1" customHeight="1">
      <c r="L2667" s="58" t="str">
        <f t="shared" si="240"/>
        <v>-</v>
      </c>
      <c r="M2667" s="59">
        <f t="shared" si="236"/>
        <v>0</v>
      </c>
      <c r="N2667" s="59">
        <f t="shared" si="238"/>
        <v>0</v>
      </c>
      <c r="O2667" s="59">
        <f t="shared" si="237"/>
        <v>0</v>
      </c>
      <c r="P2667" s="59">
        <f t="shared" si="239"/>
        <v>0</v>
      </c>
    </row>
    <row r="2668" spans="12:16" ht="15" hidden="1" customHeight="1">
      <c r="L2668" s="58" t="str">
        <f t="shared" si="240"/>
        <v>-</v>
      </c>
      <c r="M2668" s="59">
        <f t="shared" si="236"/>
        <v>0</v>
      </c>
      <c r="N2668" s="59">
        <f t="shared" si="238"/>
        <v>0</v>
      </c>
      <c r="O2668" s="59">
        <f t="shared" si="237"/>
        <v>0</v>
      </c>
      <c r="P2668" s="59">
        <f t="shared" si="239"/>
        <v>0</v>
      </c>
    </row>
    <row r="2669" spans="12:16" ht="15" hidden="1" customHeight="1">
      <c r="L2669" s="58" t="str">
        <f t="shared" si="240"/>
        <v>-</v>
      </c>
      <c r="M2669" s="59">
        <f t="shared" si="236"/>
        <v>0</v>
      </c>
      <c r="N2669" s="59">
        <f t="shared" si="238"/>
        <v>0</v>
      </c>
      <c r="O2669" s="59">
        <f t="shared" si="237"/>
        <v>0</v>
      </c>
      <c r="P2669" s="59">
        <f t="shared" si="239"/>
        <v>0</v>
      </c>
    </row>
    <row r="2670" spans="12:16" ht="15" hidden="1" customHeight="1">
      <c r="L2670" s="58" t="str">
        <f t="shared" si="240"/>
        <v>-</v>
      </c>
      <c r="M2670" s="59">
        <f t="shared" si="236"/>
        <v>0</v>
      </c>
      <c r="N2670" s="59">
        <f t="shared" si="238"/>
        <v>0</v>
      </c>
      <c r="O2670" s="59">
        <f t="shared" si="237"/>
        <v>0</v>
      </c>
      <c r="P2670" s="59">
        <f t="shared" si="239"/>
        <v>0</v>
      </c>
    </row>
    <row r="2671" spans="12:16" ht="15" hidden="1" customHeight="1">
      <c r="L2671" s="58" t="str">
        <f t="shared" si="240"/>
        <v>-</v>
      </c>
      <c r="M2671" s="59">
        <f t="shared" si="236"/>
        <v>0</v>
      </c>
      <c r="N2671" s="59">
        <f t="shared" si="238"/>
        <v>0</v>
      </c>
      <c r="O2671" s="59">
        <f t="shared" si="237"/>
        <v>0</v>
      </c>
      <c r="P2671" s="59">
        <f t="shared" si="239"/>
        <v>0</v>
      </c>
    </row>
    <row r="2672" spans="12:16" ht="15" hidden="1" customHeight="1">
      <c r="L2672" s="58" t="str">
        <f t="shared" si="240"/>
        <v>-</v>
      </c>
      <c r="M2672" s="59">
        <f t="shared" si="236"/>
        <v>0</v>
      </c>
      <c r="N2672" s="59">
        <f t="shared" si="238"/>
        <v>0</v>
      </c>
      <c r="O2672" s="59">
        <f t="shared" si="237"/>
        <v>0</v>
      </c>
      <c r="P2672" s="59">
        <f t="shared" si="239"/>
        <v>0</v>
      </c>
    </row>
    <row r="2673" spans="12:16" ht="15" hidden="1" customHeight="1">
      <c r="L2673" s="58" t="str">
        <f t="shared" si="240"/>
        <v>-</v>
      </c>
      <c r="M2673" s="59">
        <f t="shared" si="236"/>
        <v>0</v>
      </c>
      <c r="N2673" s="59">
        <f t="shared" si="238"/>
        <v>0</v>
      </c>
      <c r="O2673" s="59">
        <f t="shared" si="237"/>
        <v>0</v>
      </c>
      <c r="P2673" s="59">
        <f t="shared" si="239"/>
        <v>0</v>
      </c>
    </row>
    <row r="2674" spans="12:16" ht="15" hidden="1" customHeight="1">
      <c r="L2674" s="58" t="str">
        <f t="shared" si="240"/>
        <v>-</v>
      </c>
      <c r="M2674" s="59">
        <f t="shared" si="236"/>
        <v>0</v>
      </c>
      <c r="N2674" s="59">
        <f t="shared" si="238"/>
        <v>0</v>
      </c>
      <c r="O2674" s="59">
        <f t="shared" si="237"/>
        <v>0</v>
      </c>
      <c r="P2674" s="59">
        <f t="shared" si="239"/>
        <v>0</v>
      </c>
    </row>
    <row r="2675" spans="12:16" ht="15" hidden="1" customHeight="1">
      <c r="L2675" s="58" t="str">
        <f t="shared" si="240"/>
        <v>-</v>
      </c>
      <c r="M2675" s="59">
        <f t="shared" si="236"/>
        <v>0</v>
      </c>
      <c r="N2675" s="59">
        <f t="shared" si="238"/>
        <v>0</v>
      </c>
      <c r="O2675" s="59">
        <f t="shared" si="237"/>
        <v>0</v>
      </c>
      <c r="P2675" s="59">
        <f t="shared" si="239"/>
        <v>0</v>
      </c>
    </row>
    <row r="2676" spans="12:16" ht="15" hidden="1" customHeight="1">
      <c r="L2676" s="58" t="str">
        <f t="shared" si="240"/>
        <v>-</v>
      </c>
      <c r="M2676" s="59">
        <f t="shared" si="236"/>
        <v>0</v>
      </c>
      <c r="N2676" s="59">
        <f t="shared" si="238"/>
        <v>0</v>
      </c>
      <c r="O2676" s="59">
        <f t="shared" si="237"/>
        <v>0</v>
      </c>
      <c r="P2676" s="59">
        <f t="shared" si="239"/>
        <v>0</v>
      </c>
    </row>
    <row r="2677" spans="12:16" ht="15" hidden="1" customHeight="1">
      <c r="L2677" s="58" t="str">
        <f t="shared" si="240"/>
        <v>-</v>
      </c>
      <c r="M2677" s="59">
        <f t="shared" si="236"/>
        <v>0</v>
      </c>
      <c r="N2677" s="59">
        <f t="shared" si="238"/>
        <v>0</v>
      </c>
      <c r="O2677" s="59">
        <f t="shared" si="237"/>
        <v>0</v>
      </c>
      <c r="P2677" s="59">
        <f t="shared" si="239"/>
        <v>0</v>
      </c>
    </row>
    <row r="2678" spans="12:16" ht="15" hidden="1" customHeight="1">
      <c r="L2678" s="58" t="str">
        <f t="shared" si="240"/>
        <v>-</v>
      </c>
      <c r="M2678" s="59">
        <f t="shared" si="236"/>
        <v>0</v>
      </c>
      <c r="N2678" s="59">
        <f t="shared" si="238"/>
        <v>0</v>
      </c>
      <c r="O2678" s="59">
        <f t="shared" si="237"/>
        <v>0</v>
      </c>
      <c r="P2678" s="59">
        <f t="shared" si="239"/>
        <v>0</v>
      </c>
    </row>
    <row r="2679" spans="12:16" ht="15" hidden="1" customHeight="1">
      <c r="L2679" s="58" t="str">
        <f t="shared" si="240"/>
        <v>-</v>
      </c>
      <c r="M2679" s="59">
        <f t="shared" si="236"/>
        <v>0</v>
      </c>
      <c r="N2679" s="59">
        <f t="shared" si="238"/>
        <v>0</v>
      </c>
      <c r="O2679" s="59">
        <f t="shared" si="237"/>
        <v>0</v>
      </c>
      <c r="P2679" s="59">
        <f t="shared" si="239"/>
        <v>0</v>
      </c>
    </row>
    <row r="2680" spans="12:16" ht="15" hidden="1" customHeight="1">
      <c r="L2680" s="58" t="str">
        <f t="shared" si="240"/>
        <v>-</v>
      </c>
      <c r="M2680" s="59">
        <f t="shared" si="236"/>
        <v>0</v>
      </c>
      <c r="N2680" s="59">
        <f t="shared" si="238"/>
        <v>0</v>
      </c>
      <c r="O2680" s="59">
        <f t="shared" si="237"/>
        <v>0</v>
      </c>
      <c r="P2680" s="59">
        <f t="shared" si="239"/>
        <v>0</v>
      </c>
    </row>
    <row r="2681" spans="12:16" ht="15" hidden="1" customHeight="1">
      <c r="L2681" s="58" t="str">
        <f t="shared" si="240"/>
        <v>-</v>
      </c>
      <c r="M2681" s="59">
        <f t="shared" si="236"/>
        <v>0</v>
      </c>
      <c r="N2681" s="59">
        <f t="shared" si="238"/>
        <v>0</v>
      </c>
      <c r="O2681" s="59">
        <f t="shared" si="237"/>
        <v>0</v>
      </c>
      <c r="P2681" s="59">
        <f t="shared" si="239"/>
        <v>0</v>
      </c>
    </row>
    <row r="2682" spans="12:16" ht="15" hidden="1" customHeight="1">
      <c r="L2682" s="58" t="str">
        <f t="shared" si="240"/>
        <v>-</v>
      </c>
      <c r="M2682" s="59">
        <f t="shared" si="236"/>
        <v>0</v>
      </c>
      <c r="N2682" s="59">
        <f t="shared" si="238"/>
        <v>0</v>
      </c>
      <c r="O2682" s="59">
        <f t="shared" si="237"/>
        <v>0</v>
      </c>
      <c r="P2682" s="59">
        <f t="shared" si="239"/>
        <v>0</v>
      </c>
    </row>
    <row r="2683" spans="12:16" ht="15" hidden="1" customHeight="1">
      <c r="L2683" s="58" t="str">
        <f t="shared" si="240"/>
        <v>-</v>
      </c>
      <c r="M2683" s="59">
        <f t="shared" si="236"/>
        <v>0</v>
      </c>
      <c r="N2683" s="59">
        <f t="shared" si="238"/>
        <v>0</v>
      </c>
      <c r="O2683" s="59">
        <f t="shared" si="237"/>
        <v>0</v>
      </c>
      <c r="P2683" s="59">
        <f t="shared" si="239"/>
        <v>0</v>
      </c>
    </row>
    <row r="2684" spans="12:16" ht="15" hidden="1" customHeight="1">
      <c r="L2684" s="58" t="str">
        <f t="shared" si="240"/>
        <v>-</v>
      </c>
      <c r="M2684" s="59">
        <f t="shared" si="236"/>
        <v>0</v>
      </c>
      <c r="N2684" s="59">
        <f t="shared" si="238"/>
        <v>0</v>
      </c>
      <c r="O2684" s="59">
        <f t="shared" si="237"/>
        <v>0</v>
      </c>
      <c r="P2684" s="59">
        <f t="shared" si="239"/>
        <v>0</v>
      </c>
    </row>
    <row r="2685" spans="12:16" ht="15" hidden="1" customHeight="1">
      <c r="L2685" s="58" t="str">
        <f t="shared" si="240"/>
        <v>-</v>
      </c>
      <c r="M2685" s="59">
        <f t="shared" si="236"/>
        <v>0</v>
      </c>
      <c r="N2685" s="59">
        <f t="shared" si="238"/>
        <v>0</v>
      </c>
      <c r="O2685" s="59">
        <f t="shared" si="237"/>
        <v>0</v>
      </c>
      <c r="P2685" s="59">
        <f t="shared" si="239"/>
        <v>0</v>
      </c>
    </row>
    <row r="2686" spans="12:16" ht="15" hidden="1" customHeight="1">
      <c r="L2686" s="58" t="str">
        <f t="shared" si="240"/>
        <v>-</v>
      </c>
      <c r="M2686" s="59">
        <f t="shared" si="236"/>
        <v>0</v>
      </c>
      <c r="N2686" s="59">
        <f t="shared" si="238"/>
        <v>0</v>
      </c>
      <c r="O2686" s="59">
        <f t="shared" si="237"/>
        <v>0</v>
      </c>
      <c r="P2686" s="59">
        <f t="shared" si="239"/>
        <v>0</v>
      </c>
    </row>
    <row r="2687" spans="12:16" ht="15" hidden="1" customHeight="1">
      <c r="L2687" s="58" t="str">
        <f t="shared" si="240"/>
        <v>-</v>
      </c>
      <c r="M2687" s="59">
        <f t="shared" si="236"/>
        <v>0</v>
      </c>
      <c r="N2687" s="59">
        <f t="shared" si="238"/>
        <v>0</v>
      </c>
      <c r="O2687" s="59">
        <f t="shared" si="237"/>
        <v>0</v>
      </c>
      <c r="P2687" s="59">
        <f t="shared" si="239"/>
        <v>0</v>
      </c>
    </row>
    <row r="2688" spans="12:16" ht="15" hidden="1" customHeight="1">
      <c r="L2688" s="58" t="str">
        <f t="shared" si="240"/>
        <v>-</v>
      </c>
      <c r="M2688" s="59">
        <f t="shared" si="236"/>
        <v>0</v>
      </c>
      <c r="N2688" s="59">
        <f t="shared" si="238"/>
        <v>0</v>
      </c>
      <c r="O2688" s="59">
        <f t="shared" si="237"/>
        <v>0</v>
      </c>
      <c r="P2688" s="59">
        <f t="shared" si="239"/>
        <v>0</v>
      </c>
    </row>
    <row r="2689" spans="12:16" ht="15" hidden="1" customHeight="1">
      <c r="L2689" s="58" t="str">
        <f t="shared" si="240"/>
        <v>-</v>
      </c>
      <c r="M2689" s="59">
        <f t="shared" si="236"/>
        <v>0</v>
      </c>
      <c r="N2689" s="59">
        <f t="shared" si="238"/>
        <v>0</v>
      </c>
      <c r="O2689" s="59">
        <f t="shared" si="237"/>
        <v>0</v>
      </c>
      <c r="P2689" s="59">
        <f t="shared" si="239"/>
        <v>0</v>
      </c>
    </row>
    <row r="2690" spans="12:16" ht="15" hidden="1" customHeight="1">
      <c r="L2690" s="58" t="str">
        <f t="shared" si="240"/>
        <v>-</v>
      </c>
      <c r="M2690" s="59">
        <f t="shared" si="236"/>
        <v>0</v>
      </c>
      <c r="N2690" s="59">
        <f t="shared" si="238"/>
        <v>0</v>
      </c>
      <c r="O2690" s="59">
        <f t="shared" si="237"/>
        <v>0</v>
      </c>
      <c r="P2690" s="59">
        <f t="shared" si="239"/>
        <v>0</v>
      </c>
    </row>
    <row r="2691" spans="12:16" ht="15" hidden="1" customHeight="1">
      <c r="L2691" s="58" t="str">
        <f t="shared" si="240"/>
        <v>-</v>
      </c>
      <c r="M2691" s="59">
        <f t="shared" si="236"/>
        <v>0</v>
      </c>
      <c r="N2691" s="59">
        <f t="shared" si="238"/>
        <v>0</v>
      </c>
      <c r="O2691" s="59">
        <f t="shared" si="237"/>
        <v>0</v>
      </c>
      <c r="P2691" s="59">
        <f t="shared" si="239"/>
        <v>0</v>
      </c>
    </row>
    <row r="2692" spans="12:16" ht="15" hidden="1" customHeight="1">
      <c r="L2692" s="58" t="str">
        <f t="shared" si="240"/>
        <v>-</v>
      </c>
      <c r="M2692" s="59">
        <f t="shared" si="236"/>
        <v>0</v>
      </c>
      <c r="N2692" s="59">
        <f t="shared" si="238"/>
        <v>0</v>
      </c>
      <c r="O2692" s="59">
        <f t="shared" si="237"/>
        <v>0</v>
      </c>
      <c r="P2692" s="59">
        <f t="shared" si="239"/>
        <v>0</v>
      </c>
    </row>
    <row r="2693" spans="12:16" ht="15" hidden="1" customHeight="1">
      <c r="L2693" s="58" t="str">
        <f t="shared" si="240"/>
        <v>-</v>
      </c>
      <c r="M2693" s="59">
        <f t="shared" si="236"/>
        <v>0</v>
      </c>
      <c r="N2693" s="59">
        <f t="shared" si="238"/>
        <v>0</v>
      </c>
      <c r="O2693" s="59">
        <f t="shared" si="237"/>
        <v>0</v>
      </c>
      <c r="P2693" s="59">
        <f t="shared" si="239"/>
        <v>0</v>
      </c>
    </row>
    <row r="2694" spans="12:16" ht="15" hidden="1" customHeight="1">
      <c r="L2694" s="58" t="str">
        <f t="shared" si="240"/>
        <v>-</v>
      </c>
      <c r="M2694" s="59">
        <f t="shared" si="236"/>
        <v>0</v>
      </c>
      <c r="N2694" s="59">
        <f t="shared" si="238"/>
        <v>0</v>
      </c>
      <c r="O2694" s="59">
        <f t="shared" si="237"/>
        <v>0</v>
      </c>
      <c r="P2694" s="59">
        <f t="shared" si="239"/>
        <v>0</v>
      </c>
    </row>
    <row r="2695" spans="12:16" ht="15" hidden="1" customHeight="1">
      <c r="L2695" s="58" t="str">
        <f t="shared" si="240"/>
        <v>-</v>
      </c>
      <c r="M2695" s="59">
        <f t="shared" si="236"/>
        <v>0</v>
      </c>
      <c r="N2695" s="59">
        <f t="shared" si="238"/>
        <v>0</v>
      </c>
      <c r="O2695" s="59">
        <f t="shared" si="237"/>
        <v>0</v>
      </c>
      <c r="P2695" s="59">
        <f t="shared" si="239"/>
        <v>0</v>
      </c>
    </row>
    <row r="2696" spans="12:16" ht="15" hidden="1" customHeight="1">
      <c r="L2696" s="58" t="str">
        <f t="shared" si="240"/>
        <v>-</v>
      </c>
      <c r="M2696" s="59">
        <f t="shared" si="236"/>
        <v>0</v>
      </c>
      <c r="N2696" s="59">
        <f t="shared" si="238"/>
        <v>0</v>
      </c>
      <c r="O2696" s="59">
        <f t="shared" si="237"/>
        <v>0</v>
      </c>
      <c r="P2696" s="59">
        <f t="shared" si="239"/>
        <v>0</v>
      </c>
    </row>
    <row r="2697" spans="12:16" ht="15" hidden="1" customHeight="1">
      <c r="L2697" s="58" t="str">
        <f t="shared" si="240"/>
        <v>-</v>
      </c>
      <c r="M2697" s="59">
        <f t="shared" si="236"/>
        <v>0</v>
      </c>
      <c r="N2697" s="59">
        <f t="shared" si="238"/>
        <v>0</v>
      </c>
      <c r="O2697" s="59">
        <f t="shared" si="237"/>
        <v>0</v>
      </c>
      <c r="P2697" s="59">
        <f t="shared" si="239"/>
        <v>0</v>
      </c>
    </row>
    <row r="2698" spans="12:16" ht="15" hidden="1" customHeight="1">
      <c r="L2698" s="58" t="str">
        <f t="shared" si="240"/>
        <v>-</v>
      </c>
      <c r="M2698" s="59">
        <f t="shared" si="236"/>
        <v>0</v>
      </c>
      <c r="N2698" s="59">
        <f t="shared" si="238"/>
        <v>0</v>
      </c>
      <c r="O2698" s="59">
        <f t="shared" si="237"/>
        <v>0</v>
      </c>
      <c r="P2698" s="59">
        <f t="shared" si="239"/>
        <v>0</v>
      </c>
    </row>
    <row r="2699" spans="12:16" ht="15" hidden="1" customHeight="1">
      <c r="L2699" s="58" t="str">
        <f t="shared" si="240"/>
        <v>-</v>
      </c>
      <c r="M2699" s="59">
        <f t="shared" si="236"/>
        <v>0</v>
      </c>
      <c r="N2699" s="59">
        <f t="shared" si="238"/>
        <v>0</v>
      </c>
      <c r="O2699" s="59">
        <f t="shared" si="237"/>
        <v>0</v>
      </c>
      <c r="P2699" s="59">
        <f t="shared" si="239"/>
        <v>0</v>
      </c>
    </row>
    <row r="2700" spans="12:16" ht="15" hidden="1" customHeight="1">
      <c r="L2700" s="58" t="str">
        <f t="shared" si="240"/>
        <v>-</v>
      </c>
      <c r="M2700" s="59">
        <f t="shared" si="236"/>
        <v>0</v>
      </c>
      <c r="N2700" s="59">
        <f t="shared" si="238"/>
        <v>0</v>
      </c>
      <c r="O2700" s="59">
        <f t="shared" si="237"/>
        <v>0</v>
      </c>
      <c r="P2700" s="59">
        <f t="shared" si="239"/>
        <v>0</v>
      </c>
    </row>
    <row r="2701" spans="12:16" ht="15" hidden="1" customHeight="1">
      <c r="L2701" s="58" t="str">
        <f t="shared" si="240"/>
        <v>-</v>
      </c>
      <c r="M2701" s="59">
        <f t="shared" si="236"/>
        <v>0</v>
      </c>
      <c r="N2701" s="59">
        <f t="shared" si="238"/>
        <v>0</v>
      </c>
      <c r="O2701" s="59">
        <f t="shared" si="237"/>
        <v>0</v>
      </c>
      <c r="P2701" s="59">
        <f t="shared" si="239"/>
        <v>0</v>
      </c>
    </row>
    <row r="2702" spans="12:16" ht="15" hidden="1" customHeight="1">
      <c r="L2702" s="58" t="str">
        <f t="shared" si="240"/>
        <v>-</v>
      </c>
      <c r="M2702" s="59">
        <f t="shared" si="236"/>
        <v>0</v>
      </c>
      <c r="N2702" s="59">
        <f t="shared" si="238"/>
        <v>0</v>
      </c>
      <c r="O2702" s="59">
        <f t="shared" si="237"/>
        <v>0</v>
      </c>
      <c r="P2702" s="59">
        <f t="shared" si="239"/>
        <v>0</v>
      </c>
    </row>
    <row r="2703" spans="12:16" ht="15" hidden="1" customHeight="1">
      <c r="L2703" s="58" t="str">
        <f t="shared" si="240"/>
        <v>-</v>
      </c>
      <c r="M2703" s="59">
        <f t="shared" si="236"/>
        <v>0</v>
      </c>
      <c r="N2703" s="59">
        <f t="shared" si="238"/>
        <v>0</v>
      </c>
      <c r="O2703" s="59">
        <f t="shared" si="237"/>
        <v>0</v>
      </c>
      <c r="P2703" s="59">
        <f t="shared" si="239"/>
        <v>0</v>
      </c>
    </row>
    <row r="2704" spans="12:16" ht="15" hidden="1" customHeight="1">
      <c r="L2704" s="58" t="str">
        <f t="shared" si="240"/>
        <v>-</v>
      </c>
      <c r="M2704" s="59">
        <f t="shared" si="236"/>
        <v>0</v>
      </c>
      <c r="N2704" s="59">
        <f t="shared" si="238"/>
        <v>0</v>
      </c>
      <c r="O2704" s="59">
        <f t="shared" si="237"/>
        <v>0</v>
      </c>
      <c r="P2704" s="59">
        <f t="shared" si="239"/>
        <v>0</v>
      </c>
    </row>
    <row r="2705" spans="12:16" ht="15" hidden="1" customHeight="1">
      <c r="L2705" s="58" t="str">
        <f t="shared" si="240"/>
        <v>-</v>
      </c>
      <c r="M2705" s="59">
        <f t="shared" si="236"/>
        <v>0</v>
      </c>
      <c r="N2705" s="59">
        <f t="shared" si="238"/>
        <v>0</v>
      </c>
      <c r="O2705" s="59">
        <f t="shared" si="237"/>
        <v>0</v>
      </c>
      <c r="P2705" s="59">
        <f t="shared" si="239"/>
        <v>0</v>
      </c>
    </row>
    <row r="2706" spans="12:16" ht="15" hidden="1" customHeight="1">
      <c r="L2706" s="58" t="str">
        <f t="shared" si="240"/>
        <v>-</v>
      </c>
      <c r="M2706" s="59">
        <f t="shared" si="236"/>
        <v>0</v>
      </c>
      <c r="N2706" s="59">
        <f t="shared" si="238"/>
        <v>0</v>
      </c>
      <c r="O2706" s="59">
        <f t="shared" si="237"/>
        <v>0</v>
      </c>
      <c r="P2706" s="59">
        <f t="shared" si="239"/>
        <v>0</v>
      </c>
    </row>
    <row r="2707" spans="12:16" ht="15" hidden="1" customHeight="1">
      <c r="L2707" s="58" t="str">
        <f t="shared" si="240"/>
        <v>-</v>
      </c>
      <c r="M2707" s="59">
        <f t="shared" ref="M2707:M2770" si="241">IFERROR(VLOOKUP(L2707,$B$19:$E$80,4,FALSE),0)</f>
        <v>0</v>
      </c>
      <c r="N2707" s="59">
        <f t="shared" si="238"/>
        <v>0</v>
      </c>
      <c r="O2707" s="59">
        <f t="shared" ref="O2707:O2770" si="242">IFERROR(IF(ISNUMBER(N2706),N2706,$E$8)*IF(L2707&gt;=$J$8,$E$12,$E$12)/IF(MOD(YEAR(L2707),4),365,366)*IF(ISBLANK(L2706),L2707-$F$5,L2707-L2706),0)</f>
        <v>0</v>
      </c>
      <c r="P2707" s="59">
        <f t="shared" si="239"/>
        <v>0</v>
      </c>
    </row>
    <row r="2708" spans="12:16" ht="15" hidden="1" customHeight="1">
      <c r="L2708" s="58" t="str">
        <f t="shared" si="240"/>
        <v>-</v>
      </c>
      <c r="M2708" s="59">
        <f t="shared" si="241"/>
        <v>0</v>
      </c>
      <c r="N2708" s="59">
        <f t="shared" si="238"/>
        <v>0</v>
      </c>
      <c r="O2708" s="59">
        <f t="shared" si="242"/>
        <v>0</v>
      </c>
      <c r="P2708" s="59">
        <f t="shared" si="239"/>
        <v>0</v>
      </c>
    </row>
    <row r="2709" spans="12:16" ht="15" hidden="1" customHeight="1">
      <c r="L2709" s="58" t="str">
        <f t="shared" si="240"/>
        <v>-</v>
      </c>
      <c r="M2709" s="59">
        <f t="shared" si="241"/>
        <v>0</v>
      </c>
      <c r="N2709" s="59">
        <f t="shared" si="238"/>
        <v>0</v>
      </c>
      <c r="O2709" s="59">
        <f t="shared" si="242"/>
        <v>0</v>
      </c>
      <c r="P2709" s="59">
        <f t="shared" si="239"/>
        <v>0</v>
      </c>
    </row>
    <row r="2710" spans="12:16" ht="15" hidden="1" customHeight="1">
      <c r="L2710" s="58" t="str">
        <f t="shared" si="240"/>
        <v>-</v>
      </c>
      <c r="M2710" s="59">
        <f t="shared" si="241"/>
        <v>0</v>
      </c>
      <c r="N2710" s="59">
        <f t="shared" si="238"/>
        <v>0</v>
      </c>
      <c r="O2710" s="59">
        <f t="shared" si="242"/>
        <v>0</v>
      </c>
      <c r="P2710" s="59">
        <f t="shared" si="239"/>
        <v>0</v>
      </c>
    </row>
    <row r="2711" spans="12:16" ht="15" hidden="1" customHeight="1">
      <c r="L2711" s="58" t="str">
        <f t="shared" si="240"/>
        <v>-</v>
      </c>
      <c r="M2711" s="59">
        <f t="shared" si="241"/>
        <v>0</v>
      </c>
      <c r="N2711" s="59">
        <f t="shared" si="238"/>
        <v>0</v>
      </c>
      <c r="O2711" s="59">
        <f t="shared" si="242"/>
        <v>0</v>
      </c>
      <c r="P2711" s="59">
        <f t="shared" si="239"/>
        <v>0</v>
      </c>
    </row>
    <row r="2712" spans="12:16" ht="15" hidden="1" customHeight="1">
      <c r="L2712" s="58" t="str">
        <f t="shared" si="240"/>
        <v>-</v>
      </c>
      <c r="M2712" s="59">
        <f t="shared" si="241"/>
        <v>0</v>
      </c>
      <c r="N2712" s="59">
        <f t="shared" si="238"/>
        <v>0</v>
      </c>
      <c r="O2712" s="59">
        <f t="shared" si="242"/>
        <v>0</v>
      </c>
      <c r="P2712" s="59">
        <f t="shared" si="239"/>
        <v>0</v>
      </c>
    </row>
    <row r="2713" spans="12:16" ht="15" hidden="1" customHeight="1">
      <c r="L2713" s="58" t="str">
        <f t="shared" si="240"/>
        <v>-</v>
      </c>
      <c r="M2713" s="59">
        <f t="shared" si="241"/>
        <v>0</v>
      </c>
      <c r="N2713" s="59">
        <f t="shared" si="238"/>
        <v>0</v>
      </c>
      <c r="O2713" s="59">
        <f t="shared" si="242"/>
        <v>0</v>
      </c>
      <c r="P2713" s="59">
        <f t="shared" si="239"/>
        <v>0</v>
      </c>
    </row>
    <row r="2714" spans="12:16" ht="15" hidden="1" customHeight="1">
      <c r="L2714" s="58" t="str">
        <f t="shared" si="240"/>
        <v>-</v>
      </c>
      <c r="M2714" s="59">
        <f t="shared" si="241"/>
        <v>0</v>
      </c>
      <c r="N2714" s="59">
        <f t="shared" si="238"/>
        <v>0</v>
      </c>
      <c r="O2714" s="59">
        <f t="shared" si="242"/>
        <v>0</v>
      </c>
      <c r="P2714" s="59">
        <f t="shared" si="239"/>
        <v>0</v>
      </c>
    </row>
    <row r="2715" spans="12:16" ht="15" hidden="1" customHeight="1">
      <c r="L2715" s="58" t="str">
        <f t="shared" si="240"/>
        <v>-</v>
      </c>
      <c r="M2715" s="59">
        <f t="shared" si="241"/>
        <v>0</v>
      </c>
      <c r="N2715" s="59">
        <f t="shared" si="238"/>
        <v>0</v>
      </c>
      <c r="O2715" s="59">
        <f t="shared" si="242"/>
        <v>0</v>
      </c>
      <c r="P2715" s="59">
        <f t="shared" si="239"/>
        <v>0</v>
      </c>
    </row>
    <row r="2716" spans="12:16" ht="15" hidden="1" customHeight="1">
      <c r="L2716" s="58" t="str">
        <f t="shared" si="240"/>
        <v>-</v>
      </c>
      <c r="M2716" s="59">
        <f t="shared" si="241"/>
        <v>0</v>
      </c>
      <c r="N2716" s="59">
        <f t="shared" ref="N2716:N2779" si="243">IF(ISNUMBER(N2715),N2715-M2716,$E$8)</f>
        <v>0</v>
      </c>
      <c r="O2716" s="59">
        <f t="shared" si="242"/>
        <v>0</v>
      </c>
      <c r="P2716" s="59">
        <f t="shared" ref="P2716:P2779" si="244">IFERROR(IF(ISNUMBER(N2715),N2715,$E$8)*3%/IF(MOD(YEAR(L2716),4),365,366)*IF(ISBLANK(L2715),(L2716-$F$5),L2716-L2715),0)</f>
        <v>0</v>
      </c>
    </row>
    <row r="2717" spans="12:16" ht="15" hidden="1" customHeight="1">
      <c r="L2717" s="58" t="str">
        <f t="shared" si="240"/>
        <v>-</v>
      </c>
      <c r="M2717" s="59">
        <f t="shared" si="241"/>
        <v>0</v>
      </c>
      <c r="N2717" s="59">
        <f t="shared" si="243"/>
        <v>0</v>
      </c>
      <c r="O2717" s="59">
        <f t="shared" si="242"/>
        <v>0</v>
      </c>
      <c r="P2717" s="59">
        <f t="shared" si="244"/>
        <v>0</v>
      </c>
    </row>
    <row r="2718" spans="12:16" ht="15" hidden="1" customHeight="1">
      <c r="L2718" s="58" t="str">
        <f t="shared" si="240"/>
        <v>-</v>
      </c>
      <c r="M2718" s="59">
        <f t="shared" si="241"/>
        <v>0</v>
      </c>
      <c r="N2718" s="59">
        <f t="shared" si="243"/>
        <v>0</v>
      </c>
      <c r="O2718" s="59">
        <f t="shared" si="242"/>
        <v>0</v>
      </c>
      <c r="P2718" s="59">
        <f t="shared" si="244"/>
        <v>0</v>
      </c>
    </row>
    <row r="2719" spans="12:16" ht="15" hidden="1" customHeight="1">
      <c r="L2719" s="58" t="str">
        <f t="shared" si="240"/>
        <v>-</v>
      </c>
      <c r="M2719" s="59">
        <f t="shared" si="241"/>
        <v>0</v>
      </c>
      <c r="N2719" s="59">
        <f t="shared" si="243"/>
        <v>0</v>
      </c>
      <c r="O2719" s="59">
        <f t="shared" si="242"/>
        <v>0</v>
      </c>
      <c r="P2719" s="59">
        <f t="shared" si="244"/>
        <v>0</v>
      </c>
    </row>
    <row r="2720" spans="12:16" ht="15" hidden="1" customHeight="1">
      <c r="L2720" s="58" t="str">
        <f t="shared" si="240"/>
        <v>-</v>
      </c>
      <c r="M2720" s="59">
        <f t="shared" si="241"/>
        <v>0</v>
      </c>
      <c r="N2720" s="59">
        <f t="shared" si="243"/>
        <v>0</v>
      </c>
      <c r="O2720" s="59">
        <f t="shared" si="242"/>
        <v>0</v>
      </c>
      <c r="P2720" s="59">
        <f t="shared" si="244"/>
        <v>0</v>
      </c>
    </row>
    <row r="2721" spans="12:16" ht="15" hidden="1" customHeight="1">
      <c r="L2721" s="58" t="str">
        <f t="shared" si="240"/>
        <v>-</v>
      </c>
      <c r="M2721" s="59">
        <f t="shared" si="241"/>
        <v>0</v>
      </c>
      <c r="N2721" s="59">
        <f t="shared" si="243"/>
        <v>0</v>
      </c>
      <c r="O2721" s="59">
        <f t="shared" si="242"/>
        <v>0</v>
      </c>
      <c r="P2721" s="59">
        <f t="shared" si="244"/>
        <v>0</v>
      </c>
    </row>
    <row r="2722" spans="12:16" ht="15" hidden="1" customHeight="1">
      <c r="L2722" s="58" t="str">
        <f t="shared" ref="L2722:L2785" si="245">IFERROR(IF(MAX(L2721+1,$F$5+1)&gt;Дата_погашения_Займа,"-",MAX(L2721+1,$F$5+1)),"-")</f>
        <v>-</v>
      </c>
      <c r="M2722" s="59">
        <f t="shared" si="241"/>
        <v>0</v>
      </c>
      <c r="N2722" s="59">
        <f t="shared" si="243"/>
        <v>0</v>
      </c>
      <c r="O2722" s="59">
        <f t="shared" si="242"/>
        <v>0</v>
      </c>
      <c r="P2722" s="59">
        <f t="shared" si="244"/>
        <v>0</v>
      </c>
    </row>
    <row r="2723" spans="12:16" ht="15" hidden="1" customHeight="1">
      <c r="L2723" s="58" t="str">
        <f t="shared" si="245"/>
        <v>-</v>
      </c>
      <c r="M2723" s="59">
        <f t="shared" si="241"/>
        <v>0</v>
      </c>
      <c r="N2723" s="59">
        <f t="shared" si="243"/>
        <v>0</v>
      </c>
      <c r="O2723" s="59">
        <f t="shared" si="242"/>
        <v>0</v>
      </c>
      <c r="P2723" s="59">
        <f t="shared" si="244"/>
        <v>0</v>
      </c>
    </row>
    <row r="2724" spans="12:16" ht="15" hidden="1" customHeight="1">
      <c r="L2724" s="58" t="str">
        <f t="shared" si="245"/>
        <v>-</v>
      </c>
      <c r="M2724" s="59">
        <f t="shared" si="241"/>
        <v>0</v>
      </c>
      <c r="N2724" s="59">
        <f t="shared" si="243"/>
        <v>0</v>
      </c>
      <c r="O2724" s="59">
        <f t="shared" si="242"/>
        <v>0</v>
      </c>
      <c r="P2724" s="59">
        <f t="shared" si="244"/>
        <v>0</v>
      </c>
    </row>
    <row r="2725" spans="12:16" ht="15" hidden="1" customHeight="1">
      <c r="L2725" s="58" t="str">
        <f t="shared" si="245"/>
        <v>-</v>
      </c>
      <c r="M2725" s="59">
        <f t="shared" si="241"/>
        <v>0</v>
      </c>
      <c r="N2725" s="59">
        <f t="shared" si="243"/>
        <v>0</v>
      </c>
      <c r="O2725" s="59">
        <f t="shared" si="242"/>
        <v>0</v>
      </c>
      <c r="P2725" s="59">
        <f t="shared" si="244"/>
        <v>0</v>
      </c>
    </row>
    <row r="2726" spans="12:16" ht="15" hidden="1" customHeight="1">
      <c r="L2726" s="58" t="str">
        <f t="shared" si="245"/>
        <v>-</v>
      </c>
      <c r="M2726" s="59">
        <f t="shared" si="241"/>
        <v>0</v>
      </c>
      <c r="N2726" s="59">
        <f t="shared" si="243"/>
        <v>0</v>
      </c>
      <c r="O2726" s="59">
        <f t="shared" si="242"/>
        <v>0</v>
      </c>
      <c r="P2726" s="59">
        <f t="shared" si="244"/>
        <v>0</v>
      </c>
    </row>
    <row r="2727" spans="12:16" ht="15" hidden="1" customHeight="1">
      <c r="L2727" s="58" t="str">
        <f t="shared" si="245"/>
        <v>-</v>
      </c>
      <c r="M2727" s="59">
        <f t="shared" si="241"/>
        <v>0</v>
      </c>
      <c r="N2727" s="59">
        <f t="shared" si="243"/>
        <v>0</v>
      </c>
      <c r="O2727" s="59">
        <f t="shared" si="242"/>
        <v>0</v>
      </c>
      <c r="P2727" s="59">
        <f t="shared" si="244"/>
        <v>0</v>
      </c>
    </row>
    <row r="2728" spans="12:16" ht="15" hidden="1" customHeight="1">
      <c r="L2728" s="58" t="str">
        <f t="shared" si="245"/>
        <v>-</v>
      </c>
      <c r="M2728" s="59">
        <f t="shared" si="241"/>
        <v>0</v>
      </c>
      <c r="N2728" s="59">
        <f t="shared" si="243"/>
        <v>0</v>
      </c>
      <c r="O2728" s="59">
        <f t="shared" si="242"/>
        <v>0</v>
      </c>
      <c r="P2728" s="59">
        <f t="shared" si="244"/>
        <v>0</v>
      </c>
    </row>
    <row r="2729" spans="12:16" ht="15" hidden="1" customHeight="1">
      <c r="L2729" s="58" t="str">
        <f t="shared" si="245"/>
        <v>-</v>
      </c>
      <c r="M2729" s="59">
        <f t="shared" si="241"/>
        <v>0</v>
      </c>
      <c r="N2729" s="59">
        <f t="shared" si="243"/>
        <v>0</v>
      </c>
      <c r="O2729" s="59">
        <f t="shared" si="242"/>
        <v>0</v>
      </c>
      <c r="P2729" s="59">
        <f t="shared" si="244"/>
        <v>0</v>
      </c>
    </row>
    <row r="2730" spans="12:16" ht="15" hidden="1" customHeight="1">
      <c r="L2730" s="58" t="str">
        <f t="shared" si="245"/>
        <v>-</v>
      </c>
      <c r="M2730" s="59">
        <f t="shared" si="241"/>
        <v>0</v>
      </c>
      <c r="N2730" s="59">
        <f t="shared" si="243"/>
        <v>0</v>
      </c>
      <c r="O2730" s="59">
        <f t="shared" si="242"/>
        <v>0</v>
      </c>
      <c r="P2730" s="59">
        <f t="shared" si="244"/>
        <v>0</v>
      </c>
    </row>
    <row r="2731" spans="12:16" ht="15" hidden="1" customHeight="1">
      <c r="L2731" s="58" t="str">
        <f t="shared" si="245"/>
        <v>-</v>
      </c>
      <c r="M2731" s="59">
        <f t="shared" si="241"/>
        <v>0</v>
      </c>
      <c r="N2731" s="59">
        <f t="shared" si="243"/>
        <v>0</v>
      </c>
      <c r="O2731" s="59">
        <f t="shared" si="242"/>
        <v>0</v>
      </c>
      <c r="P2731" s="59">
        <f t="shared" si="244"/>
        <v>0</v>
      </c>
    </row>
    <row r="2732" spans="12:16" ht="15" hidden="1" customHeight="1">
      <c r="L2732" s="58" t="str">
        <f t="shared" si="245"/>
        <v>-</v>
      </c>
      <c r="M2732" s="59">
        <f t="shared" si="241"/>
        <v>0</v>
      </c>
      <c r="N2732" s="59">
        <f t="shared" si="243"/>
        <v>0</v>
      </c>
      <c r="O2732" s="59">
        <f t="shared" si="242"/>
        <v>0</v>
      </c>
      <c r="P2732" s="59">
        <f t="shared" si="244"/>
        <v>0</v>
      </c>
    </row>
    <row r="2733" spans="12:16" ht="15" hidden="1" customHeight="1">
      <c r="L2733" s="58" t="str">
        <f t="shared" si="245"/>
        <v>-</v>
      </c>
      <c r="M2733" s="59">
        <f t="shared" si="241"/>
        <v>0</v>
      </c>
      <c r="N2733" s="59">
        <f t="shared" si="243"/>
        <v>0</v>
      </c>
      <c r="O2733" s="59">
        <f t="shared" si="242"/>
        <v>0</v>
      </c>
      <c r="P2733" s="59">
        <f t="shared" si="244"/>
        <v>0</v>
      </c>
    </row>
    <row r="2734" spans="12:16" ht="15" hidden="1" customHeight="1">
      <c r="L2734" s="58" t="str">
        <f t="shared" si="245"/>
        <v>-</v>
      </c>
      <c r="M2734" s="59">
        <f t="shared" si="241"/>
        <v>0</v>
      </c>
      <c r="N2734" s="59">
        <f t="shared" si="243"/>
        <v>0</v>
      </c>
      <c r="O2734" s="59">
        <f t="shared" si="242"/>
        <v>0</v>
      </c>
      <c r="P2734" s="59">
        <f t="shared" si="244"/>
        <v>0</v>
      </c>
    </row>
    <row r="2735" spans="12:16" ht="15" hidden="1" customHeight="1">
      <c r="L2735" s="58" t="str">
        <f t="shared" si="245"/>
        <v>-</v>
      </c>
      <c r="M2735" s="59">
        <f t="shared" si="241"/>
        <v>0</v>
      </c>
      <c r="N2735" s="59">
        <f t="shared" si="243"/>
        <v>0</v>
      </c>
      <c r="O2735" s="59">
        <f t="shared" si="242"/>
        <v>0</v>
      </c>
      <c r="P2735" s="59">
        <f t="shared" si="244"/>
        <v>0</v>
      </c>
    </row>
    <row r="2736" spans="12:16" ht="15" hidden="1" customHeight="1">
      <c r="L2736" s="58" t="str">
        <f t="shared" si="245"/>
        <v>-</v>
      </c>
      <c r="M2736" s="59">
        <f t="shared" si="241"/>
        <v>0</v>
      </c>
      <c r="N2736" s="59">
        <f t="shared" si="243"/>
        <v>0</v>
      </c>
      <c r="O2736" s="59">
        <f t="shared" si="242"/>
        <v>0</v>
      </c>
      <c r="P2736" s="59">
        <f t="shared" si="244"/>
        <v>0</v>
      </c>
    </row>
    <row r="2737" spans="12:16" ht="15" hidden="1" customHeight="1">
      <c r="L2737" s="58" t="str">
        <f t="shared" si="245"/>
        <v>-</v>
      </c>
      <c r="M2737" s="59">
        <f t="shared" si="241"/>
        <v>0</v>
      </c>
      <c r="N2737" s="59">
        <f t="shared" si="243"/>
        <v>0</v>
      </c>
      <c r="O2737" s="59">
        <f t="shared" si="242"/>
        <v>0</v>
      </c>
      <c r="P2737" s="59">
        <f t="shared" si="244"/>
        <v>0</v>
      </c>
    </row>
    <row r="2738" spans="12:16" ht="15" hidden="1" customHeight="1">
      <c r="L2738" s="58" t="str">
        <f t="shared" si="245"/>
        <v>-</v>
      </c>
      <c r="M2738" s="59">
        <f t="shared" si="241"/>
        <v>0</v>
      </c>
      <c r="N2738" s="59">
        <f t="shared" si="243"/>
        <v>0</v>
      </c>
      <c r="O2738" s="59">
        <f t="shared" si="242"/>
        <v>0</v>
      </c>
      <c r="P2738" s="59">
        <f t="shared" si="244"/>
        <v>0</v>
      </c>
    </row>
    <row r="2739" spans="12:16" ht="15" hidden="1" customHeight="1">
      <c r="L2739" s="58" t="str">
        <f t="shared" si="245"/>
        <v>-</v>
      </c>
      <c r="M2739" s="59">
        <f t="shared" si="241"/>
        <v>0</v>
      </c>
      <c r="N2739" s="59">
        <f t="shared" si="243"/>
        <v>0</v>
      </c>
      <c r="O2739" s="59">
        <f t="shared" si="242"/>
        <v>0</v>
      </c>
      <c r="P2739" s="59">
        <f t="shared" si="244"/>
        <v>0</v>
      </c>
    </row>
    <row r="2740" spans="12:16" ht="15" hidden="1" customHeight="1">
      <c r="L2740" s="58" t="str">
        <f t="shared" si="245"/>
        <v>-</v>
      </c>
      <c r="M2740" s="59">
        <f t="shared" si="241"/>
        <v>0</v>
      </c>
      <c r="N2740" s="59">
        <f t="shared" si="243"/>
        <v>0</v>
      </c>
      <c r="O2740" s="59">
        <f t="shared" si="242"/>
        <v>0</v>
      </c>
      <c r="P2740" s="59">
        <f t="shared" si="244"/>
        <v>0</v>
      </c>
    </row>
    <row r="2741" spans="12:16" ht="15" hidden="1" customHeight="1">
      <c r="L2741" s="58" t="str">
        <f t="shared" si="245"/>
        <v>-</v>
      </c>
      <c r="M2741" s="59">
        <f t="shared" si="241"/>
        <v>0</v>
      </c>
      <c r="N2741" s="59">
        <f t="shared" si="243"/>
        <v>0</v>
      </c>
      <c r="O2741" s="59">
        <f t="shared" si="242"/>
        <v>0</v>
      </c>
      <c r="P2741" s="59">
        <f t="shared" si="244"/>
        <v>0</v>
      </c>
    </row>
    <row r="2742" spans="12:16" ht="15" hidden="1" customHeight="1">
      <c r="L2742" s="58" t="str">
        <f t="shared" si="245"/>
        <v>-</v>
      </c>
      <c r="M2742" s="59">
        <f t="shared" si="241"/>
        <v>0</v>
      </c>
      <c r="N2742" s="59">
        <f t="shared" si="243"/>
        <v>0</v>
      </c>
      <c r="O2742" s="59">
        <f t="shared" si="242"/>
        <v>0</v>
      </c>
      <c r="P2742" s="59">
        <f t="shared" si="244"/>
        <v>0</v>
      </c>
    </row>
    <row r="2743" spans="12:16" ht="15" hidden="1" customHeight="1">
      <c r="L2743" s="58" t="str">
        <f t="shared" si="245"/>
        <v>-</v>
      </c>
      <c r="M2743" s="59">
        <f t="shared" si="241"/>
        <v>0</v>
      </c>
      <c r="N2743" s="59">
        <f t="shared" si="243"/>
        <v>0</v>
      </c>
      <c r="O2743" s="59">
        <f t="shared" si="242"/>
        <v>0</v>
      </c>
      <c r="P2743" s="59">
        <f t="shared" si="244"/>
        <v>0</v>
      </c>
    </row>
    <row r="2744" spans="12:16" ht="15" hidden="1" customHeight="1">
      <c r="L2744" s="58" t="str">
        <f t="shared" si="245"/>
        <v>-</v>
      </c>
      <c r="M2744" s="59">
        <f t="shared" si="241"/>
        <v>0</v>
      </c>
      <c r="N2744" s="59">
        <f t="shared" si="243"/>
        <v>0</v>
      </c>
      <c r="O2744" s="59">
        <f t="shared" si="242"/>
        <v>0</v>
      </c>
      <c r="P2744" s="59">
        <f t="shared" si="244"/>
        <v>0</v>
      </c>
    </row>
    <row r="2745" spans="12:16" ht="15" hidden="1" customHeight="1">
      <c r="L2745" s="58" t="str">
        <f t="shared" si="245"/>
        <v>-</v>
      </c>
      <c r="M2745" s="59">
        <f t="shared" si="241"/>
        <v>0</v>
      </c>
      <c r="N2745" s="59">
        <f t="shared" si="243"/>
        <v>0</v>
      </c>
      <c r="O2745" s="59">
        <f t="shared" si="242"/>
        <v>0</v>
      </c>
      <c r="P2745" s="59">
        <f t="shared" si="244"/>
        <v>0</v>
      </c>
    </row>
    <row r="2746" spans="12:16" ht="15" hidden="1" customHeight="1">
      <c r="L2746" s="58" t="str">
        <f t="shared" si="245"/>
        <v>-</v>
      </c>
      <c r="M2746" s="59">
        <f t="shared" si="241"/>
        <v>0</v>
      </c>
      <c r="N2746" s="59">
        <f t="shared" si="243"/>
        <v>0</v>
      </c>
      <c r="O2746" s="59">
        <f t="shared" si="242"/>
        <v>0</v>
      </c>
      <c r="P2746" s="59">
        <f t="shared" si="244"/>
        <v>0</v>
      </c>
    </row>
    <row r="2747" spans="12:16" ht="15" hidden="1" customHeight="1">
      <c r="L2747" s="58" t="str">
        <f t="shared" si="245"/>
        <v>-</v>
      </c>
      <c r="M2747" s="59">
        <f t="shared" si="241"/>
        <v>0</v>
      </c>
      <c r="N2747" s="59">
        <f t="shared" si="243"/>
        <v>0</v>
      </c>
      <c r="O2747" s="59">
        <f t="shared" si="242"/>
        <v>0</v>
      </c>
      <c r="P2747" s="59">
        <f t="shared" si="244"/>
        <v>0</v>
      </c>
    </row>
    <row r="2748" spans="12:16" ht="15" hidden="1" customHeight="1">
      <c r="L2748" s="58" t="str">
        <f t="shared" si="245"/>
        <v>-</v>
      </c>
      <c r="M2748" s="59">
        <f t="shared" si="241"/>
        <v>0</v>
      </c>
      <c r="N2748" s="59">
        <f t="shared" si="243"/>
        <v>0</v>
      </c>
      <c r="O2748" s="59">
        <f t="shared" si="242"/>
        <v>0</v>
      </c>
      <c r="P2748" s="59">
        <f t="shared" si="244"/>
        <v>0</v>
      </c>
    </row>
    <row r="2749" spans="12:16" ht="15" hidden="1" customHeight="1">
      <c r="L2749" s="58" t="str">
        <f t="shared" si="245"/>
        <v>-</v>
      </c>
      <c r="M2749" s="59">
        <f t="shared" si="241"/>
        <v>0</v>
      </c>
      <c r="N2749" s="59">
        <f t="shared" si="243"/>
        <v>0</v>
      </c>
      <c r="O2749" s="59">
        <f t="shared" si="242"/>
        <v>0</v>
      </c>
      <c r="P2749" s="59">
        <f t="shared" si="244"/>
        <v>0</v>
      </c>
    </row>
    <row r="2750" spans="12:16" ht="15" hidden="1" customHeight="1">
      <c r="L2750" s="58" t="str">
        <f t="shared" si="245"/>
        <v>-</v>
      </c>
      <c r="M2750" s="59">
        <f t="shared" si="241"/>
        <v>0</v>
      </c>
      <c r="N2750" s="59">
        <f t="shared" si="243"/>
        <v>0</v>
      </c>
      <c r="O2750" s="59">
        <f t="shared" si="242"/>
        <v>0</v>
      </c>
      <c r="P2750" s="59">
        <f t="shared" si="244"/>
        <v>0</v>
      </c>
    </row>
    <row r="2751" spans="12:16" ht="15" hidden="1" customHeight="1">
      <c r="L2751" s="58" t="str">
        <f t="shared" si="245"/>
        <v>-</v>
      </c>
      <c r="M2751" s="59">
        <f t="shared" si="241"/>
        <v>0</v>
      </c>
      <c r="N2751" s="59">
        <f t="shared" si="243"/>
        <v>0</v>
      </c>
      <c r="O2751" s="59">
        <f t="shared" si="242"/>
        <v>0</v>
      </c>
      <c r="P2751" s="59">
        <f t="shared" si="244"/>
        <v>0</v>
      </c>
    </row>
    <row r="2752" spans="12:16" ht="15" hidden="1" customHeight="1">
      <c r="L2752" s="58" t="str">
        <f t="shared" si="245"/>
        <v>-</v>
      </c>
      <c r="M2752" s="59">
        <f t="shared" si="241"/>
        <v>0</v>
      </c>
      <c r="N2752" s="59">
        <f t="shared" si="243"/>
        <v>0</v>
      </c>
      <c r="O2752" s="59">
        <f t="shared" si="242"/>
        <v>0</v>
      </c>
      <c r="P2752" s="59">
        <f t="shared" si="244"/>
        <v>0</v>
      </c>
    </row>
    <row r="2753" spans="12:16" ht="15" hidden="1" customHeight="1">
      <c r="L2753" s="58" t="str">
        <f t="shared" si="245"/>
        <v>-</v>
      </c>
      <c r="M2753" s="59">
        <f t="shared" si="241"/>
        <v>0</v>
      </c>
      <c r="N2753" s="59">
        <f t="shared" si="243"/>
        <v>0</v>
      </c>
      <c r="O2753" s="59">
        <f t="shared" si="242"/>
        <v>0</v>
      </c>
      <c r="P2753" s="59">
        <f t="shared" si="244"/>
        <v>0</v>
      </c>
    </row>
    <row r="2754" spans="12:16" ht="15" hidden="1" customHeight="1">
      <c r="L2754" s="58" t="str">
        <f t="shared" si="245"/>
        <v>-</v>
      </c>
      <c r="M2754" s="59">
        <f t="shared" si="241"/>
        <v>0</v>
      </c>
      <c r="N2754" s="59">
        <f t="shared" si="243"/>
        <v>0</v>
      </c>
      <c r="O2754" s="59">
        <f t="shared" si="242"/>
        <v>0</v>
      </c>
      <c r="P2754" s="59">
        <f t="shared" si="244"/>
        <v>0</v>
      </c>
    </row>
    <row r="2755" spans="12:16" ht="15" hidden="1" customHeight="1">
      <c r="L2755" s="58" t="str">
        <f t="shared" si="245"/>
        <v>-</v>
      </c>
      <c r="M2755" s="59">
        <f t="shared" si="241"/>
        <v>0</v>
      </c>
      <c r="N2755" s="59">
        <f t="shared" si="243"/>
        <v>0</v>
      </c>
      <c r="O2755" s="59">
        <f t="shared" si="242"/>
        <v>0</v>
      </c>
      <c r="P2755" s="59">
        <f t="shared" si="244"/>
        <v>0</v>
      </c>
    </row>
    <row r="2756" spans="12:16" ht="15" hidden="1" customHeight="1">
      <c r="L2756" s="58" t="str">
        <f t="shared" si="245"/>
        <v>-</v>
      </c>
      <c r="M2756" s="59">
        <f t="shared" si="241"/>
        <v>0</v>
      </c>
      <c r="N2756" s="59">
        <f t="shared" si="243"/>
        <v>0</v>
      </c>
      <c r="O2756" s="59">
        <f t="shared" si="242"/>
        <v>0</v>
      </c>
      <c r="P2756" s="59">
        <f t="shared" si="244"/>
        <v>0</v>
      </c>
    </row>
    <row r="2757" spans="12:16" ht="15" hidden="1" customHeight="1">
      <c r="L2757" s="58" t="str">
        <f t="shared" si="245"/>
        <v>-</v>
      </c>
      <c r="M2757" s="59">
        <f t="shared" si="241"/>
        <v>0</v>
      </c>
      <c r="N2757" s="59">
        <f t="shared" si="243"/>
        <v>0</v>
      </c>
      <c r="O2757" s="59">
        <f t="shared" si="242"/>
        <v>0</v>
      </c>
      <c r="P2757" s="59">
        <f t="shared" si="244"/>
        <v>0</v>
      </c>
    </row>
    <row r="2758" spans="12:16" ht="15" hidden="1" customHeight="1">
      <c r="L2758" s="58" t="str">
        <f t="shared" si="245"/>
        <v>-</v>
      </c>
      <c r="M2758" s="59">
        <f t="shared" si="241"/>
        <v>0</v>
      </c>
      <c r="N2758" s="59">
        <f t="shared" si="243"/>
        <v>0</v>
      </c>
      <c r="O2758" s="59">
        <f t="shared" si="242"/>
        <v>0</v>
      </c>
      <c r="P2758" s="59">
        <f t="shared" si="244"/>
        <v>0</v>
      </c>
    </row>
    <row r="2759" spans="12:16" ht="15" hidden="1" customHeight="1">
      <c r="L2759" s="58" t="str">
        <f t="shared" si="245"/>
        <v>-</v>
      </c>
      <c r="M2759" s="59">
        <f t="shared" si="241"/>
        <v>0</v>
      </c>
      <c r="N2759" s="59">
        <f t="shared" si="243"/>
        <v>0</v>
      </c>
      <c r="O2759" s="59">
        <f t="shared" si="242"/>
        <v>0</v>
      </c>
      <c r="P2759" s="59">
        <f t="shared" si="244"/>
        <v>0</v>
      </c>
    </row>
    <row r="2760" spans="12:16" ht="15" hidden="1" customHeight="1">
      <c r="L2760" s="58" t="str">
        <f t="shared" si="245"/>
        <v>-</v>
      </c>
      <c r="M2760" s="59">
        <f t="shared" si="241"/>
        <v>0</v>
      </c>
      <c r="N2760" s="59">
        <f t="shared" si="243"/>
        <v>0</v>
      </c>
      <c r="O2760" s="59">
        <f t="shared" si="242"/>
        <v>0</v>
      </c>
      <c r="P2760" s="59">
        <f t="shared" si="244"/>
        <v>0</v>
      </c>
    </row>
    <row r="2761" spans="12:16" ht="15" hidden="1" customHeight="1">
      <c r="L2761" s="58" t="str">
        <f t="shared" si="245"/>
        <v>-</v>
      </c>
      <c r="M2761" s="59">
        <f t="shared" si="241"/>
        <v>0</v>
      </c>
      <c r="N2761" s="59">
        <f t="shared" si="243"/>
        <v>0</v>
      </c>
      <c r="O2761" s="59">
        <f t="shared" si="242"/>
        <v>0</v>
      </c>
      <c r="P2761" s="59">
        <f t="shared" si="244"/>
        <v>0</v>
      </c>
    </row>
    <row r="2762" spans="12:16" ht="15" hidden="1" customHeight="1">
      <c r="L2762" s="58" t="str">
        <f t="shared" si="245"/>
        <v>-</v>
      </c>
      <c r="M2762" s="59">
        <f t="shared" si="241"/>
        <v>0</v>
      </c>
      <c r="N2762" s="59">
        <f t="shared" si="243"/>
        <v>0</v>
      </c>
      <c r="O2762" s="59">
        <f t="shared" si="242"/>
        <v>0</v>
      </c>
      <c r="P2762" s="59">
        <f t="shared" si="244"/>
        <v>0</v>
      </c>
    </row>
    <row r="2763" spans="12:16" ht="15" hidden="1" customHeight="1">
      <c r="L2763" s="58" t="str">
        <f t="shared" si="245"/>
        <v>-</v>
      </c>
      <c r="M2763" s="59">
        <f t="shared" si="241"/>
        <v>0</v>
      </c>
      <c r="N2763" s="59">
        <f t="shared" si="243"/>
        <v>0</v>
      </c>
      <c r="O2763" s="59">
        <f t="shared" si="242"/>
        <v>0</v>
      </c>
      <c r="P2763" s="59">
        <f t="shared" si="244"/>
        <v>0</v>
      </c>
    </row>
    <row r="2764" spans="12:16" ht="15" hidden="1" customHeight="1">
      <c r="L2764" s="58" t="str">
        <f t="shared" si="245"/>
        <v>-</v>
      </c>
      <c r="M2764" s="59">
        <f t="shared" si="241"/>
        <v>0</v>
      </c>
      <c r="N2764" s="59">
        <f t="shared" si="243"/>
        <v>0</v>
      </c>
      <c r="O2764" s="59">
        <f t="shared" si="242"/>
        <v>0</v>
      </c>
      <c r="P2764" s="59">
        <f t="shared" si="244"/>
        <v>0</v>
      </c>
    </row>
    <row r="2765" spans="12:16" ht="15" hidden="1" customHeight="1">
      <c r="L2765" s="58" t="str">
        <f t="shared" si="245"/>
        <v>-</v>
      </c>
      <c r="M2765" s="59">
        <f t="shared" si="241"/>
        <v>0</v>
      </c>
      <c r="N2765" s="59">
        <f t="shared" si="243"/>
        <v>0</v>
      </c>
      <c r="O2765" s="59">
        <f t="shared" si="242"/>
        <v>0</v>
      </c>
      <c r="P2765" s="59">
        <f t="shared" si="244"/>
        <v>0</v>
      </c>
    </row>
    <row r="2766" spans="12:16" ht="15" hidden="1" customHeight="1">
      <c r="L2766" s="58" t="str">
        <f t="shared" si="245"/>
        <v>-</v>
      </c>
      <c r="M2766" s="59">
        <f t="shared" si="241"/>
        <v>0</v>
      </c>
      <c r="N2766" s="59">
        <f t="shared" si="243"/>
        <v>0</v>
      </c>
      <c r="O2766" s="59">
        <f t="shared" si="242"/>
        <v>0</v>
      </c>
      <c r="P2766" s="59">
        <f t="shared" si="244"/>
        <v>0</v>
      </c>
    </row>
    <row r="2767" spans="12:16" ht="15" hidden="1" customHeight="1">
      <c r="L2767" s="58" t="str">
        <f t="shared" si="245"/>
        <v>-</v>
      </c>
      <c r="M2767" s="59">
        <f t="shared" si="241"/>
        <v>0</v>
      </c>
      <c r="N2767" s="59">
        <f t="shared" si="243"/>
        <v>0</v>
      </c>
      <c r="O2767" s="59">
        <f t="shared" si="242"/>
        <v>0</v>
      </c>
      <c r="P2767" s="59">
        <f t="shared" si="244"/>
        <v>0</v>
      </c>
    </row>
    <row r="2768" spans="12:16" ht="15" hidden="1" customHeight="1">
      <c r="L2768" s="58" t="str">
        <f t="shared" si="245"/>
        <v>-</v>
      </c>
      <c r="M2768" s="59">
        <f t="shared" si="241"/>
        <v>0</v>
      </c>
      <c r="N2768" s="59">
        <f t="shared" si="243"/>
        <v>0</v>
      </c>
      <c r="O2768" s="59">
        <f t="shared" si="242"/>
        <v>0</v>
      </c>
      <c r="P2768" s="59">
        <f t="shared" si="244"/>
        <v>0</v>
      </c>
    </row>
    <row r="2769" spans="12:16" ht="15" hidden="1" customHeight="1">
      <c r="L2769" s="58" t="str">
        <f t="shared" si="245"/>
        <v>-</v>
      </c>
      <c r="M2769" s="59">
        <f t="shared" si="241"/>
        <v>0</v>
      </c>
      <c r="N2769" s="59">
        <f t="shared" si="243"/>
        <v>0</v>
      </c>
      <c r="O2769" s="59">
        <f t="shared" si="242"/>
        <v>0</v>
      </c>
      <c r="P2769" s="59">
        <f t="shared" si="244"/>
        <v>0</v>
      </c>
    </row>
    <row r="2770" spans="12:16" ht="15" hidden="1" customHeight="1">
      <c r="L2770" s="58" t="str">
        <f t="shared" si="245"/>
        <v>-</v>
      </c>
      <c r="M2770" s="59">
        <f t="shared" si="241"/>
        <v>0</v>
      </c>
      <c r="N2770" s="59">
        <f t="shared" si="243"/>
        <v>0</v>
      </c>
      <c r="O2770" s="59">
        <f t="shared" si="242"/>
        <v>0</v>
      </c>
      <c r="P2770" s="59">
        <f t="shared" si="244"/>
        <v>0</v>
      </c>
    </row>
    <row r="2771" spans="12:16" ht="15" hidden="1" customHeight="1">
      <c r="L2771" s="58" t="str">
        <f t="shared" si="245"/>
        <v>-</v>
      </c>
      <c r="M2771" s="59">
        <f t="shared" ref="M2771:M2834" si="246">IFERROR(VLOOKUP(L2771,$B$19:$E$80,4,FALSE),0)</f>
        <v>0</v>
      </c>
      <c r="N2771" s="59">
        <f t="shared" si="243"/>
        <v>0</v>
      </c>
      <c r="O2771" s="59">
        <f t="shared" ref="O2771:O2834" si="247">IFERROR(IF(ISNUMBER(N2770),N2770,$E$8)*IF(L2771&gt;=$J$8,$E$12,$E$12)/IF(MOD(YEAR(L2771),4),365,366)*IF(ISBLANK(L2770),L2771-$F$5,L2771-L2770),0)</f>
        <v>0</v>
      </c>
      <c r="P2771" s="59">
        <f t="shared" si="244"/>
        <v>0</v>
      </c>
    </row>
    <row r="2772" spans="12:16" ht="15" hidden="1" customHeight="1">
      <c r="L2772" s="58" t="str">
        <f t="shared" si="245"/>
        <v>-</v>
      </c>
      <c r="M2772" s="59">
        <f t="shared" si="246"/>
        <v>0</v>
      </c>
      <c r="N2772" s="59">
        <f t="shared" si="243"/>
        <v>0</v>
      </c>
      <c r="O2772" s="59">
        <f t="shared" si="247"/>
        <v>0</v>
      </c>
      <c r="P2772" s="59">
        <f t="shared" si="244"/>
        <v>0</v>
      </c>
    </row>
    <row r="2773" spans="12:16" ht="15" hidden="1" customHeight="1">
      <c r="L2773" s="58" t="str">
        <f t="shared" si="245"/>
        <v>-</v>
      </c>
      <c r="M2773" s="59">
        <f t="shared" si="246"/>
        <v>0</v>
      </c>
      <c r="N2773" s="59">
        <f t="shared" si="243"/>
        <v>0</v>
      </c>
      <c r="O2773" s="59">
        <f t="shared" si="247"/>
        <v>0</v>
      </c>
      <c r="P2773" s="59">
        <f t="shared" si="244"/>
        <v>0</v>
      </c>
    </row>
    <row r="2774" spans="12:16" ht="15" hidden="1" customHeight="1">
      <c r="L2774" s="58" t="str">
        <f t="shared" si="245"/>
        <v>-</v>
      </c>
      <c r="M2774" s="59">
        <f t="shared" si="246"/>
        <v>0</v>
      </c>
      <c r="N2774" s="59">
        <f t="shared" si="243"/>
        <v>0</v>
      </c>
      <c r="O2774" s="59">
        <f t="shared" si="247"/>
        <v>0</v>
      </c>
      <c r="P2774" s="59">
        <f t="shared" si="244"/>
        <v>0</v>
      </c>
    </row>
    <row r="2775" spans="12:16" ht="15" hidden="1" customHeight="1">
      <c r="L2775" s="58" t="str">
        <f t="shared" si="245"/>
        <v>-</v>
      </c>
      <c r="M2775" s="59">
        <f t="shared" si="246"/>
        <v>0</v>
      </c>
      <c r="N2775" s="59">
        <f t="shared" si="243"/>
        <v>0</v>
      </c>
      <c r="O2775" s="59">
        <f t="shared" si="247"/>
        <v>0</v>
      </c>
      <c r="P2775" s="59">
        <f t="shared" si="244"/>
        <v>0</v>
      </c>
    </row>
    <row r="2776" spans="12:16" ht="15" hidden="1" customHeight="1">
      <c r="L2776" s="58" t="str">
        <f t="shared" si="245"/>
        <v>-</v>
      </c>
      <c r="M2776" s="59">
        <f t="shared" si="246"/>
        <v>0</v>
      </c>
      <c r="N2776" s="59">
        <f t="shared" si="243"/>
        <v>0</v>
      </c>
      <c r="O2776" s="59">
        <f t="shared" si="247"/>
        <v>0</v>
      </c>
      <c r="P2776" s="59">
        <f t="shared" si="244"/>
        <v>0</v>
      </c>
    </row>
    <row r="2777" spans="12:16" ht="15" hidden="1" customHeight="1">
      <c r="L2777" s="58" t="str">
        <f t="shared" si="245"/>
        <v>-</v>
      </c>
      <c r="M2777" s="59">
        <f t="shared" si="246"/>
        <v>0</v>
      </c>
      <c r="N2777" s="59">
        <f t="shared" si="243"/>
        <v>0</v>
      </c>
      <c r="O2777" s="59">
        <f t="shared" si="247"/>
        <v>0</v>
      </c>
      <c r="P2777" s="59">
        <f t="shared" si="244"/>
        <v>0</v>
      </c>
    </row>
    <row r="2778" spans="12:16" ht="15" hidden="1" customHeight="1">
      <c r="L2778" s="58" t="str">
        <f t="shared" si="245"/>
        <v>-</v>
      </c>
      <c r="M2778" s="59">
        <f t="shared" si="246"/>
        <v>0</v>
      </c>
      <c r="N2778" s="59">
        <f t="shared" si="243"/>
        <v>0</v>
      </c>
      <c r="O2778" s="59">
        <f t="shared" si="247"/>
        <v>0</v>
      </c>
      <c r="P2778" s="59">
        <f t="shared" si="244"/>
        <v>0</v>
      </c>
    </row>
    <row r="2779" spans="12:16" ht="15" hidden="1" customHeight="1">
      <c r="L2779" s="58" t="str">
        <f t="shared" si="245"/>
        <v>-</v>
      </c>
      <c r="M2779" s="59">
        <f t="shared" si="246"/>
        <v>0</v>
      </c>
      <c r="N2779" s="59">
        <f t="shared" si="243"/>
        <v>0</v>
      </c>
      <c r="O2779" s="59">
        <f t="shared" si="247"/>
        <v>0</v>
      </c>
      <c r="P2779" s="59">
        <f t="shared" si="244"/>
        <v>0</v>
      </c>
    </row>
    <row r="2780" spans="12:16" ht="15" hidden="1" customHeight="1">
      <c r="L2780" s="58" t="str">
        <f t="shared" si="245"/>
        <v>-</v>
      </c>
      <c r="M2780" s="59">
        <f t="shared" si="246"/>
        <v>0</v>
      </c>
      <c r="N2780" s="59">
        <f t="shared" ref="N2780:N2843" si="248">IF(ISNUMBER(N2779),N2779-M2780,$E$8)</f>
        <v>0</v>
      </c>
      <c r="O2780" s="59">
        <f t="shared" si="247"/>
        <v>0</v>
      </c>
      <c r="P2780" s="59">
        <f t="shared" ref="P2780:P2843" si="249">IFERROR(IF(ISNUMBER(N2779),N2779,$E$8)*3%/IF(MOD(YEAR(L2780),4),365,366)*IF(ISBLANK(L2779),(L2780-$F$5),L2780-L2779),0)</f>
        <v>0</v>
      </c>
    </row>
    <row r="2781" spans="12:16" ht="15" hidden="1" customHeight="1">
      <c r="L2781" s="58" t="str">
        <f t="shared" si="245"/>
        <v>-</v>
      </c>
      <c r="M2781" s="59">
        <f t="shared" si="246"/>
        <v>0</v>
      </c>
      <c r="N2781" s="59">
        <f t="shared" si="248"/>
        <v>0</v>
      </c>
      <c r="O2781" s="59">
        <f t="shared" si="247"/>
        <v>0</v>
      </c>
      <c r="P2781" s="59">
        <f t="shared" si="249"/>
        <v>0</v>
      </c>
    </row>
    <row r="2782" spans="12:16" ht="15" hidden="1" customHeight="1">
      <c r="L2782" s="58" t="str">
        <f t="shared" si="245"/>
        <v>-</v>
      </c>
      <c r="M2782" s="59">
        <f t="shared" si="246"/>
        <v>0</v>
      </c>
      <c r="N2782" s="59">
        <f t="shared" si="248"/>
        <v>0</v>
      </c>
      <c r="O2782" s="59">
        <f t="shared" si="247"/>
        <v>0</v>
      </c>
      <c r="P2782" s="59">
        <f t="shared" si="249"/>
        <v>0</v>
      </c>
    </row>
    <row r="2783" spans="12:16" ht="15" hidden="1" customHeight="1">
      <c r="L2783" s="58" t="str">
        <f t="shared" si="245"/>
        <v>-</v>
      </c>
      <c r="M2783" s="59">
        <f t="shared" si="246"/>
        <v>0</v>
      </c>
      <c r="N2783" s="59">
        <f t="shared" si="248"/>
        <v>0</v>
      </c>
      <c r="O2783" s="59">
        <f t="shared" si="247"/>
        <v>0</v>
      </c>
      <c r="P2783" s="59">
        <f t="shared" si="249"/>
        <v>0</v>
      </c>
    </row>
    <row r="2784" spans="12:16" ht="15" hidden="1" customHeight="1">
      <c r="L2784" s="58" t="str">
        <f t="shared" si="245"/>
        <v>-</v>
      </c>
      <c r="M2784" s="59">
        <f t="shared" si="246"/>
        <v>0</v>
      </c>
      <c r="N2784" s="59">
        <f t="shared" si="248"/>
        <v>0</v>
      </c>
      <c r="O2784" s="59">
        <f t="shared" si="247"/>
        <v>0</v>
      </c>
      <c r="P2784" s="59">
        <f t="shared" si="249"/>
        <v>0</v>
      </c>
    </row>
    <row r="2785" spans="12:16" ht="15" hidden="1" customHeight="1">
      <c r="L2785" s="58" t="str">
        <f t="shared" si="245"/>
        <v>-</v>
      </c>
      <c r="M2785" s="59">
        <f t="shared" si="246"/>
        <v>0</v>
      </c>
      <c r="N2785" s="59">
        <f t="shared" si="248"/>
        <v>0</v>
      </c>
      <c r="O2785" s="59">
        <f t="shared" si="247"/>
        <v>0</v>
      </c>
      <c r="P2785" s="59">
        <f t="shared" si="249"/>
        <v>0</v>
      </c>
    </row>
    <row r="2786" spans="12:16" ht="15" hidden="1" customHeight="1">
      <c r="L2786" s="58" t="str">
        <f t="shared" ref="L2786:L2849" si="250">IFERROR(IF(MAX(L2785+1,$F$5+1)&gt;Дата_погашения_Займа,"-",MAX(L2785+1,$F$5+1)),"-")</f>
        <v>-</v>
      </c>
      <c r="M2786" s="59">
        <f t="shared" si="246"/>
        <v>0</v>
      </c>
      <c r="N2786" s="59">
        <f t="shared" si="248"/>
        <v>0</v>
      </c>
      <c r="O2786" s="59">
        <f t="shared" si="247"/>
        <v>0</v>
      </c>
      <c r="P2786" s="59">
        <f t="shared" si="249"/>
        <v>0</v>
      </c>
    </row>
    <row r="2787" spans="12:16" ht="15" hidden="1" customHeight="1">
      <c r="L2787" s="58" t="str">
        <f t="shared" si="250"/>
        <v>-</v>
      </c>
      <c r="M2787" s="59">
        <f t="shared" si="246"/>
        <v>0</v>
      </c>
      <c r="N2787" s="59">
        <f t="shared" si="248"/>
        <v>0</v>
      </c>
      <c r="O2787" s="59">
        <f t="shared" si="247"/>
        <v>0</v>
      </c>
      <c r="P2787" s="59">
        <f t="shared" si="249"/>
        <v>0</v>
      </c>
    </row>
    <row r="2788" spans="12:16" ht="15" hidden="1" customHeight="1">
      <c r="L2788" s="58" t="str">
        <f t="shared" si="250"/>
        <v>-</v>
      </c>
      <c r="M2788" s="59">
        <f t="shared" si="246"/>
        <v>0</v>
      </c>
      <c r="N2788" s="59">
        <f t="shared" si="248"/>
        <v>0</v>
      </c>
      <c r="O2788" s="59">
        <f t="shared" si="247"/>
        <v>0</v>
      </c>
      <c r="P2788" s="59">
        <f t="shared" si="249"/>
        <v>0</v>
      </c>
    </row>
    <row r="2789" spans="12:16" ht="15" hidden="1" customHeight="1">
      <c r="L2789" s="58" t="str">
        <f t="shared" si="250"/>
        <v>-</v>
      </c>
      <c r="M2789" s="59">
        <f t="shared" si="246"/>
        <v>0</v>
      </c>
      <c r="N2789" s="59">
        <f t="shared" si="248"/>
        <v>0</v>
      </c>
      <c r="O2789" s="59">
        <f t="shared" si="247"/>
        <v>0</v>
      </c>
      <c r="P2789" s="59">
        <f t="shared" si="249"/>
        <v>0</v>
      </c>
    </row>
    <row r="2790" spans="12:16" ht="15" hidden="1" customHeight="1">
      <c r="L2790" s="58" t="str">
        <f t="shared" si="250"/>
        <v>-</v>
      </c>
      <c r="M2790" s="59">
        <f t="shared" si="246"/>
        <v>0</v>
      </c>
      <c r="N2790" s="59">
        <f t="shared" si="248"/>
        <v>0</v>
      </c>
      <c r="O2790" s="59">
        <f t="shared" si="247"/>
        <v>0</v>
      </c>
      <c r="P2790" s="59">
        <f t="shared" si="249"/>
        <v>0</v>
      </c>
    </row>
    <row r="2791" spans="12:16" ht="15" hidden="1" customHeight="1">
      <c r="L2791" s="58" t="str">
        <f t="shared" si="250"/>
        <v>-</v>
      </c>
      <c r="M2791" s="59">
        <f t="shared" si="246"/>
        <v>0</v>
      </c>
      <c r="N2791" s="59">
        <f t="shared" si="248"/>
        <v>0</v>
      </c>
      <c r="O2791" s="59">
        <f t="shared" si="247"/>
        <v>0</v>
      </c>
      <c r="P2791" s="59">
        <f t="shared" si="249"/>
        <v>0</v>
      </c>
    </row>
    <row r="2792" spans="12:16" ht="15" hidden="1" customHeight="1">
      <c r="L2792" s="58" t="str">
        <f t="shared" si="250"/>
        <v>-</v>
      </c>
      <c r="M2792" s="59">
        <f t="shared" si="246"/>
        <v>0</v>
      </c>
      <c r="N2792" s="59">
        <f t="shared" si="248"/>
        <v>0</v>
      </c>
      <c r="O2792" s="59">
        <f t="shared" si="247"/>
        <v>0</v>
      </c>
      <c r="P2792" s="59">
        <f t="shared" si="249"/>
        <v>0</v>
      </c>
    </row>
    <row r="2793" spans="12:16" ht="15" hidden="1" customHeight="1">
      <c r="L2793" s="58" t="str">
        <f t="shared" si="250"/>
        <v>-</v>
      </c>
      <c r="M2793" s="59">
        <f t="shared" si="246"/>
        <v>0</v>
      </c>
      <c r="N2793" s="59">
        <f t="shared" si="248"/>
        <v>0</v>
      </c>
      <c r="O2793" s="59">
        <f t="shared" si="247"/>
        <v>0</v>
      </c>
      <c r="P2793" s="59">
        <f t="shared" si="249"/>
        <v>0</v>
      </c>
    </row>
    <row r="2794" spans="12:16" ht="15" hidden="1" customHeight="1">
      <c r="L2794" s="58" t="str">
        <f t="shared" si="250"/>
        <v>-</v>
      </c>
      <c r="M2794" s="59">
        <f t="shared" si="246"/>
        <v>0</v>
      </c>
      <c r="N2794" s="59">
        <f t="shared" si="248"/>
        <v>0</v>
      </c>
      <c r="O2794" s="59">
        <f t="shared" si="247"/>
        <v>0</v>
      </c>
      <c r="P2794" s="59">
        <f t="shared" si="249"/>
        <v>0</v>
      </c>
    </row>
    <row r="2795" spans="12:16" ht="15" hidden="1" customHeight="1">
      <c r="L2795" s="58" t="str">
        <f t="shared" si="250"/>
        <v>-</v>
      </c>
      <c r="M2795" s="59">
        <f t="shared" si="246"/>
        <v>0</v>
      </c>
      <c r="N2795" s="59">
        <f t="shared" si="248"/>
        <v>0</v>
      </c>
      <c r="O2795" s="59">
        <f t="shared" si="247"/>
        <v>0</v>
      </c>
      <c r="P2795" s="59">
        <f t="shared" si="249"/>
        <v>0</v>
      </c>
    </row>
    <row r="2796" spans="12:16" ht="15" hidden="1" customHeight="1">
      <c r="L2796" s="58" t="str">
        <f t="shared" si="250"/>
        <v>-</v>
      </c>
      <c r="M2796" s="59">
        <f t="shared" si="246"/>
        <v>0</v>
      </c>
      <c r="N2796" s="59">
        <f t="shared" si="248"/>
        <v>0</v>
      </c>
      <c r="O2796" s="59">
        <f t="shared" si="247"/>
        <v>0</v>
      </c>
      <c r="P2796" s="59">
        <f t="shared" si="249"/>
        <v>0</v>
      </c>
    </row>
    <row r="2797" spans="12:16" ht="15" hidden="1" customHeight="1">
      <c r="L2797" s="58" t="str">
        <f t="shared" si="250"/>
        <v>-</v>
      </c>
      <c r="M2797" s="59">
        <f t="shared" si="246"/>
        <v>0</v>
      </c>
      <c r="N2797" s="59">
        <f t="shared" si="248"/>
        <v>0</v>
      </c>
      <c r="O2797" s="59">
        <f t="shared" si="247"/>
        <v>0</v>
      </c>
      <c r="P2797" s="59">
        <f t="shared" si="249"/>
        <v>0</v>
      </c>
    </row>
    <row r="2798" spans="12:16" ht="15" hidden="1" customHeight="1">
      <c r="L2798" s="58" t="str">
        <f t="shared" si="250"/>
        <v>-</v>
      </c>
      <c r="M2798" s="59">
        <f t="shared" si="246"/>
        <v>0</v>
      </c>
      <c r="N2798" s="59">
        <f t="shared" si="248"/>
        <v>0</v>
      </c>
      <c r="O2798" s="59">
        <f t="shared" si="247"/>
        <v>0</v>
      </c>
      <c r="P2798" s="59">
        <f t="shared" si="249"/>
        <v>0</v>
      </c>
    </row>
    <row r="2799" spans="12:16" ht="15" hidden="1" customHeight="1">
      <c r="L2799" s="58" t="str">
        <f t="shared" si="250"/>
        <v>-</v>
      </c>
      <c r="M2799" s="59">
        <f t="shared" si="246"/>
        <v>0</v>
      </c>
      <c r="N2799" s="59">
        <f t="shared" si="248"/>
        <v>0</v>
      </c>
      <c r="O2799" s="59">
        <f t="shared" si="247"/>
        <v>0</v>
      </c>
      <c r="P2799" s="59">
        <f t="shared" si="249"/>
        <v>0</v>
      </c>
    </row>
    <row r="2800" spans="12:16" ht="15" hidden="1" customHeight="1">
      <c r="L2800" s="58" t="str">
        <f t="shared" si="250"/>
        <v>-</v>
      </c>
      <c r="M2800" s="59">
        <f t="shared" si="246"/>
        <v>0</v>
      </c>
      <c r="N2800" s="59">
        <f t="shared" si="248"/>
        <v>0</v>
      </c>
      <c r="O2800" s="59">
        <f t="shared" si="247"/>
        <v>0</v>
      </c>
      <c r="P2800" s="59">
        <f t="shared" si="249"/>
        <v>0</v>
      </c>
    </row>
    <row r="2801" spans="12:16" ht="15" hidden="1" customHeight="1">
      <c r="L2801" s="58" t="str">
        <f t="shared" si="250"/>
        <v>-</v>
      </c>
      <c r="M2801" s="59">
        <f t="shared" si="246"/>
        <v>0</v>
      </c>
      <c r="N2801" s="59">
        <f t="shared" si="248"/>
        <v>0</v>
      </c>
      <c r="O2801" s="59">
        <f t="shared" si="247"/>
        <v>0</v>
      </c>
      <c r="P2801" s="59">
        <f t="shared" si="249"/>
        <v>0</v>
      </c>
    </row>
    <row r="2802" spans="12:16" ht="15" hidden="1" customHeight="1">
      <c r="L2802" s="58" t="str">
        <f t="shared" si="250"/>
        <v>-</v>
      </c>
      <c r="M2802" s="59">
        <f t="shared" si="246"/>
        <v>0</v>
      </c>
      <c r="N2802" s="59">
        <f t="shared" si="248"/>
        <v>0</v>
      </c>
      <c r="O2802" s="59">
        <f t="shared" si="247"/>
        <v>0</v>
      </c>
      <c r="P2802" s="59">
        <f t="shared" si="249"/>
        <v>0</v>
      </c>
    </row>
    <row r="2803" spans="12:16" ht="15" hidden="1" customHeight="1">
      <c r="L2803" s="58" t="str">
        <f t="shared" si="250"/>
        <v>-</v>
      </c>
      <c r="M2803" s="59">
        <f t="shared" si="246"/>
        <v>0</v>
      </c>
      <c r="N2803" s="59">
        <f t="shared" si="248"/>
        <v>0</v>
      </c>
      <c r="O2803" s="59">
        <f t="shared" si="247"/>
        <v>0</v>
      </c>
      <c r="P2803" s="59">
        <f t="shared" si="249"/>
        <v>0</v>
      </c>
    </row>
    <row r="2804" spans="12:16" ht="15" hidden="1" customHeight="1">
      <c r="L2804" s="58" t="str">
        <f t="shared" si="250"/>
        <v>-</v>
      </c>
      <c r="M2804" s="59">
        <f t="shared" si="246"/>
        <v>0</v>
      </c>
      <c r="N2804" s="59">
        <f t="shared" si="248"/>
        <v>0</v>
      </c>
      <c r="O2804" s="59">
        <f t="shared" si="247"/>
        <v>0</v>
      </c>
      <c r="P2804" s="59">
        <f t="shared" si="249"/>
        <v>0</v>
      </c>
    </row>
    <row r="2805" spans="12:16" ht="15" hidden="1" customHeight="1">
      <c r="L2805" s="58" t="str">
        <f t="shared" si="250"/>
        <v>-</v>
      </c>
      <c r="M2805" s="59">
        <f t="shared" si="246"/>
        <v>0</v>
      </c>
      <c r="N2805" s="59">
        <f t="shared" si="248"/>
        <v>0</v>
      </c>
      <c r="O2805" s="59">
        <f t="shared" si="247"/>
        <v>0</v>
      </c>
      <c r="P2805" s="59">
        <f t="shared" si="249"/>
        <v>0</v>
      </c>
    </row>
    <row r="2806" spans="12:16" ht="15" hidden="1" customHeight="1">
      <c r="L2806" s="58" t="str">
        <f t="shared" si="250"/>
        <v>-</v>
      </c>
      <c r="M2806" s="59">
        <f t="shared" si="246"/>
        <v>0</v>
      </c>
      <c r="N2806" s="59">
        <f t="shared" si="248"/>
        <v>0</v>
      </c>
      <c r="O2806" s="59">
        <f t="shared" si="247"/>
        <v>0</v>
      </c>
      <c r="P2806" s="59">
        <f t="shared" si="249"/>
        <v>0</v>
      </c>
    </row>
    <row r="2807" spans="12:16" ht="15" hidden="1" customHeight="1">
      <c r="L2807" s="58" t="str">
        <f t="shared" si="250"/>
        <v>-</v>
      </c>
      <c r="M2807" s="59">
        <f t="shared" si="246"/>
        <v>0</v>
      </c>
      <c r="N2807" s="59">
        <f t="shared" si="248"/>
        <v>0</v>
      </c>
      <c r="O2807" s="59">
        <f t="shared" si="247"/>
        <v>0</v>
      </c>
      <c r="P2807" s="59">
        <f t="shared" si="249"/>
        <v>0</v>
      </c>
    </row>
    <row r="2808" spans="12:16" ht="15" hidden="1" customHeight="1">
      <c r="L2808" s="58" t="str">
        <f t="shared" si="250"/>
        <v>-</v>
      </c>
      <c r="M2808" s="59">
        <f t="shared" si="246"/>
        <v>0</v>
      </c>
      <c r="N2808" s="59">
        <f t="shared" si="248"/>
        <v>0</v>
      </c>
      <c r="O2808" s="59">
        <f t="shared" si="247"/>
        <v>0</v>
      </c>
      <c r="P2808" s="59">
        <f t="shared" si="249"/>
        <v>0</v>
      </c>
    </row>
    <row r="2809" spans="12:16" ht="15" hidden="1" customHeight="1">
      <c r="L2809" s="58" t="str">
        <f t="shared" si="250"/>
        <v>-</v>
      </c>
      <c r="M2809" s="59">
        <f t="shared" si="246"/>
        <v>0</v>
      </c>
      <c r="N2809" s="59">
        <f t="shared" si="248"/>
        <v>0</v>
      </c>
      <c r="O2809" s="59">
        <f t="shared" si="247"/>
        <v>0</v>
      </c>
      <c r="P2809" s="59">
        <f t="shared" si="249"/>
        <v>0</v>
      </c>
    </row>
    <row r="2810" spans="12:16" ht="15" hidden="1" customHeight="1">
      <c r="L2810" s="58" t="str">
        <f t="shared" si="250"/>
        <v>-</v>
      </c>
      <c r="M2810" s="59">
        <f t="shared" si="246"/>
        <v>0</v>
      </c>
      <c r="N2810" s="59">
        <f t="shared" si="248"/>
        <v>0</v>
      </c>
      <c r="O2810" s="59">
        <f t="shared" si="247"/>
        <v>0</v>
      </c>
      <c r="P2810" s="59">
        <f t="shared" si="249"/>
        <v>0</v>
      </c>
    </row>
    <row r="2811" spans="12:16" ht="15" hidden="1" customHeight="1">
      <c r="L2811" s="58" t="str">
        <f t="shared" si="250"/>
        <v>-</v>
      </c>
      <c r="M2811" s="59">
        <f t="shared" si="246"/>
        <v>0</v>
      </c>
      <c r="N2811" s="59">
        <f t="shared" si="248"/>
        <v>0</v>
      </c>
      <c r="O2811" s="59">
        <f t="shared" si="247"/>
        <v>0</v>
      </c>
      <c r="P2811" s="59">
        <f t="shared" si="249"/>
        <v>0</v>
      </c>
    </row>
    <row r="2812" spans="12:16" ht="15" hidden="1" customHeight="1">
      <c r="L2812" s="58" t="str">
        <f t="shared" si="250"/>
        <v>-</v>
      </c>
      <c r="M2812" s="59">
        <f t="shared" si="246"/>
        <v>0</v>
      </c>
      <c r="N2812" s="59">
        <f t="shared" si="248"/>
        <v>0</v>
      </c>
      <c r="O2812" s="59">
        <f t="shared" si="247"/>
        <v>0</v>
      </c>
      <c r="P2812" s="59">
        <f t="shared" si="249"/>
        <v>0</v>
      </c>
    </row>
    <row r="2813" spans="12:16" ht="15" hidden="1" customHeight="1">
      <c r="L2813" s="58" t="str">
        <f t="shared" si="250"/>
        <v>-</v>
      </c>
      <c r="M2813" s="59">
        <f t="shared" si="246"/>
        <v>0</v>
      </c>
      <c r="N2813" s="59">
        <f t="shared" si="248"/>
        <v>0</v>
      </c>
      <c r="O2813" s="59">
        <f t="shared" si="247"/>
        <v>0</v>
      </c>
      <c r="P2813" s="59">
        <f t="shared" si="249"/>
        <v>0</v>
      </c>
    </row>
    <row r="2814" spans="12:16" ht="15" hidden="1" customHeight="1">
      <c r="L2814" s="58" t="str">
        <f t="shared" si="250"/>
        <v>-</v>
      </c>
      <c r="M2814" s="59">
        <f t="shared" si="246"/>
        <v>0</v>
      </c>
      <c r="N2814" s="59">
        <f t="shared" si="248"/>
        <v>0</v>
      </c>
      <c r="O2814" s="59">
        <f t="shared" si="247"/>
        <v>0</v>
      </c>
      <c r="P2814" s="59">
        <f t="shared" si="249"/>
        <v>0</v>
      </c>
    </row>
    <row r="2815" spans="12:16" ht="15" hidden="1" customHeight="1">
      <c r="L2815" s="58" t="str">
        <f t="shared" si="250"/>
        <v>-</v>
      </c>
      <c r="M2815" s="59">
        <f t="shared" si="246"/>
        <v>0</v>
      </c>
      <c r="N2815" s="59">
        <f t="shared" si="248"/>
        <v>0</v>
      </c>
      <c r="O2815" s="59">
        <f t="shared" si="247"/>
        <v>0</v>
      </c>
      <c r="P2815" s="59">
        <f t="shared" si="249"/>
        <v>0</v>
      </c>
    </row>
    <row r="2816" spans="12:16" ht="15" hidden="1" customHeight="1">
      <c r="L2816" s="58" t="str">
        <f t="shared" si="250"/>
        <v>-</v>
      </c>
      <c r="M2816" s="59">
        <f t="shared" si="246"/>
        <v>0</v>
      </c>
      <c r="N2816" s="59">
        <f t="shared" si="248"/>
        <v>0</v>
      </c>
      <c r="O2816" s="59">
        <f t="shared" si="247"/>
        <v>0</v>
      </c>
      <c r="P2816" s="59">
        <f t="shared" si="249"/>
        <v>0</v>
      </c>
    </row>
    <row r="2817" spans="12:16" ht="15" hidden="1" customHeight="1">
      <c r="L2817" s="58" t="str">
        <f t="shared" si="250"/>
        <v>-</v>
      </c>
      <c r="M2817" s="59">
        <f t="shared" si="246"/>
        <v>0</v>
      </c>
      <c r="N2817" s="59">
        <f t="shared" si="248"/>
        <v>0</v>
      </c>
      <c r="O2817" s="59">
        <f t="shared" si="247"/>
        <v>0</v>
      </c>
      <c r="P2817" s="59">
        <f t="shared" si="249"/>
        <v>0</v>
      </c>
    </row>
    <row r="2818" spans="12:16" ht="15" hidden="1" customHeight="1">
      <c r="L2818" s="58" t="str">
        <f t="shared" si="250"/>
        <v>-</v>
      </c>
      <c r="M2818" s="59">
        <f t="shared" si="246"/>
        <v>0</v>
      </c>
      <c r="N2818" s="59">
        <f t="shared" si="248"/>
        <v>0</v>
      </c>
      <c r="O2818" s="59">
        <f t="shared" si="247"/>
        <v>0</v>
      </c>
      <c r="P2818" s="59">
        <f t="shared" si="249"/>
        <v>0</v>
      </c>
    </row>
    <row r="2819" spans="12:16" ht="15" hidden="1" customHeight="1">
      <c r="L2819" s="58" t="str">
        <f t="shared" si="250"/>
        <v>-</v>
      </c>
      <c r="M2819" s="59">
        <f t="shared" si="246"/>
        <v>0</v>
      </c>
      <c r="N2819" s="59">
        <f t="shared" si="248"/>
        <v>0</v>
      </c>
      <c r="O2819" s="59">
        <f t="shared" si="247"/>
        <v>0</v>
      </c>
      <c r="P2819" s="59">
        <f t="shared" si="249"/>
        <v>0</v>
      </c>
    </row>
    <row r="2820" spans="12:16" ht="15" hidden="1" customHeight="1">
      <c r="L2820" s="58" t="str">
        <f t="shared" si="250"/>
        <v>-</v>
      </c>
      <c r="M2820" s="59">
        <f t="shared" si="246"/>
        <v>0</v>
      </c>
      <c r="N2820" s="59">
        <f t="shared" si="248"/>
        <v>0</v>
      </c>
      <c r="O2820" s="59">
        <f t="shared" si="247"/>
        <v>0</v>
      </c>
      <c r="P2820" s="59">
        <f t="shared" si="249"/>
        <v>0</v>
      </c>
    </row>
    <row r="2821" spans="12:16" ht="15" hidden="1" customHeight="1">
      <c r="L2821" s="58" t="str">
        <f t="shared" si="250"/>
        <v>-</v>
      </c>
      <c r="M2821" s="59">
        <f t="shared" si="246"/>
        <v>0</v>
      </c>
      <c r="N2821" s="59">
        <f t="shared" si="248"/>
        <v>0</v>
      </c>
      <c r="O2821" s="59">
        <f t="shared" si="247"/>
        <v>0</v>
      </c>
      <c r="P2821" s="59">
        <f t="shared" si="249"/>
        <v>0</v>
      </c>
    </row>
    <row r="2822" spans="12:16" ht="15" hidden="1" customHeight="1">
      <c r="L2822" s="58" t="str">
        <f t="shared" si="250"/>
        <v>-</v>
      </c>
      <c r="M2822" s="59">
        <f t="shared" si="246"/>
        <v>0</v>
      </c>
      <c r="N2822" s="59">
        <f t="shared" si="248"/>
        <v>0</v>
      </c>
      <c r="O2822" s="59">
        <f t="shared" si="247"/>
        <v>0</v>
      </c>
      <c r="P2822" s="59">
        <f t="shared" si="249"/>
        <v>0</v>
      </c>
    </row>
    <row r="2823" spans="12:16" ht="15" hidden="1" customHeight="1">
      <c r="L2823" s="58" t="str">
        <f t="shared" si="250"/>
        <v>-</v>
      </c>
      <c r="M2823" s="59">
        <f t="shared" si="246"/>
        <v>0</v>
      </c>
      <c r="N2823" s="59">
        <f t="shared" si="248"/>
        <v>0</v>
      </c>
      <c r="O2823" s="59">
        <f t="shared" si="247"/>
        <v>0</v>
      </c>
      <c r="P2823" s="59">
        <f t="shared" si="249"/>
        <v>0</v>
      </c>
    </row>
    <row r="2824" spans="12:16" ht="15" hidden="1" customHeight="1">
      <c r="L2824" s="58" t="str">
        <f t="shared" si="250"/>
        <v>-</v>
      </c>
      <c r="M2824" s="59">
        <f t="shared" si="246"/>
        <v>0</v>
      </c>
      <c r="N2824" s="59">
        <f t="shared" si="248"/>
        <v>0</v>
      </c>
      <c r="O2824" s="59">
        <f t="shared" si="247"/>
        <v>0</v>
      </c>
      <c r="P2824" s="59">
        <f t="shared" si="249"/>
        <v>0</v>
      </c>
    </row>
    <row r="2825" spans="12:16" ht="15" hidden="1" customHeight="1">
      <c r="L2825" s="58" t="str">
        <f t="shared" si="250"/>
        <v>-</v>
      </c>
      <c r="M2825" s="59">
        <f t="shared" si="246"/>
        <v>0</v>
      </c>
      <c r="N2825" s="59">
        <f t="shared" si="248"/>
        <v>0</v>
      </c>
      <c r="O2825" s="59">
        <f t="shared" si="247"/>
        <v>0</v>
      </c>
      <c r="P2825" s="59">
        <f t="shared" si="249"/>
        <v>0</v>
      </c>
    </row>
    <row r="2826" spans="12:16" ht="15" hidden="1" customHeight="1">
      <c r="L2826" s="58" t="str">
        <f t="shared" si="250"/>
        <v>-</v>
      </c>
      <c r="M2826" s="59">
        <f t="shared" si="246"/>
        <v>0</v>
      </c>
      <c r="N2826" s="59">
        <f t="shared" si="248"/>
        <v>0</v>
      </c>
      <c r="O2826" s="59">
        <f t="shared" si="247"/>
        <v>0</v>
      </c>
      <c r="P2826" s="59">
        <f t="shared" si="249"/>
        <v>0</v>
      </c>
    </row>
    <row r="2827" spans="12:16" ht="15" hidden="1" customHeight="1">
      <c r="L2827" s="58" t="str">
        <f t="shared" si="250"/>
        <v>-</v>
      </c>
      <c r="M2827" s="59">
        <f t="shared" si="246"/>
        <v>0</v>
      </c>
      <c r="N2827" s="59">
        <f t="shared" si="248"/>
        <v>0</v>
      </c>
      <c r="O2827" s="59">
        <f t="shared" si="247"/>
        <v>0</v>
      </c>
      <c r="P2827" s="59">
        <f t="shared" si="249"/>
        <v>0</v>
      </c>
    </row>
    <row r="2828" spans="12:16" ht="15" hidden="1" customHeight="1">
      <c r="L2828" s="58" t="str">
        <f t="shared" si="250"/>
        <v>-</v>
      </c>
      <c r="M2828" s="59">
        <f t="shared" si="246"/>
        <v>0</v>
      </c>
      <c r="N2828" s="59">
        <f t="shared" si="248"/>
        <v>0</v>
      </c>
      <c r="O2828" s="59">
        <f t="shared" si="247"/>
        <v>0</v>
      </c>
      <c r="P2828" s="59">
        <f t="shared" si="249"/>
        <v>0</v>
      </c>
    </row>
    <row r="2829" spans="12:16" ht="15" hidden="1" customHeight="1">
      <c r="L2829" s="58" t="str">
        <f t="shared" si="250"/>
        <v>-</v>
      </c>
      <c r="M2829" s="59">
        <f t="shared" si="246"/>
        <v>0</v>
      </c>
      <c r="N2829" s="59">
        <f t="shared" si="248"/>
        <v>0</v>
      </c>
      <c r="O2829" s="59">
        <f t="shared" si="247"/>
        <v>0</v>
      </c>
      <c r="P2829" s="59">
        <f t="shared" si="249"/>
        <v>0</v>
      </c>
    </row>
    <row r="2830" spans="12:16" ht="15" hidden="1" customHeight="1">
      <c r="L2830" s="58" t="str">
        <f t="shared" si="250"/>
        <v>-</v>
      </c>
      <c r="M2830" s="59">
        <f t="shared" si="246"/>
        <v>0</v>
      </c>
      <c r="N2830" s="59">
        <f t="shared" si="248"/>
        <v>0</v>
      </c>
      <c r="O2830" s="59">
        <f t="shared" si="247"/>
        <v>0</v>
      </c>
      <c r="P2830" s="59">
        <f t="shared" si="249"/>
        <v>0</v>
      </c>
    </row>
    <row r="2831" spans="12:16" ht="15" hidden="1" customHeight="1">
      <c r="L2831" s="58" t="str">
        <f t="shared" si="250"/>
        <v>-</v>
      </c>
      <c r="M2831" s="59">
        <f t="shared" si="246"/>
        <v>0</v>
      </c>
      <c r="N2831" s="59">
        <f t="shared" si="248"/>
        <v>0</v>
      </c>
      <c r="O2831" s="59">
        <f t="shared" si="247"/>
        <v>0</v>
      </c>
      <c r="P2831" s="59">
        <f t="shared" si="249"/>
        <v>0</v>
      </c>
    </row>
    <row r="2832" spans="12:16" ht="15" hidden="1" customHeight="1">
      <c r="L2832" s="58" t="str">
        <f t="shared" si="250"/>
        <v>-</v>
      </c>
      <c r="M2832" s="59">
        <f t="shared" si="246"/>
        <v>0</v>
      </c>
      <c r="N2832" s="59">
        <f t="shared" si="248"/>
        <v>0</v>
      </c>
      <c r="O2832" s="59">
        <f t="shared" si="247"/>
        <v>0</v>
      </c>
      <c r="P2832" s="59">
        <f t="shared" si="249"/>
        <v>0</v>
      </c>
    </row>
    <row r="2833" spans="12:16" ht="15" hidden="1" customHeight="1">
      <c r="L2833" s="58" t="str">
        <f t="shared" si="250"/>
        <v>-</v>
      </c>
      <c r="M2833" s="59">
        <f t="shared" si="246"/>
        <v>0</v>
      </c>
      <c r="N2833" s="59">
        <f t="shared" si="248"/>
        <v>0</v>
      </c>
      <c r="O2833" s="59">
        <f t="shared" si="247"/>
        <v>0</v>
      </c>
      <c r="P2833" s="59">
        <f t="shared" si="249"/>
        <v>0</v>
      </c>
    </row>
    <row r="2834" spans="12:16" ht="15" hidden="1" customHeight="1">
      <c r="L2834" s="58" t="str">
        <f t="shared" si="250"/>
        <v>-</v>
      </c>
      <c r="M2834" s="59">
        <f t="shared" si="246"/>
        <v>0</v>
      </c>
      <c r="N2834" s="59">
        <f t="shared" si="248"/>
        <v>0</v>
      </c>
      <c r="O2834" s="59">
        <f t="shared" si="247"/>
        <v>0</v>
      </c>
      <c r="P2834" s="59">
        <f t="shared" si="249"/>
        <v>0</v>
      </c>
    </row>
    <row r="2835" spans="12:16" ht="15" hidden="1" customHeight="1">
      <c r="L2835" s="58" t="str">
        <f t="shared" si="250"/>
        <v>-</v>
      </c>
      <c r="M2835" s="59">
        <f t="shared" ref="M2835:M2898" si="251">IFERROR(VLOOKUP(L2835,$B$19:$E$80,4,FALSE),0)</f>
        <v>0</v>
      </c>
      <c r="N2835" s="59">
        <f t="shared" si="248"/>
        <v>0</v>
      </c>
      <c r="O2835" s="59">
        <f t="shared" ref="O2835:O2898" si="252">IFERROR(IF(ISNUMBER(N2834),N2834,$E$8)*IF(L2835&gt;=$J$8,$E$12,$E$12)/IF(MOD(YEAR(L2835),4),365,366)*IF(ISBLANK(L2834),L2835-$F$5,L2835-L2834),0)</f>
        <v>0</v>
      </c>
      <c r="P2835" s="59">
        <f t="shared" si="249"/>
        <v>0</v>
      </c>
    </row>
    <row r="2836" spans="12:16" ht="15" hidden="1" customHeight="1">
      <c r="L2836" s="58" t="str">
        <f t="shared" si="250"/>
        <v>-</v>
      </c>
      <c r="M2836" s="59">
        <f t="shared" si="251"/>
        <v>0</v>
      </c>
      <c r="N2836" s="59">
        <f t="shared" si="248"/>
        <v>0</v>
      </c>
      <c r="O2836" s="59">
        <f t="shared" si="252"/>
        <v>0</v>
      </c>
      <c r="P2836" s="59">
        <f t="shared" si="249"/>
        <v>0</v>
      </c>
    </row>
    <row r="2837" spans="12:16" ht="15" hidden="1" customHeight="1">
      <c r="L2837" s="58" t="str">
        <f t="shared" si="250"/>
        <v>-</v>
      </c>
      <c r="M2837" s="59">
        <f t="shared" si="251"/>
        <v>0</v>
      </c>
      <c r="N2837" s="59">
        <f t="shared" si="248"/>
        <v>0</v>
      </c>
      <c r="O2837" s="59">
        <f t="shared" si="252"/>
        <v>0</v>
      </c>
      <c r="P2837" s="59">
        <f t="shared" si="249"/>
        <v>0</v>
      </c>
    </row>
    <row r="2838" spans="12:16" ht="15" hidden="1" customHeight="1">
      <c r="L2838" s="58" t="str">
        <f t="shared" si="250"/>
        <v>-</v>
      </c>
      <c r="M2838" s="59">
        <f t="shared" si="251"/>
        <v>0</v>
      </c>
      <c r="N2838" s="59">
        <f t="shared" si="248"/>
        <v>0</v>
      </c>
      <c r="O2838" s="59">
        <f t="shared" si="252"/>
        <v>0</v>
      </c>
      <c r="P2838" s="59">
        <f t="shared" si="249"/>
        <v>0</v>
      </c>
    </row>
    <row r="2839" spans="12:16" ht="15" hidden="1" customHeight="1">
      <c r="L2839" s="58" t="str">
        <f t="shared" si="250"/>
        <v>-</v>
      </c>
      <c r="M2839" s="59">
        <f t="shared" si="251"/>
        <v>0</v>
      </c>
      <c r="N2839" s="59">
        <f t="shared" si="248"/>
        <v>0</v>
      </c>
      <c r="O2839" s="59">
        <f t="shared" si="252"/>
        <v>0</v>
      </c>
      <c r="P2839" s="59">
        <f t="shared" si="249"/>
        <v>0</v>
      </c>
    </row>
    <row r="2840" spans="12:16" ht="15" hidden="1" customHeight="1">
      <c r="L2840" s="58" t="str">
        <f t="shared" si="250"/>
        <v>-</v>
      </c>
      <c r="M2840" s="59">
        <f t="shared" si="251"/>
        <v>0</v>
      </c>
      <c r="N2840" s="59">
        <f t="shared" si="248"/>
        <v>0</v>
      </c>
      <c r="O2840" s="59">
        <f t="shared" si="252"/>
        <v>0</v>
      </c>
      <c r="P2840" s="59">
        <f t="shared" si="249"/>
        <v>0</v>
      </c>
    </row>
    <row r="2841" spans="12:16" ht="15" hidden="1" customHeight="1">
      <c r="L2841" s="58" t="str">
        <f t="shared" si="250"/>
        <v>-</v>
      </c>
      <c r="M2841" s="59">
        <f t="shared" si="251"/>
        <v>0</v>
      </c>
      <c r="N2841" s="59">
        <f t="shared" si="248"/>
        <v>0</v>
      </c>
      <c r="O2841" s="59">
        <f t="shared" si="252"/>
        <v>0</v>
      </c>
      <c r="P2841" s="59">
        <f t="shared" si="249"/>
        <v>0</v>
      </c>
    </row>
    <row r="2842" spans="12:16" ht="15" hidden="1" customHeight="1">
      <c r="L2842" s="58" t="str">
        <f t="shared" si="250"/>
        <v>-</v>
      </c>
      <c r="M2842" s="59">
        <f t="shared" si="251"/>
        <v>0</v>
      </c>
      <c r="N2842" s="59">
        <f t="shared" si="248"/>
        <v>0</v>
      </c>
      <c r="O2842" s="59">
        <f t="shared" si="252"/>
        <v>0</v>
      </c>
      <c r="P2842" s="59">
        <f t="shared" si="249"/>
        <v>0</v>
      </c>
    </row>
    <row r="2843" spans="12:16" ht="15" hidden="1" customHeight="1">
      <c r="L2843" s="58" t="str">
        <f t="shared" si="250"/>
        <v>-</v>
      </c>
      <c r="M2843" s="59">
        <f t="shared" si="251"/>
        <v>0</v>
      </c>
      <c r="N2843" s="59">
        <f t="shared" si="248"/>
        <v>0</v>
      </c>
      <c r="O2843" s="59">
        <f t="shared" si="252"/>
        <v>0</v>
      </c>
      <c r="P2843" s="59">
        <f t="shared" si="249"/>
        <v>0</v>
      </c>
    </row>
    <row r="2844" spans="12:16" ht="15" hidden="1" customHeight="1">
      <c r="L2844" s="58" t="str">
        <f t="shared" si="250"/>
        <v>-</v>
      </c>
      <c r="M2844" s="59">
        <f t="shared" si="251"/>
        <v>0</v>
      </c>
      <c r="N2844" s="59">
        <f t="shared" ref="N2844:N2867" si="253">IF(ISNUMBER(N2843),N2843-M2844,$E$8)</f>
        <v>0</v>
      </c>
      <c r="O2844" s="59">
        <f t="shared" si="252"/>
        <v>0</v>
      </c>
      <c r="P2844" s="59">
        <f t="shared" ref="P2844:P2867" si="254">IFERROR(IF(ISNUMBER(N2843),N2843,$E$8)*3%/IF(MOD(YEAR(L2844),4),365,366)*IF(ISBLANK(L2843),(L2844-$F$5),L2844-L2843),0)</f>
        <v>0</v>
      </c>
    </row>
    <row r="2845" spans="12:16" ht="15" hidden="1" customHeight="1">
      <c r="L2845" s="58" t="str">
        <f t="shared" si="250"/>
        <v>-</v>
      </c>
      <c r="M2845" s="59">
        <f t="shared" si="251"/>
        <v>0</v>
      </c>
      <c r="N2845" s="59">
        <f t="shared" si="253"/>
        <v>0</v>
      </c>
      <c r="O2845" s="59">
        <f t="shared" si="252"/>
        <v>0</v>
      </c>
      <c r="P2845" s="59">
        <f t="shared" si="254"/>
        <v>0</v>
      </c>
    </row>
    <row r="2846" spans="12:16" ht="15" hidden="1" customHeight="1">
      <c r="L2846" s="58" t="str">
        <f t="shared" si="250"/>
        <v>-</v>
      </c>
      <c r="M2846" s="59">
        <f t="shared" si="251"/>
        <v>0</v>
      </c>
      <c r="N2846" s="59">
        <f t="shared" si="253"/>
        <v>0</v>
      </c>
      <c r="O2846" s="59">
        <f t="shared" si="252"/>
        <v>0</v>
      </c>
      <c r="P2846" s="59">
        <f t="shared" si="254"/>
        <v>0</v>
      </c>
    </row>
    <row r="2847" spans="12:16" ht="15" hidden="1" customHeight="1">
      <c r="L2847" s="58" t="str">
        <f t="shared" si="250"/>
        <v>-</v>
      </c>
      <c r="M2847" s="59">
        <f t="shared" si="251"/>
        <v>0</v>
      </c>
      <c r="N2847" s="59">
        <f t="shared" si="253"/>
        <v>0</v>
      </c>
      <c r="O2847" s="59">
        <f t="shared" si="252"/>
        <v>0</v>
      </c>
      <c r="P2847" s="59">
        <f t="shared" si="254"/>
        <v>0</v>
      </c>
    </row>
    <row r="2848" spans="12:16" ht="15" hidden="1" customHeight="1">
      <c r="L2848" s="58" t="str">
        <f t="shared" si="250"/>
        <v>-</v>
      </c>
      <c r="M2848" s="59">
        <f t="shared" si="251"/>
        <v>0</v>
      </c>
      <c r="N2848" s="59">
        <f t="shared" si="253"/>
        <v>0</v>
      </c>
      <c r="O2848" s="59">
        <f t="shared" si="252"/>
        <v>0</v>
      </c>
      <c r="P2848" s="59">
        <f t="shared" si="254"/>
        <v>0</v>
      </c>
    </row>
    <row r="2849" spans="12:16" ht="15" hidden="1" customHeight="1">
      <c r="L2849" s="58" t="str">
        <f t="shared" si="250"/>
        <v>-</v>
      </c>
      <c r="M2849" s="59">
        <f t="shared" si="251"/>
        <v>0</v>
      </c>
      <c r="N2849" s="59">
        <f t="shared" si="253"/>
        <v>0</v>
      </c>
      <c r="O2849" s="59">
        <f t="shared" si="252"/>
        <v>0</v>
      </c>
      <c r="P2849" s="59">
        <f t="shared" si="254"/>
        <v>0</v>
      </c>
    </row>
    <row r="2850" spans="12:16" ht="15" hidden="1" customHeight="1">
      <c r="L2850" s="58" t="str">
        <f t="shared" ref="L2850:L2913" si="255">IFERROR(IF(MAX(L2849+1,$F$5+1)&gt;Дата_погашения_Займа,"-",MAX(L2849+1,$F$5+1)),"-")</f>
        <v>-</v>
      </c>
      <c r="M2850" s="59">
        <f t="shared" si="251"/>
        <v>0</v>
      </c>
      <c r="N2850" s="59">
        <f t="shared" si="253"/>
        <v>0</v>
      </c>
      <c r="O2850" s="59">
        <f t="shared" si="252"/>
        <v>0</v>
      </c>
      <c r="P2850" s="59">
        <f t="shared" si="254"/>
        <v>0</v>
      </c>
    </row>
    <row r="2851" spans="12:16" ht="15" hidden="1" customHeight="1">
      <c r="L2851" s="58" t="str">
        <f t="shared" si="255"/>
        <v>-</v>
      </c>
      <c r="M2851" s="59">
        <f t="shared" si="251"/>
        <v>0</v>
      </c>
      <c r="N2851" s="59">
        <f t="shared" si="253"/>
        <v>0</v>
      </c>
      <c r="O2851" s="59">
        <f t="shared" si="252"/>
        <v>0</v>
      </c>
      <c r="P2851" s="59">
        <f t="shared" si="254"/>
        <v>0</v>
      </c>
    </row>
    <row r="2852" spans="12:16" ht="15" hidden="1" customHeight="1">
      <c r="L2852" s="58" t="str">
        <f t="shared" si="255"/>
        <v>-</v>
      </c>
      <c r="M2852" s="59">
        <f t="shared" si="251"/>
        <v>0</v>
      </c>
      <c r="N2852" s="59">
        <f t="shared" si="253"/>
        <v>0</v>
      </c>
      <c r="O2852" s="59">
        <f t="shared" si="252"/>
        <v>0</v>
      </c>
      <c r="P2852" s="59">
        <f t="shared" si="254"/>
        <v>0</v>
      </c>
    </row>
    <row r="2853" spans="12:16" ht="15" hidden="1" customHeight="1">
      <c r="L2853" s="58" t="str">
        <f t="shared" si="255"/>
        <v>-</v>
      </c>
      <c r="M2853" s="59">
        <f t="shared" si="251"/>
        <v>0</v>
      </c>
      <c r="N2853" s="59">
        <f t="shared" si="253"/>
        <v>0</v>
      </c>
      <c r="O2853" s="59">
        <f t="shared" si="252"/>
        <v>0</v>
      </c>
      <c r="P2853" s="59">
        <f t="shared" si="254"/>
        <v>0</v>
      </c>
    </row>
    <row r="2854" spans="12:16" ht="15" hidden="1" customHeight="1">
      <c r="L2854" s="58" t="str">
        <f t="shared" si="255"/>
        <v>-</v>
      </c>
      <c r="M2854" s="59">
        <f t="shared" si="251"/>
        <v>0</v>
      </c>
      <c r="N2854" s="59">
        <f t="shared" si="253"/>
        <v>0</v>
      </c>
      <c r="O2854" s="59">
        <f t="shared" si="252"/>
        <v>0</v>
      </c>
      <c r="P2854" s="59">
        <f t="shared" si="254"/>
        <v>0</v>
      </c>
    </row>
    <row r="2855" spans="12:16" ht="15" hidden="1" customHeight="1">
      <c r="L2855" s="58" t="str">
        <f t="shared" si="255"/>
        <v>-</v>
      </c>
      <c r="M2855" s="59">
        <f t="shared" si="251"/>
        <v>0</v>
      </c>
      <c r="N2855" s="59">
        <f t="shared" si="253"/>
        <v>0</v>
      </c>
      <c r="O2855" s="59">
        <f t="shared" si="252"/>
        <v>0</v>
      </c>
      <c r="P2855" s="59">
        <f t="shared" si="254"/>
        <v>0</v>
      </c>
    </row>
    <row r="2856" spans="12:16" ht="15" hidden="1" customHeight="1">
      <c r="L2856" s="58" t="str">
        <f t="shared" si="255"/>
        <v>-</v>
      </c>
      <c r="M2856" s="59">
        <f t="shared" si="251"/>
        <v>0</v>
      </c>
      <c r="N2856" s="59">
        <f t="shared" si="253"/>
        <v>0</v>
      </c>
      <c r="O2856" s="59">
        <f t="shared" si="252"/>
        <v>0</v>
      </c>
      <c r="P2856" s="59">
        <f t="shared" si="254"/>
        <v>0</v>
      </c>
    </row>
    <row r="2857" spans="12:16" ht="15" hidden="1" customHeight="1">
      <c r="L2857" s="58" t="str">
        <f t="shared" si="255"/>
        <v>-</v>
      </c>
      <c r="M2857" s="59">
        <f t="shared" si="251"/>
        <v>0</v>
      </c>
      <c r="N2857" s="59">
        <f t="shared" si="253"/>
        <v>0</v>
      </c>
      <c r="O2857" s="59">
        <f t="shared" si="252"/>
        <v>0</v>
      </c>
      <c r="P2857" s="59">
        <f t="shared" si="254"/>
        <v>0</v>
      </c>
    </row>
    <row r="2858" spans="12:16" ht="15" hidden="1" customHeight="1">
      <c r="L2858" s="58" t="str">
        <f t="shared" si="255"/>
        <v>-</v>
      </c>
      <c r="M2858" s="59">
        <f t="shared" si="251"/>
        <v>0</v>
      </c>
      <c r="N2858" s="59">
        <f t="shared" si="253"/>
        <v>0</v>
      </c>
      <c r="O2858" s="59">
        <f t="shared" si="252"/>
        <v>0</v>
      </c>
      <c r="P2858" s="59">
        <f t="shared" si="254"/>
        <v>0</v>
      </c>
    </row>
    <row r="2859" spans="12:16" ht="15" hidden="1" customHeight="1">
      <c r="L2859" s="58" t="str">
        <f t="shared" si="255"/>
        <v>-</v>
      </c>
      <c r="M2859" s="59">
        <f t="shared" si="251"/>
        <v>0</v>
      </c>
      <c r="N2859" s="59">
        <f t="shared" si="253"/>
        <v>0</v>
      </c>
      <c r="O2859" s="59">
        <f t="shared" si="252"/>
        <v>0</v>
      </c>
      <c r="P2859" s="59">
        <f t="shared" si="254"/>
        <v>0</v>
      </c>
    </row>
    <row r="2860" spans="12:16" ht="15" hidden="1" customHeight="1">
      <c r="L2860" s="58" t="str">
        <f t="shared" si="255"/>
        <v>-</v>
      </c>
      <c r="M2860" s="59">
        <f t="shared" si="251"/>
        <v>0</v>
      </c>
      <c r="N2860" s="59">
        <f t="shared" si="253"/>
        <v>0</v>
      </c>
      <c r="O2860" s="59">
        <f t="shared" si="252"/>
        <v>0</v>
      </c>
      <c r="P2860" s="59">
        <f t="shared" si="254"/>
        <v>0</v>
      </c>
    </row>
    <row r="2861" spans="12:16" ht="15" hidden="1" customHeight="1">
      <c r="L2861" s="58" t="str">
        <f t="shared" si="255"/>
        <v>-</v>
      </c>
      <c r="M2861" s="59">
        <f t="shared" si="251"/>
        <v>0</v>
      </c>
      <c r="N2861" s="59">
        <f t="shared" si="253"/>
        <v>0</v>
      </c>
      <c r="O2861" s="59">
        <f t="shared" si="252"/>
        <v>0</v>
      </c>
      <c r="P2861" s="59">
        <f t="shared" si="254"/>
        <v>0</v>
      </c>
    </row>
    <row r="2862" spans="12:16" ht="15" hidden="1" customHeight="1">
      <c r="L2862" s="58" t="str">
        <f t="shared" si="255"/>
        <v>-</v>
      </c>
      <c r="M2862" s="59">
        <f t="shared" si="251"/>
        <v>0</v>
      </c>
      <c r="N2862" s="59">
        <f t="shared" si="253"/>
        <v>0</v>
      </c>
      <c r="O2862" s="59">
        <f t="shared" si="252"/>
        <v>0</v>
      </c>
      <c r="P2862" s="59">
        <f t="shared" si="254"/>
        <v>0</v>
      </c>
    </row>
    <row r="2863" spans="12:16" ht="15" hidden="1" customHeight="1">
      <c r="L2863" s="58" t="str">
        <f t="shared" si="255"/>
        <v>-</v>
      </c>
      <c r="M2863" s="59">
        <f t="shared" si="251"/>
        <v>0</v>
      </c>
      <c r="N2863" s="59">
        <f t="shared" si="253"/>
        <v>0</v>
      </c>
      <c r="O2863" s="59">
        <f t="shared" si="252"/>
        <v>0</v>
      </c>
      <c r="P2863" s="59">
        <f t="shared" si="254"/>
        <v>0</v>
      </c>
    </row>
    <row r="2864" spans="12:16" ht="15" hidden="1" customHeight="1">
      <c r="L2864" s="58" t="str">
        <f t="shared" si="255"/>
        <v>-</v>
      </c>
      <c r="M2864" s="59">
        <f t="shared" si="251"/>
        <v>0</v>
      </c>
      <c r="N2864" s="59">
        <f t="shared" si="253"/>
        <v>0</v>
      </c>
      <c r="O2864" s="59">
        <f t="shared" si="252"/>
        <v>0</v>
      </c>
      <c r="P2864" s="59">
        <f t="shared" si="254"/>
        <v>0</v>
      </c>
    </row>
    <row r="2865" spans="12:16" ht="15" hidden="1" customHeight="1">
      <c r="L2865" s="58" t="str">
        <f t="shared" si="255"/>
        <v>-</v>
      </c>
      <c r="M2865" s="59">
        <f t="shared" si="251"/>
        <v>0</v>
      </c>
      <c r="N2865" s="59">
        <f t="shared" si="253"/>
        <v>0</v>
      </c>
      <c r="O2865" s="59">
        <f t="shared" si="252"/>
        <v>0</v>
      </c>
      <c r="P2865" s="59">
        <f t="shared" si="254"/>
        <v>0</v>
      </c>
    </row>
    <row r="2866" spans="12:16" ht="15" hidden="1" customHeight="1">
      <c r="L2866" s="58" t="str">
        <f t="shared" si="255"/>
        <v>-</v>
      </c>
      <c r="M2866" s="59">
        <f t="shared" si="251"/>
        <v>0</v>
      </c>
      <c r="N2866" s="59">
        <f t="shared" si="253"/>
        <v>0</v>
      </c>
      <c r="O2866" s="59">
        <f t="shared" si="252"/>
        <v>0</v>
      </c>
      <c r="P2866" s="59">
        <f t="shared" si="254"/>
        <v>0</v>
      </c>
    </row>
    <row r="2867" spans="12:16" ht="15" hidden="1" customHeight="1">
      <c r="L2867" s="58" t="str">
        <f t="shared" si="255"/>
        <v>-</v>
      </c>
      <c r="M2867" s="59">
        <f t="shared" si="251"/>
        <v>0</v>
      </c>
      <c r="N2867" s="59">
        <f t="shared" si="253"/>
        <v>0</v>
      </c>
      <c r="O2867" s="59">
        <f t="shared" si="252"/>
        <v>0</v>
      </c>
      <c r="P2867" s="59">
        <f t="shared" si="254"/>
        <v>0</v>
      </c>
    </row>
    <row r="2868" spans="12:16" ht="15" hidden="1" customHeight="1">
      <c r="L2868" s="58" t="str">
        <f t="shared" si="255"/>
        <v>-</v>
      </c>
      <c r="M2868" s="59">
        <f t="shared" si="251"/>
        <v>0</v>
      </c>
      <c r="N2868" s="59">
        <f t="shared" ref="N2868:N2931" si="256">IF(ISNUMBER(N2867),N2867-M2868,$E$8)</f>
        <v>0</v>
      </c>
      <c r="O2868" s="59">
        <f t="shared" si="252"/>
        <v>0</v>
      </c>
      <c r="P2868" s="59">
        <f t="shared" ref="P2868:P2931" si="257">IFERROR(IF(ISNUMBER(N2867),N2867,$E$8)*3%/IF(MOD(YEAR(L2868),4),365,366)*IF(ISBLANK(L2867),(L2868-$F$5),L2868-L2867),0)</f>
        <v>0</v>
      </c>
    </row>
    <row r="2869" spans="12:16" ht="15" hidden="1" customHeight="1">
      <c r="L2869" s="58" t="str">
        <f t="shared" si="255"/>
        <v>-</v>
      </c>
      <c r="M2869" s="59">
        <f t="shared" si="251"/>
        <v>0</v>
      </c>
      <c r="N2869" s="59">
        <f t="shared" si="256"/>
        <v>0</v>
      </c>
      <c r="O2869" s="59">
        <f t="shared" si="252"/>
        <v>0</v>
      </c>
      <c r="P2869" s="59">
        <f t="shared" si="257"/>
        <v>0</v>
      </c>
    </row>
    <row r="2870" spans="12:16" ht="15" hidden="1" customHeight="1">
      <c r="L2870" s="58" t="str">
        <f t="shared" si="255"/>
        <v>-</v>
      </c>
      <c r="M2870" s="59">
        <f t="shared" si="251"/>
        <v>0</v>
      </c>
      <c r="N2870" s="59">
        <f t="shared" si="256"/>
        <v>0</v>
      </c>
      <c r="O2870" s="59">
        <f t="shared" si="252"/>
        <v>0</v>
      </c>
      <c r="P2870" s="59">
        <f t="shared" si="257"/>
        <v>0</v>
      </c>
    </row>
    <row r="2871" spans="12:16" ht="15" hidden="1" customHeight="1">
      <c r="L2871" s="58" t="str">
        <f t="shared" si="255"/>
        <v>-</v>
      </c>
      <c r="M2871" s="59">
        <f t="shared" si="251"/>
        <v>0</v>
      </c>
      <c r="N2871" s="59">
        <f t="shared" si="256"/>
        <v>0</v>
      </c>
      <c r="O2871" s="59">
        <f t="shared" si="252"/>
        <v>0</v>
      </c>
      <c r="P2871" s="59">
        <f t="shared" si="257"/>
        <v>0</v>
      </c>
    </row>
    <row r="2872" spans="12:16" ht="15" hidden="1" customHeight="1">
      <c r="L2872" s="58" t="str">
        <f t="shared" si="255"/>
        <v>-</v>
      </c>
      <c r="M2872" s="59">
        <f t="shared" si="251"/>
        <v>0</v>
      </c>
      <c r="N2872" s="59">
        <f t="shared" si="256"/>
        <v>0</v>
      </c>
      <c r="O2872" s="59">
        <f t="shared" si="252"/>
        <v>0</v>
      </c>
      <c r="P2872" s="59">
        <f t="shared" si="257"/>
        <v>0</v>
      </c>
    </row>
    <row r="2873" spans="12:16" ht="15" hidden="1" customHeight="1">
      <c r="L2873" s="58" t="str">
        <f t="shared" si="255"/>
        <v>-</v>
      </c>
      <c r="M2873" s="59">
        <f t="shared" si="251"/>
        <v>0</v>
      </c>
      <c r="N2873" s="59">
        <f t="shared" si="256"/>
        <v>0</v>
      </c>
      <c r="O2873" s="59">
        <f t="shared" si="252"/>
        <v>0</v>
      </c>
      <c r="P2873" s="59">
        <f t="shared" si="257"/>
        <v>0</v>
      </c>
    </row>
    <row r="2874" spans="12:16" ht="15" hidden="1" customHeight="1">
      <c r="L2874" s="58" t="str">
        <f t="shared" si="255"/>
        <v>-</v>
      </c>
      <c r="M2874" s="59">
        <f t="shared" si="251"/>
        <v>0</v>
      </c>
      <c r="N2874" s="59">
        <f t="shared" si="256"/>
        <v>0</v>
      </c>
      <c r="O2874" s="59">
        <f t="shared" si="252"/>
        <v>0</v>
      </c>
      <c r="P2874" s="59">
        <f t="shared" si="257"/>
        <v>0</v>
      </c>
    </row>
    <row r="2875" spans="12:16" ht="15" hidden="1" customHeight="1">
      <c r="L2875" s="58" t="str">
        <f t="shared" si="255"/>
        <v>-</v>
      </c>
      <c r="M2875" s="59">
        <f t="shared" si="251"/>
        <v>0</v>
      </c>
      <c r="N2875" s="59">
        <f t="shared" si="256"/>
        <v>0</v>
      </c>
      <c r="O2875" s="59">
        <f t="shared" si="252"/>
        <v>0</v>
      </c>
      <c r="P2875" s="59">
        <f t="shared" si="257"/>
        <v>0</v>
      </c>
    </row>
    <row r="2876" spans="12:16" ht="15" hidden="1" customHeight="1">
      <c r="L2876" s="58" t="str">
        <f t="shared" si="255"/>
        <v>-</v>
      </c>
      <c r="M2876" s="59">
        <f t="shared" si="251"/>
        <v>0</v>
      </c>
      <c r="N2876" s="59">
        <f t="shared" si="256"/>
        <v>0</v>
      </c>
      <c r="O2876" s="59">
        <f t="shared" si="252"/>
        <v>0</v>
      </c>
      <c r="P2876" s="59">
        <f t="shared" si="257"/>
        <v>0</v>
      </c>
    </row>
    <row r="2877" spans="12:16" ht="15" hidden="1" customHeight="1">
      <c r="L2877" s="58" t="str">
        <f t="shared" si="255"/>
        <v>-</v>
      </c>
      <c r="M2877" s="59">
        <f t="shared" si="251"/>
        <v>0</v>
      </c>
      <c r="N2877" s="59">
        <f t="shared" si="256"/>
        <v>0</v>
      </c>
      <c r="O2877" s="59">
        <f t="shared" si="252"/>
        <v>0</v>
      </c>
      <c r="P2877" s="59">
        <f t="shared" si="257"/>
        <v>0</v>
      </c>
    </row>
    <row r="2878" spans="12:16" ht="15" hidden="1" customHeight="1">
      <c r="L2878" s="58" t="str">
        <f t="shared" si="255"/>
        <v>-</v>
      </c>
      <c r="M2878" s="59">
        <f t="shared" si="251"/>
        <v>0</v>
      </c>
      <c r="N2878" s="59">
        <f t="shared" si="256"/>
        <v>0</v>
      </c>
      <c r="O2878" s="59">
        <f t="shared" si="252"/>
        <v>0</v>
      </c>
      <c r="P2878" s="59">
        <f t="shared" si="257"/>
        <v>0</v>
      </c>
    </row>
    <row r="2879" spans="12:16" ht="15" hidden="1" customHeight="1">
      <c r="L2879" s="58" t="str">
        <f t="shared" si="255"/>
        <v>-</v>
      </c>
      <c r="M2879" s="59">
        <f t="shared" si="251"/>
        <v>0</v>
      </c>
      <c r="N2879" s="59">
        <f t="shared" si="256"/>
        <v>0</v>
      </c>
      <c r="O2879" s="59">
        <f t="shared" si="252"/>
        <v>0</v>
      </c>
      <c r="P2879" s="59">
        <f t="shared" si="257"/>
        <v>0</v>
      </c>
    </row>
    <row r="2880" spans="12:16" ht="15" hidden="1" customHeight="1">
      <c r="L2880" s="58" t="str">
        <f t="shared" si="255"/>
        <v>-</v>
      </c>
      <c r="M2880" s="59">
        <f t="shared" si="251"/>
        <v>0</v>
      </c>
      <c r="N2880" s="59">
        <f t="shared" si="256"/>
        <v>0</v>
      </c>
      <c r="O2880" s="59">
        <f t="shared" si="252"/>
        <v>0</v>
      </c>
      <c r="P2880" s="59">
        <f t="shared" si="257"/>
        <v>0</v>
      </c>
    </row>
    <row r="2881" spans="12:16" ht="15" hidden="1" customHeight="1">
      <c r="L2881" s="58" t="str">
        <f t="shared" si="255"/>
        <v>-</v>
      </c>
      <c r="M2881" s="59">
        <f t="shared" si="251"/>
        <v>0</v>
      </c>
      <c r="N2881" s="59">
        <f t="shared" si="256"/>
        <v>0</v>
      </c>
      <c r="O2881" s="59">
        <f t="shared" si="252"/>
        <v>0</v>
      </c>
      <c r="P2881" s="59">
        <f t="shared" si="257"/>
        <v>0</v>
      </c>
    </row>
    <row r="2882" spans="12:16" ht="15" hidden="1" customHeight="1">
      <c r="L2882" s="58" t="str">
        <f t="shared" si="255"/>
        <v>-</v>
      </c>
      <c r="M2882" s="59">
        <f t="shared" si="251"/>
        <v>0</v>
      </c>
      <c r="N2882" s="59">
        <f t="shared" si="256"/>
        <v>0</v>
      </c>
      <c r="O2882" s="59">
        <f t="shared" si="252"/>
        <v>0</v>
      </c>
      <c r="P2882" s="59">
        <f t="shared" si="257"/>
        <v>0</v>
      </c>
    </row>
    <row r="2883" spans="12:16" ht="15" hidden="1" customHeight="1">
      <c r="L2883" s="58" t="str">
        <f t="shared" si="255"/>
        <v>-</v>
      </c>
      <c r="M2883" s="59">
        <f t="shared" si="251"/>
        <v>0</v>
      </c>
      <c r="N2883" s="59">
        <f t="shared" si="256"/>
        <v>0</v>
      </c>
      <c r="O2883" s="59">
        <f t="shared" si="252"/>
        <v>0</v>
      </c>
      <c r="P2883" s="59">
        <f t="shared" si="257"/>
        <v>0</v>
      </c>
    </row>
    <row r="2884" spans="12:16" ht="15" hidden="1" customHeight="1">
      <c r="L2884" s="58" t="str">
        <f t="shared" si="255"/>
        <v>-</v>
      </c>
      <c r="M2884" s="59">
        <f t="shared" si="251"/>
        <v>0</v>
      </c>
      <c r="N2884" s="59">
        <f t="shared" si="256"/>
        <v>0</v>
      </c>
      <c r="O2884" s="59">
        <f t="shared" si="252"/>
        <v>0</v>
      </c>
      <c r="P2884" s="59">
        <f t="shared" si="257"/>
        <v>0</v>
      </c>
    </row>
    <row r="2885" spans="12:16" ht="15" hidden="1" customHeight="1">
      <c r="L2885" s="58" t="str">
        <f t="shared" si="255"/>
        <v>-</v>
      </c>
      <c r="M2885" s="59">
        <f t="shared" si="251"/>
        <v>0</v>
      </c>
      <c r="N2885" s="59">
        <f t="shared" si="256"/>
        <v>0</v>
      </c>
      <c r="O2885" s="59">
        <f t="shared" si="252"/>
        <v>0</v>
      </c>
      <c r="P2885" s="59">
        <f t="shared" si="257"/>
        <v>0</v>
      </c>
    </row>
    <row r="2886" spans="12:16" ht="15" hidden="1" customHeight="1">
      <c r="L2886" s="58" t="str">
        <f t="shared" si="255"/>
        <v>-</v>
      </c>
      <c r="M2886" s="59">
        <f t="shared" si="251"/>
        <v>0</v>
      </c>
      <c r="N2886" s="59">
        <f t="shared" si="256"/>
        <v>0</v>
      </c>
      <c r="O2886" s="59">
        <f t="shared" si="252"/>
        <v>0</v>
      </c>
      <c r="P2886" s="59">
        <f t="shared" si="257"/>
        <v>0</v>
      </c>
    </row>
    <row r="2887" spans="12:16" ht="15" hidden="1" customHeight="1">
      <c r="L2887" s="58" t="str">
        <f t="shared" si="255"/>
        <v>-</v>
      </c>
      <c r="M2887" s="59">
        <f t="shared" si="251"/>
        <v>0</v>
      </c>
      <c r="N2887" s="59">
        <f t="shared" si="256"/>
        <v>0</v>
      </c>
      <c r="O2887" s="59">
        <f t="shared" si="252"/>
        <v>0</v>
      </c>
      <c r="P2887" s="59">
        <f t="shared" si="257"/>
        <v>0</v>
      </c>
    </row>
    <row r="2888" spans="12:16" ht="15" hidden="1" customHeight="1">
      <c r="L2888" s="58" t="str">
        <f t="shared" si="255"/>
        <v>-</v>
      </c>
      <c r="M2888" s="59">
        <f t="shared" si="251"/>
        <v>0</v>
      </c>
      <c r="N2888" s="59">
        <f t="shared" si="256"/>
        <v>0</v>
      </c>
      <c r="O2888" s="59">
        <f t="shared" si="252"/>
        <v>0</v>
      </c>
      <c r="P2888" s="59">
        <f t="shared" si="257"/>
        <v>0</v>
      </c>
    </row>
    <row r="2889" spans="12:16" ht="15" hidden="1" customHeight="1">
      <c r="L2889" s="58" t="str">
        <f t="shared" si="255"/>
        <v>-</v>
      </c>
      <c r="M2889" s="59">
        <f t="shared" si="251"/>
        <v>0</v>
      </c>
      <c r="N2889" s="59">
        <f t="shared" si="256"/>
        <v>0</v>
      </c>
      <c r="O2889" s="59">
        <f t="shared" si="252"/>
        <v>0</v>
      </c>
      <c r="P2889" s="59">
        <f t="shared" si="257"/>
        <v>0</v>
      </c>
    </row>
    <row r="2890" spans="12:16" ht="15" hidden="1" customHeight="1">
      <c r="L2890" s="58" t="str">
        <f t="shared" si="255"/>
        <v>-</v>
      </c>
      <c r="M2890" s="59">
        <f t="shared" si="251"/>
        <v>0</v>
      </c>
      <c r="N2890" s="59">
        <f t="shared" si="256"/>
        <v>0</v>
      </c>
      <c r="O2890" s="59">
        <f t="shared" si="252"/>
        <v>0</v>
      </c>
      <c r="P2890" s="59">
        <f t="shared" si="257"/>
        <v>0</v>
      </c>
    </row>
    <row r="2891" spans="12:16" ht="15" hidden="1" customHeight="1">
      <c r="L2891" s="58" t="str">
        <f t="shared" si="255"/>
        <v>-</v>
      </c>
      <c r="M2891" s="59">
        <f t="shared" si="251"/>
        <v>0</v>
      </c>
      <c r="N2891" s="59">
        <f t="shared" si="256"/>
        <v>0</v>
      </c>
      <c r="O2891" s="59">
        <f t="shared" si="252"/>
        <v>0</v>
      </c>
      <c r="P2891" s="59">
        <f t="shared" si="257"/>
        <v>0</v>
      </c>
    </row>
    <row r="2892" spans="12:16" ht="15" hidden="1" customHeight="1">
      <c r="L2892" s="58" t="str">
        <f t="shared" si="255"/>
        <v>-</v>
      </c>
      <c r="M2892" s="59">
        <f t="shared" si="251"/>
        <v>0</v>
      </c>
      <c r="N2892" s="59">
        <f t="shared" si="256"/>
        <v>0</v>
      </c>
      <c r="O2892" s="59">
        <f t="shared" si="252"/>
        <v>0</v>
      </c>
      <c r="P2892" s="59">
        <f t="shared" si="257"/>
        <v>0</v>
      </c>
    </row>
    <row r="2893" spans="12:16" ht="15" hidden="1" customHeight="1">
      <c r="L2893" s="58" t="str">
        <f t="shared" si="255"/>
        <v>-</v>
      </c>
      <c r="M2893" s="59">
        <f t="shared" si="251"/>
        <v>0</v>
      </c>
      <c r="N2893" s="59">
        <f t="shared" si="256"/>
        <v>0</v>
      </c>
      <c r="O2893" s="59">
        <f t="shared" si="252"/>
        <v>0</v>
      </c>
      <c r="P2893" s="59">
        <f t="shared" si="257"/>
        <v>0</v>
      </c>
    </row>
    <row r="2894" spans="12:16" ht="15" hidden="1" customHeight="1">
      <c r="L2894" s="58" t="str">
        <f t="shared" si="255"/>
        <v>-</v>
      </c>
      <c r="M2894" s="59">
        <f t="shared" si="251"/>
        <v>0</v>
      </c>
      <c r="N2894" s="59">
        <f t="shared" si="256"/>
        <v>0</v>
      </c>
      <c r="O2894" s="59">
        <f t="shared" si="252"/>
        <v>0</v>
      </c>
      <c r="P2894" s="59">
        <f t="shared" si="257"/>
        <v>0</v>
      </c>
    </row>
    <row r="2895" spans="12:16" ht="15" hidden="1" customHeight="1">
      <c r="L2895" s="58" t="str">
        <f t="shared" si="255"/>
        <v>-</v>
      </c>
      <c r="M2895" s="59">
        <f t="shared" si="251"/>
        <v>0</v>
      </c>
      <c r="N2895" s="59">
        <f t="shared" si="256"/>
        <v>0</v>
      </c>
      <c r="O2895" s="59">
        <f t="shared" si="252"/>
        <v>0</v>
      </c>
      <c r="P2895" s="59">
        <f t="shared" si="257"/>
        <v>0</v>
      </c>
    </row>
    <row r="2896" spans="12:16" ht="15" hidden="1" customHeight="1">
      <c r="L2896" s="58" t="str">
        <f t="shared" si="255"/>
        <v>-</v>
      </c>
      <c r="M2896" s="59">
        <f t="shared" si="251"/>
        <v>0</v>
      </c>
      <c r="N2896" s="59">
        <f t="shared" si="256"/>
        <v>0</v>
      </c>
      <c r="O2896" s="59">
        <f t="shared" si="252"/>
        <v>0</v>
      </c>
      <c r="P2896" s="59">
        <f t="shared" si="257"/>
        <v>0</v>
      </c>
    </row>
    <row r="2897" spans="12:16" ht="15" hidden="1" customHeight="1">
      <c r="L2897" s="58" t="str">
        <f t="shared" si="255"/>
        <v>-</v>
      </c>
      <c r="M2897" s="59">
        <f t="shared" si="251"/>
        <v>0</v>
      </c>
      <c r="N2897" s="59">
        <f t="shared" si="256"/>
        <v>0</v>
      </c>
      <c r="O2897" s="59">
        <f t="shared" si="252"/>
        <v>0</v>
      </c>
      <c r="P2897" s="59">
        <f t="shared" si="257"/>
        <v>0</v>
      </c>
    </row>
    <row r="2898" spans="12:16" ht="15" hidden="1" customHeight="1">
      <c r="L2898" s="58" t="str">
        <f t="shared" si="255"/>
        <v>-</v>
      </c>
      <c r="M2898" s="59">
        <f t="shared" si="251"/>
        <v>0</v>
      </c>
      <c r="N2898" s="59">
        <f t="shared" si="256"/>
        <v>0</v>
      </c>
      <c r="O2898" s="59">
        <f t="shared" si="252"/>
        <v>0</v>
      </c>
      <c r="P2898" s="59">
        <f t="shared" si="257"/>
        <v>0</v>
      </c>
    </row>
    <row r="2899" spans="12:16" ht="15" hidden="1" customHeight="1">
      <c r="L2899" s="58" t="str">
        <f t="shared" si="255"/>
        <v>-</v>
      </c>
      <c r="M2899" s="59">
        <f t="shared" ref="M2899:M2962" si="258">IFERROR(VLOOKUP(L2899,$B$19:$E$80,4,FALSE),0)</f>
        <v>0</v>
      </c>
      <c r="N2899" s="59">
        <f t="shared" si="256"/>
        <v>0</v>
      </c>
      <c r="O2899" s="59">
        <f t="shared" ref="O2899:O2962" si="259">IFERROR(IF(ISNUMBER(N2898),N2898,$E$8)*IF(L2899&gt;=$J$8,$E$12,$E$12)/IF(MOD(YEAR(L2899),4),365,366)*IF(ISBLANK(L2898),L2899-$F$5,L2899-L2898),0)</f>
        <v>0</v>
      </c>
      <c r="P2899" s="59">
        <f t="shared" si="257"/>
        <v>0</v>
      </c>
    </row>
    <row r="2900" spans="12:16" ht="15" hidden="1" customHeight="1">
      <c r="L2900" s="58" t="str">
        <f t="shared" si="255"/>
        <v>-</v>
      </c>
      <c r="M2900" s="59">
        <f t="shared" si="258"/>
        <v>0</v>
      </c>
      <c r="N2900" s="59">
        <f t="shared" si="256"/>
        <v>0</v>
      </c>
      <c r="O2900" s="59">
        <f t="shared" si="259"/>
        <v>0</v>
      </c>
      <c r="P2900" s="59">
        <f t="shared" si="257"/>
        <v>0</v>
      </c>
    </row>
    <row r="2901" spans="12:16" ht="15" hidden="1" customHeight="1">
      <c r="L2901" s="58" t="str">
        <f t="shared" si="255"/>
        <v>-</v>
      </c>
      <c r="M2901" s="59">
        <f t="shared" si="258"/>
        <v>0</v>
      </c>
      <c r="N2901" s="59">
        <f t="shared" si="256"/>
        <v>0</v>
      </c>
      <c r="O2901" s="59">
        <f t="shared" si="259"/>
        <v>0</v>
      </c>
      <c r="P2901" s="59">
        <f t="shared" si="257"/>
        <v>0</v>
      </c>
    </row>
    <row r="2902" spans="12:16" ht="15" hidden="1" customHeight="1">
      <c r="L2902" s="58" t="str">
        <f t="shared" si="255"/>
        <v>-</v>
      </c>
      <c r="M2902" s="59">
        <f t="shared" si="258"/>
        <v>0</v>
      </c>
      <c r="N2902" s="59">
        <f t="shared" si="256"/>
        <v>0</v>
      </c>
      <c r="O2902" s="59">
        <f t="shared" si="259"/>
        <v>0</v>
      </c>
      <c r="P2902" s="59">
        <f t="shared" si="257"/>
        <v>0</v>
      </c>
    </row>
    <row r="2903" spans="12:16" ht="15" hidden="1" customHeight="1">
      <c r="L2903" s="58" t="str">
        <f t="shared" si="255"/>
        <v>-</v>
      </c>
      <c r="M2903" s="59">
        <f t="shared" si="258"/>
        <v>0</v>
      </c>
      <c r="N2903" s="59">
        <f t="shared" si="256"/>
        <v>0</v>
      </c>
      <c r="O2903" s="59">
        <f t="shared" si="259"/>
        <v>0</v>
      </c>
      <c r="P2903" s="59">
        <f t="shared" si="257"/>
        <v>0</v>
      </c>
    </row>
    <row r="2904" spans="12:16" ht="15" hidden="1" customHeight="1">
      <c r="L2904" s="58" t="str">
        <f t="shared" si="255"/>
        <v>-</v>
      </c>
      <c r="M2904" s="59">
        <f t="shared" si="258"/>
        <v>0</v>
      </c>
      <c r="N2904" s="59">
        <f t="shared" si="256"/>
        <v>0</v>
      </c>
      <c r="O2904" s="59">
        <f t="shared" si="259"/>
        <v>0</v>
      </c>
      <c r="P2904" s="59">
        <f t="shared" si="257"/>
        <v>0</v>
      </c>
    </row>
    <row r="2905" spans="12:16" ht="15" hidden="1" customHeight="1">
      <c r="L2905" s="58" t="str">
        <f t="shared" si="255"/>
        <v>-</v>
      </c>
      <c r="M2905" s="59">
        <f t="shared" si="258"/>
        <v>0</v>
      </c>
      <c r="N2905" s="59">
        <f t="shared" si="256"/>
        <v>0</v>
      </c>
      <c r="O2905" s="59">
        <f t="shared" si="259"/>
        <v>0</v>
      </c>
      <c r="P2905" s="59">
        <f t="shared" si="257"/>
        <v>0</v>
      </c>
    </row>
    <row r="2906" spans="12:16" ht="15" hidden="1" customHeight="1">
      <c r="L2906" s="58" t="str">
        <f t="shared" si="255"/>
        <v>-</v>
      </c>
      <c r="M2906" s="59">
        <f t="shared" si="258"/>
        <v>0</v>
      </c>
      <c r="N2906" s="59">
        <f t="shared" si="256"/>
        <v>0</v>
      </c>
      <c r="O2906" s="59">
        <f t="shared" si="259"/>
        <v>0</v>
      </c>
      <c r="P2906" s="59">
        <f t="shared" si="257"/>
        <v>0</v>
      </c>
    </row>
    <row r="2907" spans="12:16" ht="15" hidden="1" customHeight="1">
      <c r="L2907" s="58" t="str">
        <f t="shared" si="255"/>
        <v>-</v>
      </c>
      <c r="M2907" s="59">
        <f t="shared" si="258"/>
        <v>0</v>
      </c>
      <c r="N2907" s="59">
        <f t="shared" si="256"/>
        <v>0</v>
      </c>
      <c r="O2907" s="59">
        <f t="shared" si="259"/>
        <v>0</v>
      </c>
      <c r="P2907" s="59">
        <f t="shared" si="257"/>
        <v>0</v>
      </c>
    </row>
    <row r="2908" spans="12:16" ht="15" hidden="1" customHeight="1">
      <c r="L2908" s="58" t="str">
        <f t="shared" si="255"/>
        <v>-</v>
      </c>
      <c r="M2908" s="59">
        <f t="shared" si="258"/>
        <v>0</v>
      </c>
      <c r="N2908" s="59">
        <f t="shared" si="256"/>
        <v>0</v>
      </c>
      <c r="O2908" s="59">
        <f t="shared" si="259"/>
        <v>0</v>
      </c>
      <c r="P2908" s="59">
        <f t="shared" si="257"/>
        <v>0</v>
      </c>
    </row>
    <row r="2909" spans="12:16" ht="15" hidden="1" customHeight="1">
      <c r="L2909" s="58" t="str">
        <f t="shared" si="255"/>
        <v>-</v>
      </c>
      <c r="M2909" s="59">
        <f t="shared" si="258"/>
        <v>0</v>
      </c>
      <c r="N2909" s="59">
        <f t="shared" si="256"/>
        <v>0</v>
      </c>
      <c r="O2909" s="59">
        <f t="shared" si="259"/>
        <v>0</v>
      </c>
      <c r="P2909" s="59">
        <f t="shared" si="257"/>
        <v>0</v>
      </c>
    </row>
    <row r="2910" spans="12:16" ht="15" hidden="1" customHeight="1">
      <c r="L2910" s="58" t="str">
        <f t="shared" si="255"/>
        <v>-</v>
      </c>
      <c r="M2910" s="59">
        <f t="shared" si="258"/>
        <v>0</v>
      </c>
      <c r="N2910" s="59">
        <f t="shared" si="256"/>
        <v>0</v>
      </c>
      <c r="O2910" s="59">
        <f t="shared" si="259"/>
        <v>0</v>
      </c>
      <c r="P2910" s="59">
        <f t="shared" si="257"/>
        <v>0</v>
      </c>
    </row>
    <row r="2911" spans="12:16" ht="15" hidden="1" customHeight="1">
      <c r="L2911" s="58" t="str">
        <f t="shared" si="255"/>
        <v>-</v>
      </c>
      <c r="M2911" s="59">
        <f t="shared" si="258"/>
        <v>0</v>
      </c>
      <c r="N2911" s="59">
        <f t="shared" si="256"/>
        <v>0</v>
      </c>
      <c r="O2911" s="59">
        <f t="shared" si="259"/>
        <v>0</v>
      </c>
      <c r="P2911" s="59">
        <f t="shared" si="257"/>
        <v>0</v>
      </c>
    </row>
    <row r="2912" spans="12:16" ht="15" hidden="1" customHeight="1">
      <c r="L2912" s="58" t="str">
        <f t="shared" si="255"/>
        <v>-</v>
      </c>
      <c r="M2912" s="59">
        <f t="shared" si="258"/>
        <v>0</v>
      </c>
      <c r="N2912" s="59">
        <f t="shared" si="256"/>
        <v>0</v>
      </c>
      <c r="O2912" s="59">
        <f t="shared" si="259"/>
        <v>0</v>
      </c>
      <c r="P2912" s="59">
        <f t="shared" si="257"/>
        <v>0</v>
      </c>
    </row>
    <row r="2913" spans="12:16" ht="15" hidden="1" customHeight="1">
      <c r="L2913" s="58" t="str">
        <f t="shared" si="255"/>
        <v>-</v>
      </c>
      <c r="M2913" s="59">
        <f t="shared" si="258"/>
        <v>0</v>
      </c>
      <c r="N2913" s="59">
        <f t="shared" si="256"/>
        <v>0</v>
      </c>
      <c r="O2913" s="59">
        <f t="shared" si="259"/>
        <v>0</v>
      </c>
      <c r="P2913" s="59">
        <f t="shared" si="257"/>
        <v>0</v>
      </c>
    </row>
    <row r="2914" spans="12:16" ht="15" hidden="1" customHeight="1">
      <c r="L2914" s="58" t="str">
        <f t="shared" ref="L2914:L2977" si="260">IFERROR(IF(MAX(L2913+1,$F$5+1)&gt;Дата_погашения_Займа,"-",MAX(L2913+1,$F$5+1)),"-")</f>
        <v>-</v>
      </c>
      <c r="M2914" s="59">
        <f t="shared" si="258"/>
        <v>0</v>
      </c>
      <c r="N2914" s="59">
        <f t="shared" si="256"/>
        <v>0</v>
      </c>
      <c r="O2914" s="59">
        <f t="shared" si="259"/>
        <v>0</v>
      </c>
      <c r="P2914" s="59">
        <f t="shared" si="257"/>
        <v>0</v>
      </c>
    </row>
    <row r="2915" spans="12:16" ht="15" hidden="1" customHeight="1">
      <c r="L2915" s="58" t="str">
        <f t="shared" si="260"/>
        <v>-</v>
      </c>
      <c r="M2915" s="59">
        <f t="shared" si="258"/>
        <v>0</v>
      </c>
      <c r="N2915" s="59">
        <f t="shared" si="256"/>
        <v>0</v>
      </c>
      <c r="O2915" s="59">
        <f t="shared" si="259"/>
        <v>0</v>
      </c>
      <c r="P2915" s="59">
        <f t="shared" si="257"/>
        <v>0</v>
      </c>
    </row>
    <row r="2916" spans="12:16" ht="15" hidden="1" customHeight="1">
      <c r="L2916" s="58" t="str">
        <f t="shared" si="260"/>
        <v>-</v>
      </c>
      <c r="M2916" s="59">
        <f t="shared" si="258"/>
        <v>0</v>
      </c>
      <c r="N2916" s="59">
        <f t="shared" si="256"/>
        <v>0</v>
      </c>
      <c r="O2916" s="59">
        <f t="shared" si="259"/>
        <v>0</v>
      </c>
      <c r="P2916" s="59">
        <f t="shared" si="257"/>
        <v>0</v>
      </c>
    </row>
    <row r="2917" spans="12:16" ht="15" hidden="1" customHeight="1">
      <c r="L2917" s="58" t="str">
        <f t="shared" si="260"/>
        <v>-</v>
      </c>
      <c r="M2917" s="59">
        <f t="shared" si="258"/>
        <v>0</v>
      </c>
      <c r="N2917" s="59">
        <f t="shared" si="256"/>
        <v>0</v>
      </c>
      <c r="O2917" s="59">
        <f t="shared" si="259"/>
        <v>0</v>
      </c>
      <c r="P2917" s="59">
        <f t="shared" si="257"/>
        <v>0</v>
      </c>
    </row>
    <row r="2918" spans="12:16" ht="15" hidden="1" customHeight="1">
      <c r="L2918" s="58" t="str">
        <f t="shared" si="260"/>
        <v>-</v>
      </c>
      <c r="M2918" s="59">
        <f t="shared" si="258"/>
        <v>0</v>
      </c>
      <c r="N2918" s="59">
        <f t="shared" si="256"/>
        <v>0</v>
      </c>
      <c r="O2918" s="59">
        <f t="shared" si="259"/>
        <v>0</v>
      </c>
      <c r="P2918" s="59">
        <f t="shared" si="257"/>
        <v>0</v>
      </c>
    </row>
    <row r="2919" spans="12:16" ht="15" hidden="1" customHeight="1">
      <c r="L2919" s="58" t="str">
        <f t="shared" si="260"/>
        <v>-</v>
      </c>
      <c r="M2919" s="59">
        <f t="shared" si="258"/>
        <v>0</v>
      </c>
      <c r="N2919" s="59">
        <f t="shared" si="256"/>
        <v>0</v>
      </c>
      <c r="O2919" s="59">
        <f t="shared" si="259"/>
        <v>0</v>
      </c>
      <c r="P2919" s="59">
        <f t="shared" si="257"/>
        <v>0</v>
      </c>
    </row>
    <row r="2920" spans="12:16" ht="15" hidden="1" customHeight="1">
      <c r="L2920" s="58" t="str">
        <f t="shared" si="260"/>
        <v>-</v>
      </c>
      <c r="M2920" s="59">
        <f t="shared" si="258"/>
        <v>0</v>
      </c>
      <c r="N2920" s="59">
        <f t="shared" si="256"/>
        <v>0</v>
      </c>
      <c r="O2920" s="59">
        <f t="shared" si="259"/>
        <v>0</v>
      </c>
      <c r="P2920" s="59">
        <f t="shared" si="257"/>
        <v>0</v>
      </c>
    </row>
    <row r="2921" spans="12:16" ht="15" hidden="1" customHeight="1">
      <c r="L2921" s="58" t="str">
        <f t="shared" si="260"/>
        <v>-</v>
      </c>
      <c r="M2921" s="59">
        <f t="shared" si="258"/>
        <v>0</v>
      </c>
      <c r="N2921" s="59">
        <f t="shared" si="256"/>
        <v>0</v>
      </c>
      <c r="O2921" s="59">
        <f t="shared" si="259"/>
        <v>0</v>
      </c>
      <c r="P2921" s="59">
        <f t="shared" si="257"/>
        <v>0</v>
      </c>
    </row>
    <row r="2922" spans="12:16" ht="15" hidden="1" customHeight="1">
      <c r="L2922" s="58" t="str">
        <f t="shared" si="260"/>
        <v>-</v>
      </c>
      <c r="M2922" s="59">
        <f t="shared" si="258"/>
        <v>0</v>
      </c>
      <c r="N2922" s="59">
        <f t="shared" si="256"/>
        <v>0</v>
      </c>
      <c r="O2922" s="59">
        <f t="shared" si="259"/>
        <v>0</v>
      </c>
      <c r="P2922" s="59">
        <f t="shared" si="257"/>
        <v>0</v>
      </c>
    </row>
    <row r="2923" spans="12:16" ht="15" hidden="1" customHeight="1">
      <c r="L2923" s="58" t="str">
        <f t="shared" si="260"/>
        <v>-</v>
      </c>
      <c r="M2923" s="59">
        <f t="shared" si="258"/>
        <v>0</v>
      </c>
      <c r="N2923" s="59">
        <f t="shared" si="256"/>
        <v>0</v>
      </c>
      <c r="O2923" s="59">
        <f t="shared" si="259"/>
        <v>0</v>
      </c>
      <c r="P2923" s="59">
        <f t="shared" si="257"/>
        <v>0</v>
      </c>
    </row>
    <row r="2924" spans="12:16" ht="15" hidden="1" customHeight="1">
      <c r="L2924" s="58" t="str">
        <f t="shared" si="260"/>
        <v>-</v>
      </c>
      <c r="M2924" s="59">
        <f t="shared" si="258"/>
        <v>0</v>
      </c>
      <c r="N2924" s="59">
        <f t="shared" si="256"/>
        <v>0</v>
      </c>
      <c r="O2924" s="59">
        <f t="shared" si="259"/>
        <v>0</v>
      </c>
      <c r="P2924" s="59">
        <f t="shared" si="257"/>
        <v>0</v>
      </c>
    </row>
    <row r="2925" spans="12:16" ht="15" hidden="1" customHeight="1">
      <c r="L2925" s="58" t="str">
        <f t="shared" si="260"/>
        <v>-</v>
      </c>
      <c r="M2925" s="59">
        <f t="shared" si="258"/>
        <v>0</v>
      </c>
      <c r="N2925" s="59">
        <f t="shared" si="256"/>
        <v>0</v>
      </c>
      <c r="O2925" s="59">
        <f t="shared" si="259"/>
        <v>0</v>
      </c>
      <c r="P2925" s="59">
        <f t="shared" si="257"/>
        <v>0</v>
      </c>
    </row>
    <row r="2926" spans="12:16" ht="15" hidden="1" customHeight="1">
      <c r="L2926" s="58" t="str">
        <f t="shared" si="260"/>
        <v>-</v>
      </c>
      <c r="M2926" s="59">
        <f t="shared" si="258"/>
        <v>0</v>
      </c>
      <c r="N2926" s="59">
        <f t="shared" si="256"/>
        <v>0</v>
      </c>
      <c r="O2926" s="59">
        <f t="shared" si="259"/>
        <v>0</v>
      </c>
      <c r="P2926" s="59">
        <f t="shared" si="257"/>
        <v>0</v>
      </c>
    </row>
    <row r="2927" spans="12:16" ht="15" hidden="1" customHeight="1">
      <c r="L2927" s="58" t="str">
        <f t="shared" si="260"/>
        <v>-</v>
      </c>
      <c r="M2927" s="59">
        <f t="shared" si="258"/>
        <v>0</v>
      </c>
      <c r="N2927" s="59">
        <f t="shared" si="256"/>
        <v>0</v>
      </c>
      <c r="O2927" s="59">
        <f t="shared" si="259"/>
        <v>0</v>
      </c>
      <c r="P2927" s="59">
        <f t="shared" si="257"/>
        <v>0</v>
      </c>
    </row>
    <row r="2928" spans="12:16" ht="15" hidden="1" customHeight="1">
      <c r="L2928" s="58" t="str">
        <f t="shared" si="260"/>
        <v>-</v>
      </c>
      <c r="M2928" s="59">
        <f t="shared" si="258"/>
        <v>0</v>
      </c>
      <c r="N2928" s="59">
        <f t="shared" si="256"/>
        <v>0</v>
      </c>
      <c r="O2928" s="59">
        <f t="shared" si="259"/>
        <v>0</v>
      </c>
      <c r="P2928" s="59">
        <f t="shared" si="257"/>
        <v>0</v>
      </c>
    </row>
    <row r="2929" spans="12:16" ht="15" hidden="1" customHeight="1">
      <c r="L2929" s="58" t="str">
        <f t="shared" si="260"/>
        <v>-</v>
      </c>
      <c r="M2929" s="59">
        <f t="shared" si="258"/>
        <v>0</v>
      </c>
      <c r="N2929" s="59">
        <f t="shared" si="256"/>
        <v>0</v>
      </c>
      <c r="O2929" s="59">
        <f t="shared" si="259"/>
        <v>0</v>
      </c>
      <c r="P2929" s="59">
        <f t="shared" si="257"/>
        <v>0</v>
      </c>
    </row>
    <row r="2930" spans="12:16" ht="15" hidden="1" customHeight="1">
      <c r="L2930" s="58" t="str">
        <f t="shared" si="260"/>
        <v>-</v>
      </c>
      <c r="M2930" s="59">
        <f t="shared" si="258"/>
        <v>0</v>
      </c>
      <c r="N2930" s="59">
        <f t="shared" si="256"/>
        <v>0</v>
      </c>
      <c r="O2930" s="59">
        <f t="shared" si="259"/>
        <v>0</v>
      </c>
      <c r="P2930" s="59">
        <f t="shared" si="257"/>
        <v>0</v>
      </c>
    </row>
    <row r="2931" spans="12:16" ht="15" hidden="1" customHeight="1">
      <c r="L2931" s="58" t="str">
        <f t="shared" si="260"/>
        <v>-</v>
      </c>
      <c r="M2931" s="59">
        <f t="shared" si="258"/>
        <v>0</v>
      </c>
      <c r="N2931" s="59">
        <f t="shared" si="256"/>
        <v>0</v>
      </c>
      <c r="O2931" s="59">
        <f t="shared" si="259"/>
        <v>0</v>
      </c>
      <c r="P2931" s="59">
        <f t="shared" si="257"/>
        <v>0</v>
      </c>
    </row>
    <row r="2932" spans="12:16" ht="15" hidden="1" customHeight="1">
      <c r="L2932" s="58" t="str">
        <f t="shared" si="260"/>
        <v>-</v>
      </c>
      <c r="M2932" s="59">
        <f t="shared" si="258"/>
        <v>0</v>
      </c>
      <c r="N2932" s="59">
        <f t="shared" ref="N2932:N2995" si="261">IF(ISNUMBER(N2931),N2931-M2932,$E$8)</f>
        <v>0</v>
      </c>
      <c r="O2932" s="59">
        <f t="shared" si="259"/>
        <v>0</v>
      </c>
      <c r="P2932" s="59">
        <f t="shared" ref="P2932:P2995" si="262">IFERROR(IF(ISNUMBER(N2931),N2931,$E$8)*3%/IF(MOD(YEAR(L2932),4),365,366)*IF(ISBLANK(L2931),(L2932-$F$5),L2932-L2931),0)</f>
        <v>0</v>
      </c>
    </row>
    <row r="2933" spans="12:16" ht="15" hidden="1" customHeight="1">
      <c r="L2933" s="58" t="str">
        <f t="shared" si="260"/>
        <v>-</v>
      </c>
      <c r="M2933" s="59">
        <f t="shared" si="258"/>
        <v>0</v>
      </c>
      <c r="N2933" s="59">
        <f t="shared" si="261"/>
        <v>0</v>
      </c>
      <c r="O2933" s="59">
        <f t="shared" si="259"/>
        <v>0</v>
      </c>
      <c r="P2933" s="59">
        <f t="shared" si="262"/>
        <v>0</v>
      </c>
    </row>
    <row r="2934" spans="12:16" ht="15" hidden="1" customHeight="1">
      <c r="L2934" s="58" t="str">
        <f t="shared" si="260"/>
        <v>-</v>
      </c>
      <c r="M2934" s="59">
        <f t="shared" si="258"/>
        <v>0</v>
      </c>
      <c r="N2934" s="59">
        <f t="shared" si="261"/>
        <v>0</v>
      </c>
      <c r="O2934" s="59">
        <f t="shared" si="259"/>
        <v>0</v>
      </c>
      <c r="P2934" s="59">
        <f t="shared" si="262"/>
        <v>0</v>
      </c>
    </row>
    <row r="2935" spans="12:16" ht="15" hidden="1" customHeight="1">
      <c r="L2935" s="58" t="str">
        <f t="shared" si="260"/>
        <v>-</v>
      </c>
      <c r="M2935" s="59">
        <f t="shared" si="258"/>
        <v>0</v>
      </c>
      <c r="N2935" s="59">
        <f t="shared" si="261"/>
        <v>0</v>
      </c>
      <c r="O2935" s="59">
        <f t="shared" si="259"/>
        <v>0</v>
      </c>
      <c r="P2935" s="59">
        <f t="shared" si="262"/>
        <v>0</v>
      </c>
    </row>
    <row r="2936" spans="12:16" ht="15" hidden="1" customHeight="1">
      <c r="L2936" s="58" t="str">
        <f t="shared" si="260"/>
        <v>-</v>
      </c>
      <c r="M2936" s="59">
        <f t="shared" si="258"/>
        <v>0</v>
      </c>
      <c r="N2936" s="59">
        <f t="shared" si="261"/>
        <v>0</v>
      </c>
      <c r="O2936" s="59">
        <f t="shared" si="259"/>
        <v>0</v>
      </c>
      <c r="P2936" s="59">
        <f t="shared" si="262"/>
        <v>0</v>
      </c>
    </row>
    <row r="2937" spans="12:16" ht="15" hidden="1" customHeight="1">
      <c r="L2937" s="58" t="str">
        <f t="shared" si="260"/>
        <v>-</v>
      </c>
      <c r="M2937" s="59">
        <f t="shared" si="258"/>
        <v>0</v>
      </c>
      <c r="N2937" s="59">
        <f t="shared" si="261"/>
        <v>0</v>
      </c>
      <c r="O2937" s="59">
        <f t="shared" si="259"/>
        <v>0</v>
      </c>
      <c r="P2937" s="59">
        <f t="shared" si="262"/>
        <v>0</v>
      </c>
    </row>
    <row r="2938" spans="12:16" ht="15" hidden="1" customHeight="1">
      <c r="L2938" s="58" t="str">
        <f t="shared" si="260"/>
        <v>-</v>
      </c>
      <c r="M2938" s="59">
        <f t="shared" si="258"/>
        <v>0</v>
      </c>
      <c r="N2938" s="59">
        <f t="shared" si="261"/>
        <v>0</v>
      </c>
      <c r="O2938" s="59">
        <f t="shared" si="259"/>
        <v>0</v>
      </c>
      <c r="P2938" s="59">
        <f t="shared" si="262"/>
        <v>0</v>
      </c>
    </row>
    <row r="2939" spans="12:16" ht="15" hidden="1" customHeight="1">
      <c r="L2939" s="58" t="str">
        <f t="shared" si="260"/>
        <v>-</v>
      </c>
      <c r="M2939" s="59">
        <f t="shared" si="258"/>
        <v>0</v>
      </c>
      <c r="N2939" s="59">
        <f t="shared" si="261"/>
        <v>0</v>
      </c>
      <c r="O2939" s="59">
        <f t="shared" si="259"/>
        <v>0</v>
      </c>
      <c r="P2939" s="59">
        <f t="shared" si="262"/>
        <v>0</v>
      </c>
    </row>
    <row r="2940" spans="12:16" ht="15" hidden="1" customHeight="1">
      <c r="L2940" s="58" t="str">
        <f t="shared" si="260"/>
        <v>-</v>
      </c>
      <c r="M2940" s="59">
        <f t="shared" si="258"/>
        <v>0</v>
      </c>
      <c r="N2940" s="59">
        <f t="shared" si="261"/>
        <v>0</v>
      </c>
      <c r="O2940" s="59">
        <f t="shared" si="259"/>
        <v>0</v>
      </c>
      <c r="P2940" s="59">
        <f t="shared" si="262"/>
        <v>0</v>
      </c>
    </row>
    <row r="2941" spans="12:16" ht="15" hidden="1" customHeight="1">
      <c r="L2941" s="58" t="str">
        <f t="shared" si="260"/>
        <v>-</v>
      </c>
      <c r="M2941" s="59">
        <f t="shared" si="258"/>
        <v>0</v>
      </c>
      <c r="N2941" s="59">
        <f t="shared" si="261"/>
        <v>0</v>
      </c>
      <c r="O2941" s="59">
        <f t="shared" si="259"/>
        <v>0</v>
      </c>
      <c r="P2941" s="59">
        <f t="shared" si="262"/>
        <v>0</v>
      </c>
    </row>
    <row r="2942" spans="12:16" ht="15" hidden="1" customHeight="1">
      <c r="L2942" s="58" t="str">
        <f t="shared" si="260"/>
        <v>-</v>
      </c>
      <c r="M2942" s="59">
        <f t="shared" si="258"/>
        <v>0</v>
      </c>
      <c r="N2942" s="59">
        <f t="shared" si="261"/>
        <v>0</v>
      </c>
      <c r="O2942" s="59">
        <f t="shared" si="259"/>
        <v>0</v>
      </c>
      <c r="P2942" s="59">
        <f t="shared" si="262"/>
        <v>0</v>
      </c>
    </row>
    <row r="2943" spans="12:16" ht="15" hidden="1" customHeight="1">
      <c r="L2943" s="58" t="str">
        <f t="shared" si="260"/>
        <v>-</v>
      </c>
      <c r="M2943" s="59">
        <f t="shared" si="258"/>
        <v>0</v>
      </c>
      <c r="N2943" s="59">
        <f t="shared" si="261"/>
        <v>0</v>
      </c>
      <c r="O2943" s="59">
        <f t="shared" si="259"/>
        <v>0</v>
      </c>
      <c r="P2943" s="59">
        <f t="shared" si="262"/>
        <v>0</v>
      </c>
    </row>
    <row r="2944" spans="12:16" ht="15" hidden="1" customHeight="1">
      <c r="L2944" s="58" t="str">
        <f t="shared" si="260"/>
        <v>-</v>
      </c>
      <c r="M2944" s="59">
        <f t="shared" si="258"/>
        <v>0</v>
      </c>
      <c r="N2944" s="59">
        <f t="shared" si="261"/>
        <v>0</v>
      </c>
      <c r="O2944" s="59">
        <f t="shared" si="259"/>
        <v>0</v>
      </c>
      <c r="P2944" s="59">
        <f t="shared" si="262"/>
        <v>0</v>
      </c>
    </row>
    <row r="2945" spans="12:16" ht="15" hidden="1" customHeight="1">
      <c r="L2945" s="58" t="str">
        <f t="shared" si="260"/>
        <v>-</v>
      </c>
      <c r="M2945" s="59">
        <f t="shared" si="258"/>
        <v>0</v>
      </c>
      <c r="N2945" s="59">
        <f t="shared" si="261"/>
        <v>0</v>
      </c>
      <c r="O2945" s="59">
        <f t="shared" si="259"/>
        <v>0</v>
      </c>
      <c r="P2945" s="59">
        <f t="shared" si="262"/>
        <v>0</v>
      </c>
    </row>
    <row r="2946" spans="12:16" ht="15" hidden="1" customHeight="1">
      <c r="L2946" s="58" t="str">
        <f t="shared" si="260"/>
        <v>-</v>
      </c>
      <c r="M2946" s="59">
        <f t="shared" si="258"/>
        <v>0</v>
      </c>
      <c r="N2946" s="59">
        <f t="shared" si="261"/>
        <v>0</v>
      </c>
      <c r="O2946" s="59">
        <f t="shared" si="259"/>
        <v>0</v>
      </c>
      <c r="P2946" s="59">
        <f t="shared" si="262"/>
        <v>0</v>
      </c>
    </row>
    <row r="2947" spans="12:16" ht="15" hidden="1" customHeight="1">
      <c r="L2947" s="58" t="str">
        <f t="shared" si="260"/>
        <v>-</v>
      </c>
      <c r="M2947" s="59">
        <f t="shared" si="258"/>
        <v>0</v>
      </c>
      <c r="N2947" s="59">
        <f t="shared" si="261"/>
        <v>0</v>
      </c>
      <c r="O2947" s="59">
        <f t="shared" si="259"/>
        <v>0</v>
      </c>
      <c r="P2947" s="59">
        <f t="shared" si="262"/>
        <v>0</v>
      </c>
    </row>
    <row r="2948" spans="12:16" ht="15" hidden="1" customHeight="1">
      <c r="L2948" s="58" t="str">
        <f t="shared" si="260"/>
        <v>-</v>
      </c>
      <c r="M2948" s="59">
        <f t="shared" si="258"/>
        <v>0</v>
      </c>
      <c r="N2948" s="59">
        <f t="shared" si="261"/>
        <v>0</v>
      </c>
      <c r="O2948" s="59">
        <f t="shared" si="259"/>
        <v>0</v>
      </c>
      <c r="P2948" s="59">
        <f t="shared" si="262"/>
        <v>0</v>
      </c>
    </row>
    <row r="2949" spans="12:16" ht="15" hidden="1" customHeight="1">
      <c r="L2949" s="58" t="str">
        <f t="shared" si="260"/>
        <v>-</v>
      </c>
      <c r="M2949" s="59">
        <f t="shared" si="258"/>
        <v>0</v>
      </c>
      <c r="N2949" s="59">
        <f t="shared" si="261"/>
        <v>0</v>
      </c>
      <c r="O2949" s="59">
        <f t="shared" si="259"/>
        <v>0</v>
      </c>
      <c r="P2949" s="59">
        <f t="shared" si="262"/>
        <v>0</v>
      </c>
    </row>
    <row r="2950" spans="12:16" ht="15" hidden="1" customHeight="1">
      <c r="L2950" s="58" t="str">
        <f t="shared" si="260"/>
        <v>-</v>
      </c>
      <c r="M2950" s="59">
        <f t="shared" si="258"/>
        <v>0</v>
      </c>
      <c r="N2950" s="59">
        <f t="shared" si="261"/>
        <v>0</v>
      </c>
      <c r="O2950" s="59">
        <f t="shared" si="259"/>
        <v>0</v>
      </c>
      <c r="P2950" s="59">
        <f t="shared" si="262"/>
        <v>0</v>
      </c>
    </row>
    <row r="2951" spans="12:16" ht="15" hidden="1" customHeight="1">
      <c r="L2951" s="58" t="str">
        <f t="shared" si="260"/>
        <v>-</v>
      </c>
      <c r="M2951" s="59">
        <f t="shared" si="258"/>
        <v>0</v>
      </c>
      <c r="N2951" s="59">
        <f t="shared" si="261"/>
        <v>0</v>
      </c>
      <c r="O2951" s="59">
        <f t="shared" si="259"/>
        <v>0</v>
      </c>
      <c r="P2951" s="59">
        <f t="shared" si="262"/>
        <v>0</v>
      </c>
    </row>
    <row r="2952" spans="12:16" ht="15" hidden="1" customHeight="1">
      <c r="L2952" s="58" t="str">
        <f t="shared" si="260"/>
        <v>-</v>
      </c>
      <c r="M2952" s="59">
        <f t="shared" si="258"/>
        <v>0</v>
      </c>
      <c r="N2952" s="59">
        <f t="shared" si="261"/>
        <v>0</v>
      </c>
      <c r="O2952" s="59">
        <f t="shared" si="259"/>
        <v>0</v>
      </c>
      <c r="P2952" s="59">
        <f t="shared" si="262"/>
        <v>0</v>
      </c>
    </row>
    <row r="2953" spans="12:16" ht="15" hidden="1" customHeight="1">
      <c r="L2953" s="58" t="str">
        <f t="shared" si="260"/>
        <v>-</v>
      </c>
      <c r="M2953" s="59">
        <f t="shared" si="258"/>
        <v>0</v>
      </c>
      <c r="N2953" s="59">
        <f t="shared" si="261"/>
        <v>0</v>
      </c>
      <c r="O2953" s="59">
        <f t="shared" si="259"/>
        <v>0</v>
      </c>
      <c r="P2953" s="59">
        <f t="shared" si="262"/>
        <v>0</v>
      </c>
    </row>
    <row r="2954" spans="12:16" ht="15" hidden="1" customHeight="1">
      <c r="L2954" s="58" t="str">
        <f t="shared" si="260"/>
        <v>-</v>
      </c>
      <c r="M2954" s="59">
        <f t="shared" si="258"/>
        <v>0</v>
      </c>
      <c r="N2954" s="59">
        <f t="shared" si="261"/>
        <v>0</v>
      </c>
      <c r="O2954" s="59">
        <f t="shared" si="259"/>
        <v>0</v>
      </c>
      <c r="P2954" s="59">
        <f t="shared" si="262"/>
        <v>0</v>
      </c>
    </row>
    <row r="2955" spans="12:16" ht="15" hidden="1" customHeight="1">
      <c r="L2955" s="58" t="str">
        <f t="shared" si="260"/>
        <v>-</v>
      </c>
      <c r="M2955" s="59">
        <f t="shared" si="258"/>
        <v>0</v>
      </c>
      <c r="N2955" s="59">
        <f t="shared" si="261"/>
        <v>0</v>
      </c>
      <c r="O2955" s="59">
        <f t="shared" si="259"/>
        <v>0</v>
      </c>
      <c r="P2955" s="59">
        <f t="shared" si="262"/>
        <v>0</v>
      </c>
    </row>
    <row r="2956" spans="12:16" ht="15" hidden="1" customHeight="1">
      <c r="L2956" s="58" t="str">
        <f t="shared" si="260"/>
        <v>-</v>
      </c>
      <c r="M2956" s="59">
        <f t="shared" si="258"/>
        <v>0</v>
      </c>
      <c r="N2956" s="59">
        <f t="shared" si="261"/>
        <v>0</v>
      </c>
      <c r="O2956" s="59">
        <f t="shared" si="259"/>
        <v>0</v>
      </c>
      <c r="P2956" s="59">
        <f t="shared" si="262"/>
        <v>0</v>
      </c>
    </row>
    <row r="2957" spans="12:16" ht="15" hidden="1" customHeight="1">
      <c r="L2957" s="58" t="str">
        <f t="shared" si="260"/>
        <v>-</v>
      </c>
      <c r="M2957" s="59">
        <f t="shared" si="258"/>
        <v>0</v>
      </c>
      <c r="N2957" s="59">
        <f t="shared" si="261"/>
        <v>0</v>
      </c>
      <c r="O2957" s="59">
        <f t="shared" si="259"/>
        <v>0</v>
      </c>
      <c r="P2957" s="59">
        <f t="shared" si="262"/>
        <v>0</v>
      </c>
    </row>
    <row r="2958" spans="12:16" ht="15" hidden="1" customHeight="1">
      <c r="L2958" s="58" t="str">
        <f t="shared" si="260"/>
        <v>-</v>
      </c>
      <c r="M2958" s="59">
        <f t="shared" si="258"/>
        <v>0</v>
      </c>
      <c r="N2958" s="59">
        <f t="shared" si="261"/>
        <v>0</v>
      </c>
      <c r="O2958" s="59">
        <f t="shared" si="259"/>
        <v>0</v>
      </c>
      <c r="P2958" s="59">
        <f t="shared" si="262"/>
        <v>0</v>
      </c>
    </row>
    <row r="2959" spans="12:16" ht="15" hidden="1" customHeight="1">
      <c r="L2959" s="58" t="str">
        <f t="shared" si="260"/>
        <v>-</v>
      </c>
      <c r="M2959" s="59">
        <f t="shared" si="258"/>
        <v>0</v>
      </c>
      <c r="N2959" s="59">
        <f t="shared" si="261"/>
        <v>0</v>
      </c>
      <c r="O2959" s="59">
        <f t="shared" si="259"/>
        <v>0</v>
      </c>
      <c r="P2959" s="59">
        <f t="shared" si="262"/>
        <v>0</v>
      </c>
    </row>
    <row r="2960" spans="12:16" ht="15" hidden="1" customHeight="1">
      <c r="L2960" s="58" t="str">
        <f t="shared" si="260"/>
        <v>-</v>
      </c>
      <c r="M2960" s="59">
        <f t="shared" si="258"/>
        <v>0</v>
      </c>
      <c r="N2960" s="59">
        <f t="shared" si="261"/>
        <v>0</v>
      </c>
      <c r="O2960" s="59">
        <f t="shared" si="259"/>
        <v>0</v>
      </c>
      <c r="P2960" s="59">
        <f t="shared" si="262"/>
        <v>0</v>
      </c>
    </row>
    <row r="2961" spans="12:16" ht="15" hidden="1" customHeight="1">
      <c r="L2961" s="58" t="str">
        <f t="shared" si="260"/>
        <v>-</v>
      </c>
      <c r="M2961" s="59">
        <f t="shared" si="258"/>
        <v>0</v>
      </c>
      <c r="N2961" s="59">
        <f t="shared" si="261"/>
        <v>0</v>
      </c>
      <c r="O2961" s="59">
        <f t="shared" si="259"/>
        <v>0</v>
      </c>
      <c r="P2961" s="59">
        <f t="shared" si="262"/>
        <v>0</v>
      </c>
    </row>
    <row r="2962" spans="12:16" ht="15" hidden="1" customHeight="1">
      <c r="L2962" s="58" t="str">
        <f t="shared" si="260"/>
        <v>-</v>
      </c>
      <c r="M2962" s="59">
        <f t="shared" si="258"/>
        <v>0</v>
      </c>
      <c r="N2962" s="59">
        <f t="shared" si="261"/>
        <v>0</v>
      </c>
      <c r="O2962" s="59">
        <f t="shared" si="259"/>
        <v>0</v>
      </c>
      <c r="P2962" s="59">
        <f t="shared" si="262"/>
        <v>0</v>
      </c>
    </row>
    <row r="2963" spans="12:16" ht="15" hidden="1" customHeight="1">
      <c r="L2963" s="58" t="str">
        <f t="shared" si="260"/>
        <v>-</v>
      </c>
      <c r="M2963" s="59">
        <f t="shared" ref="M2963:M3026" si="263">IFERROR(VLOOKUP(L2963,$B$19:$E$80,4,FALSE),0)</f>
        <v>0</v>
      </c>
      <c r="N2963" s="59">
        <f t="shared" si="261"/>
        <v>0</v>
      </c>
      <c r="O2963" s="59">
        <f t="shared" ref="O2963:O3026" si="264">IFERROR(IF(ISNUMBER(N2962),N2962,$E$8)*IF(L2963&gt;=$J$8,$E$12,$E$12)/IF(MOD(YEAR(L2963),4),365,366)*IF(ISBLANK(L2962),L2963-$F$5,L2963-L2962),0)</f>
        <v>0</v>
      </c>
      <c r="P2963" s="59">
        <f t="shared" si="262"/>
        <v>0</v>
      </c>
    </row>
    <row r="2964" spans="12:16" ht="15" hidden="1" customHeight="1">
      <c r="L2964" s="58" t="str">
        <f t="shared" si="260"/>
        <v>-</v>
      </c>
      <c r="M2964" s="59">
        <f t="shared" si="263"/>
        <v>0</v>
      </c>
      <c r="N2964" s="59">
        <f t="shared" si="261"/>
        <v>0</v>
      </c>
      <c r="O2964" s="59">
        <f t="shared" si="264"/>
        <v>0</v>
      </c>
      <c r="P2964" s="59">
        <f t="shared" si="262"/>
        <v>0</v>
      </c>
    </row>
    <row r="2965" spans="12:16" ht="15" hidden="1" customHeight="1">
      <c r="L2965" s="58" t="str">
        <f t="shared" si="260"/>
        <v>-</v>
      </c>
      <c r="M2965" s="59">
        <f t="shared" si="263"/>
        <v>0</v>
      </c>
      <c r="N2965" s="59">
        <f t="shared" si="261"/>
        <v>0</v>
      </c>
      <c r="O2965" s="59">
        <f t="shared" si="264"/>
        <v>0</v>
      </c>
      <c r="P2965" s="59">
        <f t="shared" si="262"/>
        <v>0</v>
      </c>
    </row>
    <row r="2966" spans="12:16" ht="15" hidden="1" customHeight="1">
      <c r="L2966" s="58" t="str">
        <f t="shared" si="260"/>
        <v>-</v>
      </c>
      <c r="M2966" s="59">
        <f t="shared" si="263"/>
        <v>0</v>
      </c>
      <c r="N2966" s="59">
        <f t="shared" si="261"/>
        <v>0</v>
      </c>
      <c r="O2966" s="59">
        <f t="shared" si="264"/>
        <v>0</v>
      </c>
      <c r="P2966" s="59">
        <f t="shared" si="262"/>
        <v>0</v>
      </c>
    </row>
    <row r="2967" spans="12:16" ht="15" hidden="1" customHeight="1">
      <c r="L2967" s="58" t="str">
        <f t="shared" si="260"/>
        <v>-</v>
      </c>
      <c r="M2967" s="59">
        <f t="shared" si="263"/>
        <v>0</v>
      </c>
      <c r="N2967" s="59">
        <f t="shared" si="261"/>
        <v>0</v>
      </c>
      <c r="O2967" s="59">
        <f t="shared" si="264"/>
        <v>0</v>
      </c>
      <c r="P2967" s="59">
        <f t="shared" si="262"/>
        <v>0</v>
      </c>
    </row>
    <row r="2968" spans="12:16" ht="15" hidden="1" customHeight="1">
      <c r="L2968" s="58" t="str">
        <f t="shared" si="260"/>
        <v>-</v>
      </c>
      <c r="M2968" s="59">
        <f t="shared" si="263"/>
        <v>0</v>
      </c>
      <c r="N2968" s="59">
        <f t="shared" si="261"/>
        <v>0</v>
      </c>
      <c r="O2968" s="59">
        <f t="shared" si="264"/>
        <v>0</v>
      </c>
      <c r="P2968" s="59">
        <f t="shared" si="262"/>
        <v>0</v>
      </c>
    </row>
    <row r="2969" spans="12:16" ht="15" hidden="1" customHeight="1">
      <c r="L2969" s="58" t="str">
        <f t="shared" si="260"/>
        <v>-</v>
      </c>
      <c r="M2969" s="59">
        <f t="shared" si="263"/>
        <v>0</v>
      </c>
      <c r="N2969" s="59">
        <f t="shared" si="261"/>
        <v>0</v>
      </c>
      <c r="O2969" s="59">
        <f t="shared" si="264"/>
        <v>0</v>
      </c>
      <c r="P2969" s="59">
        <f t="shared" si="262"/>
        <v>0</v>
      </c>
    </row>
    <row r="2970" spans="12:16" ht="15" hidden="1" customHeight="1">
      <c r="L2970" s="58" t="str">
        <f t="shared" si="260"/>
        <v>-</v>
      </c>
      <c r="M2970" s="59">
        <f t="shared" si="263"/>
        <v>0</v>
      </c>
      <c r="N2970" s="59">
        <f t="shared" si="261"/>
        <v>0</v>
      </c>
      <c r="O2970" s="59">
        <f t="shared" si="264"/>
        <v>0</v>
      </c>
      <c r="P2970" s="59">
        <f t="shared" si="262"/>
        <v>0</v>
      </c>
    </row>
    <row r="2971" spans="12:16" ht="15" hidden="1" customHeight="1">
      <c r="L2971" s="58" t="str">
        <f t="shared" si="260"/>
        <v>-</v>
      </c>
      <c r="M2971" s="59">
        <f t="shared" si="263"/>
        <v>0</v>
      </c>
      <c r="N2971" s="59">
        <f t="shared" si="261"/>
        <v>0</v>
      </c>
      <c r="O2971" s="59">
        <f t="shared" si="264"/>
        <v>0</v>
      </c>
      <c r="P2971" s="59">
        <f t="shared" si="262"/>
        <v>0</v>
      </c>
    </row>
    <row r="2972" spans="12:16" ht="15" hidden="1" customHeight="1">
      <c r="L2972" s="58" t="str">
        <f t="shared" si="260"/>
        <v>-</v>
      </c>
      <c r="M2972" s="59">
        <f t="shared" si="263"/>
        <v>0</v>
      </c>
      <c r="N2972" s="59">
        <f t="shared" si="261"/>
        <v>0</v>
      </c>
      <c r="O2972" s="59">
        <f t="shared" si="264"/>
        <v>0</v>
      </c>
      <c r="P2972" s="59">
        <f t="shared" si="262"/>
        <v>0</v>
      </c>
    </row>
    <row r="2973" spans="12:16" ht="15" hidden="1" customHeight="1">
      <c r="L2973" s="58" t="str">
        <f t="shared" si="260"/>
        <v>-</v>
      </c>
      <c r="M2973" s="59">
        <f t="shared" si="263"/>
        <v>0</v>
      </c>
      <c r="N2973" s="59">
        <f t="shared" si="261"/>
        <v>0</v>
      </c>
      <c r="O2973" s="59">
        <f t="shared" si="264"/>
        <v>0</v>
      </c>
      <c r="P2973" s="59">
        <f t="shared" si="262"/>
        <v>0</v>
      </c>
    </row>
    <row r="2974" spans="12:16" ht="15" hidden="1" customHeight="1">
      <c r="L2974" s="58" t="str">
        <f t="shared" si="260"/>
        <v>-</v>
      </c>
      <c r="M2974" s="59">
        <f t="shared" si="263"/>
        <v>0</v>
      </c>
      <c r="N2974" s="59">
        <f t="shared" si="261"/>
        <v>0</v>
      </c>
      <c r="O2974" s="59">
        <f t="shared" si="264"/>
        <v>0</v>
      </c>
      <c r="P2974" s="59">
        <f t="shared" si="262"/>
        <v>0</v>
      </c>
    </row>
    <row r="2975" spans="12:16" ht="15" hidden="1" customHeight="1">
      <c r="L2975" s="58" t="str">
        <f t="shared" si="260"/>
        <v>-</v>
      </c>
      <c r="M2975" s="59">
        <f t="shared" si="263"/>
        <v>0</v>
      </c>
      <c r="N2975" s="59">
        <f t="shared" si="261"/>
        <v>0</v>
      </c>
      <c r="O2975" s="59">
        <f t="shared" si="264"/>
        <v>0</v>
      </c>
      <c r="P2975" s="59">
        <f t="shared" si="262"/>
        <v>0</v>
      </c>
    </row>
    <row r="2976" spans="12:16" ht="15" hidden="1" customHeight="1">
      <c r="L2976" s="58" t="str">
        <f t="shared" si="260"/>
        <v>-</v>
      </c>
      <c r="M2976" s="59">
        <f t="shared" si="263"/>
        <v>0</v>
      </c>
      <c r="N2976" s="59">
        <f t="shared" si="261"/>
        <v>0</v>
      </c>
      <c r="O2976" s="59">
        <f t="shared" si="264"/>
        <v>0</v>
      </c>
      <c r="P2976" s="59">
        <f t="shared" si="262"/>
        <v>0</v>
      </c>
    </row>
    <row r="2977" spans="12:16" ht="15" hidden="1" customHeight="1">
      <c r="L2977" s="58" t="str">
        <f t="shared" si="260"/>
        <v>-</v>
      </c>
      <c r="M2977" s="59">
        <f t="shared" si="263"/>
        <v>0</v>
      </c>
      <c r="N2977" s="59">
        <f t="shared" si="261"/>
        <v>0</v>
      </c>
      <c r="O2977" s="59">
        <f t="shared" si="264"/>
        <v>0</v>
      </c>
      <c r="P2977" s="59">
        <f t="shared" si="262"/>
        <v>0</v>
      </c>
    </row>
    <row r="2978" spans="12:16" ht="15" hidden="1" customHeight="1">
      <c r="L2978" s="58" t="str">
        <f t="shared" ref="L2978:L3041" si="265">IFERROR(IF(MAX(L2977+1,$F$5+1)&gt;Дата_погашения_Займа,"-",MAX(L2977+1,$F$5+1)),"-")</f>
        <v>-</v>
      </c>
      <c r="M2978" s="59">
        <f t="shared" si="263"/>
        <v>0</v>
      </c>
      <c r="N2978" s="59">
        <f t="shared" si="261"/>
        <v>0</v>
      </c>
      <c r="O2978" s="59">
        <f t="shared" si="264"/>
        <v>0</v>
      </c>
      <c r="P2978" s="59">
        <f t="shared" si="262"/>
        <v>0</v>
      </c>
    </row>
    <row r="2979" spans="12:16" ht="15" hidden="1" customHeight="1">
      <c r="L2979" s="58" t="str">
        <f t="shared" si="265"/>
        <v>-</v>
      </c>
      <c r="M2979" s="59">
        <f t="shared" si="263"/>
        <v>0</v>
      </c>
      <c r="N2979" s="59">
        <f t="shared" si="261"/>
        <v>0</v>
      </c>
      <c r="O2979" s="59">
        <f t="shared" si="264"/>
        <v>0</v>
      </c>
      <c r="P2979" s="59">
        <f t="shared" si="262"/>
        <v>0</v>
      </c>
    </row>
    <row r="2980" spans="12:16" ht="15" hidden="1" customHeight="1">
      <c r="L2980" s="58" t="str">
        <f t="shared" si="265"/>
        <v>-</v>
      </c>
      <c r="M2980" s="59">
        <f t="shared" si="263"/>
        <v>0</v>
      </c>
      <c r="N2980" s="59">
        <f t="shared" si="261"/>
        <v>0</v>
      </c>
      <c r="O2980" s="59">
        <f t="shared" si="264"/>
        <v>0</v>
      </c>
      <c r="P2980" s="59">
        <f t="shared" si="262"/>
        <v>0</v>
      </c>
    </row>
    <row r="2981" spans="12:16" ht="15" hidden="1" customHeight="1">
      <c r="L2981" s="58" t="str">
        <f t="shared" si="265"/>
        <v>-</v>
      </c>
      <c r="M2981" s="59">
        <f t="shared" si="263"/>
        <v>0</v>
      </c>
      <c r="N2981" s="59">
        <f t="shared" si="261"/>
        <v>0</v>
      </c>
      <c r="O2981" s="59">
        <f t="shared" si="264"/>
        <v>0</v>
      </c>
      <c r="P2981" s="59">
        <f t="shared" si="262"/>
        <v>0</v>
      </c>
    </row>
    <row r="2982" spans="12:16" ht="15" hidden="1" customHeight="1">
      <c r="L2982" s="58" t="str">
        <f t="shared" si="265"/>
        <v>-</v>
      </c>
      <c r="M2982" s="59">
        <f t="shared" si="263"/>
        <v>0</v>
      </c>
      <c r="N2982" s="59">
        <f t="shared" si="261"/>
        <v>0</v>
      </c>
      <c r="O2982" s="59">
        <f t="shared" si="264"/>
        <v>0</v>
      </c>
      <c r="P2982" s="59">
        <f t="shared" si="262"/>
        <v>0</v>
      </c>
    </row>
    <row r="2983" spans="12:16" ht="15" hidden="1" customHeight="1">
      <c r="L2983" s="58" t="str">
        <f t="shared" si="265"/>
        <v>-</v>
      </c>
      <c r="M2983" s="59">
        <f t="shared" si="263"/>
        <v>0</v>
      </c>
      <c r="N2983" s="59">
        <f t="shared" si="261"/>
        <v>0</v>
      </c>
      <c r="O2983" s="59">
        <f t="shared" si="264"/>
        <v>0</v>
      </c>
      <c r="P2983" s="59">
        <f t="shared" si="262"/>
        <v>0</v>
      </c>
    </row>
    <row r="2984" spans="12:16" ht="15" hidden="1" customHeight="1">
      <c r="L2984" s="58" t="str">
        <f t="shared" si="265"/>
        <v>-</v>
      </c>
      <c r="M2984" s="59">
        <f t="shared" si="263"/>
        <v>0</v>
      </c>
      <c r="N2984" s="59">
        <f t="shared" si="261"/>
        <v>0</v>
      </c>
      <c r="O2984" s="59">
        <f t="shared" si="264"/>
        <v>0</v>
      </c>
      <c r="P2984" s="59">
        <f t="shared" si="262"/>
        <v>0</v>
      </c>
    </row>
    <row r="2985" spans="12:16" ht="15" hidden="1" customHeight="1">
      <c r="L2985" s="58" t="str">
        <f t="shared" si="265"/>
        <v>-</v>
      </c>
      <c r="M2985" s="59">
        <f t="shared" si="263"/>
        <v>0</v>
      </c>
      <c r="N2985" s="59">
        <f t="shared" si="261"/>
        <v>0</v>
      </c>
      <c r="O2985" s="59">
        <f t="shared" si="264"/>
        <v>0</v>
      </c>
      <c r="P2985" s="59">
        <f t="shared" si="262"/>
        <v>0</v>
      </c>
    </row>
    <row r="2986" spans="12:16" ht="15" hidden="1" customHeight="1">
      <c r="L2986" s="58" t="str">
        <f t="shared" si="265"/>
        <v>-</v>
      </c>
      <c r="M2986" s="59">
        <f t="shared" si="263"/>
        <v>0</v>
      </c>
      <c r="N2986" s="59">
        <f t="shared" si="261"/>
        <v>0</v>
      </c>
      <c r="O2986" s="59">
        <f t="shared" si="264"/>
        <v>0</v>
      </c>
      <c r="P2986" s="59">
        <f t="shared" si="262"/>
        <v>0</v>
      </c>
    </row>
    <row r="2987" spans="12:16" ht="15" hidden="1" customHeight="1">
      <c r="L2987" s="58" t="str">
        <f t="shared" si="265"/>
        <v>-</v>
      </c>
      <c r="M2987" s="59">
        <f t="shared" si="263"/>
        <v>0</v>
      </c>
      <c r="N2987" s="59">
        <f t="shared" si="261"/>
        <v>0</v>
      </c>
      <c r="O2987" s="59">
        <f t="shared" si="264"/>
        <v>0</v>
      </c>
      <c r="P2987" s="59">
        <f t="shared" si="262"/>
        <v>0</v>
      </c>
    </row>
    <row r="2988" spans="12:16" ht="15" hidden="1" customHeight="1">
      <c r="L2988" s="58" t="str">
        <f t="shared" si="265"/>
        <v>-</v>
      </c>
      <c r="M2988" s="59">
        <f t="shared" si="263"/>
        <v>0</v>
      </c>
      <c r="N2988" s="59">
        <f t="shared" si="261"/>
        <v>0</v>
      </c>
      <c r="O2988" s="59">
        <f t="shared" si="264"/>
        <v>0</v>
      </c>
      <c r="P2988" s="59">
        <f t="shared" si="262"/>
        <v>0</v>
      </c>
    </row>
    <row r="2989" spans="12:16" ht="15" hidden="1" customHeight="1">
      <c r="L2989" s="58" t="str">
        <f t="shared" si="265"/>
        <v>-</v>
      </c>
      <c r="M2989" s="59">
        <f t="shared" si="263"/>
        <v>0</v>
      </c>
      <c r="N2989" s="59">
        <f t="shared" si="261"/>
        <v>0</v>
      </c>
      <c r="O2989" s="59">
        <f t="shared" si="264"/>
        <v>0</v>
      </c>
      <c r="P2989" s="59">
        <f t="shared" si="262"/>
        <v>0</v>
      </c>
    </row>
    <row r="2990" spans="12:16" ht="15" hidden="1" customHeight="1">
      <c r="L2990" s="58" t="str">
        <f t="shared" si="265"/>
        <v>-</v>
      </c>
      <c r="M2990" s="59">
        <f t="shared" si="263"/>
        <v>0</v>
      </c>
      <c r="N2990" s="59">
        <f t="shared" si="261"/>
        <v>0</v>
      </c>
      <c r="O2990" s="59">
        <f t="shared" si="264"/>
        <v>0</v>
      </c>
      <c r="P2990" s="59">
        <f t="shared" si="262"/>
        <v>0</v>
      </c>
    </row>
    <row r="2991" spans="12:16" ht="15" hidden="1" customHeight="1">
      <c r="L2991" s="58" t="str">
        <f t="shared" si="265"/>
        <v>-</v>
      </c>
      <c r="M2991" s="59">
        <f t="shared" si="263"/>
        <v>0</v>
      </c>
      <c r="N2991" s="59">
        <f t="shared" si="261"/>
        <v>0</v>
      </c>
      <c r="O2991" s="59">
        <f t="shared" si="264"/>
        <v>0</v>
      </c>
      <c r="P2991" s="59">
        <f t="shared" si="262"/>
        <v>0</v>
      </c>
    </row>
    <row r="2992" spans="12:16" ht="15" hidden="1" customHeight="1">
      <c r="L2992" s="58" t="str">
        <f t="shared" si="265"/>
        <v>-</v>
      </c>
      <c r="M2992" s="59">
        <f t="shared" si="263"/>
        <v>0</v>
      </c>
      <c r="N2992" s="59">
        <f t="shared" si="261"/>
        <v>0</v>
      </c>
      <c r="O2992" s="59">
        <f t="shared" si="264"/>
        <v>0</v>
      </c>
      <c r="P2992" s="59">
        <f t="shared" si="262"/>
        <v>0</v>
      </c>
    </row>
    <row r="2993" spans="12:16" ht="15" hidden="1" customHeight="1">
      <c r="L2993" s="58" t="str">
        <f t="shared" si="265"/>
        <v>-</v>
      </c>
      <c r="M2993" s="59">
        <f t="shared" si="263"/>
        <v>0</v>
      </c>
      <c r="N2993" s="59">
        <f t="shared" si="261"/>
        <v>0</v>
      </c>
      <c r="O2993" s="59">
        <f t="shared" si="264"/>
        <v>0</v>
      </c>
      <c r="P2993" s="59">
        <f t="shared" si="262"/>
        <v>0</v>
      </c>
    </row>
    <row r="2994" spans="12:16" ht="15" hidden="1" customHeight="1">
      <c r="L2994" s="58" t="str">
        <f t="shared" si="265"/>
        <v>-</v>
      </c>
      <c r="M2994" s="59">
        <f t="shared" si="263"/>
        <v>0</v>
      </c>
      <c r="N2994" s="59">
        <f t="shared" si="261"/>
        <v>0</v>
      </c>
      <c r="O2994" s="59">
        <f t="shared" si="264"/>
        <v>0</v>
      </c>
      <c r="P2994" s="59">
        <f t="shared" si="262"/>
        <v>0</v>
      </c>
    </row>
    <row r="2995" spans="12:16" ht="15" hidden="1" customHeight="1">
      <c r="L2995" s="58" t="str">
        <f t="shared" si="265"/>
        <v>-</v>
      </c>
      <c r="M2995" s="59">
        <f t="shared" si="263"/>
        <v>0</v>
      </c>
      <c r="N2995" s="59">
        <f t="shared" si="261"/>
        <v>0</v>
      </c>
      <c r="O2995" s="59">
        <f t="shared" si="264"/>
        <v>0</v>
      </c>
      <c r="P2995" s="59">
        <f t="shared" si="262"/>
        <v>0</v>
      </c>
    </row>
    <row r="2996" spans="12:16" ht="15" hidden="1" customHeight="1">
      <c r="L2996" s="58" t="str">
        <f t="shared" si="265"/>
        <v>-</v>
      </c>
      <c r="M2996" s="59">
        <f t="shared" si="263"/>
        <v>0</v>
      </c>
      <c r="N2996" s="59">
        <f t="shared" ref="N2996:N3008" si="266">IF(ISNUMBER(N2995),N2995-M2996,$E$8)</f>
        <v>0</v>
      </c>
      <c r="O2996" s="59">
        <f t="shared" si="264"/>
        <v>0</v>
      </c>
      <c r="P2996" s="59">
        <f t="shared" ref="P2996:P3008" si="267">IFERROR(IF(ISNUMBER(N2995),N2995,$E$8)*3%/IF(MOD(YEAR(L2996),4),365,366)*IF(ISBLANK(L2995),(L2996-$F$5),L2996-L2995),0)</f>
        <v>0</v>
      </c>
    </row>
    <row r="2997" spans="12:16" ht="15" hidden="1" customHeight="1">
      <c r="L2997" s="58" t="str">
        <f t="shared" si="265"/>
        <v>-</v>
      </c>
      <c r="M2997" s="59">
        <f t="shared" si="263"/>
        <v>0</v>
      </c>
      <c r="N2997" s="59">
        <f t="shared" si="266"/>
        <v>0</v>
      </c>
      <c r="O2997" s="59">
        <f t="shared" si="264"/>
        <v>0</v>
      </c>
      <c r="P2997" s="59">
        <f t="shared" si="267"/>
        <v>0</v>
      </c>
    </row>
    <row r="2998" spans="12:16" ht="15" hidden="1" customHeight="1">
      <c r="L2998" s="58" t="str">
        <f t="shared" si="265"/>
        <v>-</v>
      </c>
      <c r="M2998" s="59">
        <f t="shared" si="263"/>
        <v>0</v>
      </c>
      <c r="N2998" s="59">
        <f t="shared" si="266"/>
        <v>0</v>
      </c>
      <c r="O2998" s="59">
        <f t="shared" si="264"/>
        <v>0</v>
      </c>
      <c r="P2998" s="59">
        <f t="shared" si="267"/>
        <v>0</v>
      </c>
    </row>
    <row r="2999" spans="12:16" ht="15" hidden="1" customHeight="1">
      <c r="L2999" s="58" t="str">
        <f t="shared" si="265"/>
        <v>-</v>
      </c>
      <c r="M2999" s="59">
        <f t="shared" si="263"/>
        <v>0</v>
      </c>
      <c r="N2999" s="59">
        <f t="shared" si="266"/>
        <v>0</v>
      </c>
      <c r="O2999" s="59">
        <f t="shared" si="264"/>
        <v>0</v>
      </c>
      <c r="P2999" s="59">
        <f t="shared" si="267"/>
        <v>0</v>
      </c>
    </row>
    <row r="3000" spans="12:16" ht="15" hidden="1" customHeight="1">
      <c r="L3000" s="58" t="str">
        <f t="shared" si="265"/>
        <v>-</v>
      </c>
      <c r="M3000" s="59">
        <f t="shared" si="263"/>
        <v>0</v>
      </c>
      <c r="N3000" s="59">
        <f t="shared" si="266"/>
        <v>0</v>
      </c>
      <c r="O3000" s="59">
        <f t="shared" si="264"/>
        <v>0</v>
      </c>
      <c r="P3000" s="59">
        <f t="shared" si="267"/>
        <v>0</v>
      </c>
    </row>
    <row r="3001" spans="12:16" ht="15" hidden="1" customHeight="1">
      <c r="L3001" s="58" t="str">
        <f t="shared" si="265"/>
        <v>-</v>
      </c>
      <c r="M3001" s="59">
        <f t="shared" si="263"/>
        <v>0</v>
      </c>
      <c r="N3001" s="59">
        <f t="shared" si="266"/>
        <v>0</v>
      </c>
      <c r="O3001" s="59">
        <f t="shared" si="264"/>
        <v>0</v>
      </c>
      <c r="P3001" s="59">
        <f t="shared" si="267"/>
        <v>0</v>
      </c>
    </row>
    <row r="3002" spans="12:16" ht="15" hidden="1" customHeight="1">
      <c r="L3002" s="58" t="str">
        <f t="shared" si="265"/>
        <v>-</v>
      </c>
      <c r="M3002" s="59">
        <f t="shared" si="263"/>
        <v>0</v>
      </c>
      <c r="N3002" s="59">
        <f t="shared" si="266"/>
        <v>0</v>
      </c>
      <c r="O3002" s="59">
        <f t="shared" si="264"/>
        <v>0</v>
      </c>
      <c r="P3002" s="59">
        <f t="shared" si="267"/>
        <v>0</v>
      </c>
    </row>
    <row r="3003" spans="12:16" ht="15" hidden="1" customHeight="1">
      <c r="L3003" s="58" t="str">
        <f t="shared" si="265"/>
        <v>-</v>
      </c>
      <c r="M3003" s="59">
        <f t="shared" si="263"/>
        <v>0</v>
      </c>
      <c r="N3003" s="59">
        <f t="shared" si="266"/>
        <v>0</v>
      </c>
      <c r="O3003" s="59">
        <f t="shared" si="264"/>
        <v>0</v>
      </c>
      <c r="P3003" s="59">
        <f t="shared" si="267"/>
        <v>0</v>
      </c>
    </row>
    <row r="3004" spans="12:16" ht="15" hidden="1" customHeight="1">
      <c r="L3004" s="58" t="str">
        <f t="shared" si="265"/>
        <v>-</v>
      </c>
      <c r="M3004" s="59">
        <f t="shared" si="263"/>
        <v>0</v>
      </c>
      <c r="N3004" s="59">
        <f t="shared" si="266"/>
        <v>0</v>
      </c>
      <c r="O3004" s="59">
        <f t="shared" si="264"/>
        <v>0</v>
      </c>
      <c r="P3004" s="59">
        <f t="shared" si="267"/>
        <v>0</v>
      </c>
    </row>
    <row r="3005" spans="12:16" ht="15" hidden="1" customHeight="1">
      <c r="L3005" s="58" t="str">
        <f t="shared" si="265"/>
        <v>-</v>
      </c>
      <c r="M3005" s="59">
        <f t="shared" si="263"/>
        <v>0</v>
      </c>
      <c r="N3005" s="59">
        <f t="shared" si="266"/>
        <v>0</v>
      </c>
      <c r="O3005" s="59">
        <f t="shared" si="264"/>
        <v>0</v>
      </c>
      <c r="P3005" s="59">
        <f t="shared" si="267"/>
        <v>0</v>
      </c>
    </row>
    <row r="3006" spans="12:16" ht="15" hidden="1" customHeight="1">
      <c r="L3006" s="58" t="str">
        <f t="shared" si="265"/>
        <v>-</v>
      </c>
      <c r="M3006" s="59">
        <f t="shared" si="263"/>
        <v>0</v>
      </c>
      <c r="N3006" s="59">
        <f t="shared" si="266"/>
        <v>0</v>
      </c>
      <c r="O3006" s="59">
        <f t="shared" si="264"/>
        <v>0</v>
      </c>
      <c r="P3006" s="59">
        <f t="shared" si="267"/>
        <v>0</v>
      </c>
    </row>
    <row r="3007" spans="12:16" ht="15" hidden="1" customHeight="1">
      <c r="L3007" s="58" t="str">
        <f t="shared" si="265"/>
        <v>-</v>
      </c>
      <c r="M3007" s="59">
        <f t="shared" si="263"/>
        <v>0</v>
      </c>
      <c r="N3007" s="59">
        <f t="shared" si="266"/>
        <v>0</v>
      </c>
      <c r="O3007" s="59">
        <f t="shared" si="264"/>
        <v>0</v>
      </c>
      <c r="P3007" s="59">
        <f t="shared" si="267"/>
        <v>0</v>
      </c>
    </row>
    <row r="3008" spans="12:16" ht="15" hidden="1" customHeight="1">
      <c r="L3008" s="58" t="str">
        <f t="shared" si="265"/>
        <v>-</v>
      </c>
      <c r="M3008" s="59">
        <f t="shared" si="263"/>
        <v>0</v>
      </c>
      <c r="N3008" s="59">
        <f t="shared" si="266"/>
        <v>0</v>
      </c>
      <c r="O3008" s="59">
        <f t="shared" si="264"/>
        <v>0</v>
      </c>
      <c r="P3008" s="59">
        <f t="shared" si="267"/>
        <v>0</v>
      </c>
    </row>
    <row r="3009" spans="12:16" ht="15" hidden="1" customHeight="1">
      <c r="L3009" s="58" t="str">
        <f t="shared" si="265"/>
        <v>-</v>
      </c>
      <c r="M3009" s="59">
        <f t="shared" si="263"/>
        <v>0</v>
      </c>
      <c r="N3009" s="59">
        <f t="shared" ref="N3009:N3072" si="268">IF(ISNUMBER(N3008),N3008-M3009,$E$8)</f>
        <v>0</v>
      </c>
      <c r="O3009" s="59">
        <f t="shared" si="264"/>
        <v>0</v>
      </c>
      <c r="P3009" s="59">
        <f t="shared" ref="P3009:P3072" si="269">IFERROR(IF(ISNUMBER(N3008),N3008,$E$8)*3%/IF(MOD(YEAR(L3009),4),365,366)*IF(ISBLANK(L3008),(L3009-$F$5),L3009-L3008),0)</f>
        <v>0</v>
      </c>
    </row>
    <row r="3010" spans="12:16" ht="15" hidden="1" customHeight="1">
      <c r="L3010" s="58" t="str">
        <f t="shared" si="265"/>
        <v>-</v>
      </c>
      <c r="M3010" s="59">
        <f t="shared" si="263"/>
        <v>0</v>
      </c>
      <c r="N3010" s="59">
        <f t="shared" si="268"/>
        <v>0</v>
      </c>
      <c r="O3010" s="59">
        <f t="shared" si="264"/>
        <v>0</v>
      </c>
      <c r="P3010" s="59">
        <f t="shared" si="269"/>
        <v>0</v>
      </c>
    </row>
    <row r="3011" spans="12:16" ht="15" hidden="1" customHeight="1">
      <c r="L3011" s="58" t="str">
        <f t="shared" si="265"/>
        <v>-</v>
      </c>
      <c r="M3011" s="59">
        <f t="shared" si="263"/>
        <v>0</v>
      </c>
      <c r="N3011" s="59">
        <f t="shared" si="268"/>
        <v>0</v>
      </c>
      <c r="O3011" s="59">
        <f t="shared" si="264"/>
        <v>0</v>
      </c>
      <c r="P3011" s="59">
        <f t="shared" si="269"/>
        <v>0</v>
      </c>
    </row>
    <row r="3012" spans="12:16" ht="15" hidden="1" customHeight="1">
      <c r="L3012" s="58" t="str">
        <f t="shared" si="265"/>
        <v>-</v>
      </c>
      <c r="M3012" s="59">
        <f t="shared" si="263"/>
        <v>0</v>
      </c>
      <c r="N3012" s="59">
        <f t="shared" si="268"/>
        <v>0</v>
      </c>
      <c r="O3012" s="59">
        <f t="shared" si="264"/>
        <v>0</v>
      </c>
      <c r="P3012" s="59">
        <f t="shared" si="269"/>
        <v>0</v>
      </c>
    </row>
    <row r="3013" spans="12:16" ht="15" hidden="1" customHeight="1">
      <c r="L3013" s="58" t="str">
        <f t="shared" si="265"/>
        <v>-</v>
      </c>
      <c r="M3013" s="59">
        <f t="shared" si="263"/>
        <v>0</v>
      </c>
      <c r="N3013" s="59">
        <f t="shared" si="268"/>
        <v>0</v>
      </c>
      <c r="O3013" s="59">
        <f t="shared" si="264"/>
        <v>0</v>
      </c>
      <c r="P3013" s="59">
        <f t="shared" si="269"/>
        <v>0</v>
      </c>
    </row>
    <row r="3014" spans="12:16" ht="15" hidden="1" customHeight="1">
      <c r="L3014" s="58" t="str">
        <f t="shared" si="265"/>
        <v>-</v>
      </c>
      <c r="M3014" s="59">
        <f t="shared" si="263"/>
        <v>0</v>
      </c>
      <c r="N3014" s="59">
        <f t="shared" si="268"/>
        <v>0</v>
      </c>
      <c r="O3014" s="59">
        <f t="shared" si="264"/>
        <v>0</v>
      </c>
      <c r="P3014" s="59">
        <f t="shared" si="269"/>
        <v>0</v>
      </c>
    </row>
    <row r="3015" spans="12:16" ht="15" hidden="1" customHeight="1">
      <c r="L3015" s="58" t="str">
        <f t="shared" si="265"/>
        <v>-</v>
      </c>
      <c r="M3015" s="59">
        <f t="shared" si="263"/>
        <v>0</v>
      </c>
      <c r="N3015" s="59">
        <f t="shared" si="268"/>
        <v>0</v>
      </c>
      <c r="O3015" s="59">
        <f t="shared" si="264"/>
        <v>0</v>
      </c>
      <c r="P3015" s="59">
        <f t="shared" si="269"/>
        <v>0</v>
      </c>
    </row>
    <row r="3016" spans="12:16" ht="15" hidden="1" customHeight="1">
      <c r="L3016" s="58" t="str">
        <f t="shared" si="265"/>
        <v>-</v>
      </c>
      <c r="M3016" s="59">
        <f t="shared" si="263"/>
        <v>0</v>
      </c>
      <c r="N3016" s="59">
        <f t="shared" si="268"/>
        <v>0</v>
      </c>
      <c r="O3016" s="59">
        <f t="shared" si="264"/>
        <v>0</v>
      </c>
      <c r="P3016" s="59">
        <f t="shared" si="269"/>
        <v>0</v>
      </c>
    </row>
    <row r="3017" spans="12:16" ht="15" hidden="1" customHeight="1">
      <c r="L3017" s="58" t="str">
        <f t="shared" si="265"/>
        <v>-</v>
      </c>
      <c r="M3017" s="59">
        <f t="shared" si="263"/>
        <v>0</v>
      </c>
      <c r="N3017" s="59">
        <f t="shared" si="268"/>
        <v>0</v>
      </c>
      <c r="O3017" s="59">
        <f t="shared" si="264"/>
        <v>0</v>
      </c>
      <c r="P3017" s="59">
        <f t="shared" si="269"/>
        <v>0</v>
      </c>
    </row>
    <row r="3018" spans="12:16" ht="15" hidden="1" customHeight="1">
      <c r="L3018" s="58" t="str">
        <f t="shared" si="265"/>
        <v>-</v>
      </c>
      <c r="M3018" s="59">
        <f t="shared" si="263"/>
        <v>0</v>
      </c>
      <c r="N3018" s="59">
        <f t="shared" si="268"/>
        <v>0</v>
      </c>
      <c r="O3018" s="59">
        <f t="shared" si="264"/>
        <v>0</v>
      </c>
      <c r="P3018" s="59">
        <f t="shared" si="269"/>
        <v>0</v>
      </c>
    </row>
    <row r="3019" spans="12:16" ht="15" hidden="1" customHeight="1">
      <c r="L3019" s="58" t="str">
        <f t="shared" si="265"/>
        <v>-</v>
      </c>
      <c r="M3019" s="59">
        <f t="shared" si="263"/>
        <v>0</v>
      </c>
      <c r="N3019" s="59">
        <f t="shared" si="268"/>
        <v>0</v>
      </c>
      <c r="O3019" s="59">
        <f t="shared" si="264"/>
        <v>0</v>
      </c>
      <c r="P3019" s="59">
        <f t="shared" si="269"/>
        <v>0</v>
      </c>
    </row>
    <row r="3020" spans="12:16" ht="15" hidden="1" customHeight="1">
      <c r="L3020" s="58" t="str">
        <f t="shared" si="265"/>
        <v>-</v>
      </c>
      <c r="M3020" s="59">
        <f t="shared" si="263"/>
        <v>0</v>
      </c>
      <c r="N3020" s="59">
        <f t="shared" si="268"/>
        <v>0</v>
      </c>
      <c r="O3020" s="59">
        <f t="shared" si="264"/>
        <v>0</v>
      </c>
      <c r="P3020" s="59">
        <f t="shared" si="269"/>
        <v>0</v>
      </c>
    </row>
    <row r="3021" spans="12:16" ht="15" hidden="1" customHeight="1">
      <c r="L3021" s="58" t="str">
        <f t="shared" si="265"/>
        <v>-</v>
      </c>
      <c r="M3021" s="59">
        <f t="shared" si="263"/>
        <v>0</v>
      </c>
      <c r="N3021" s="59">
        <f t="shared" si="268"/>
        <v>0</v>
      </c>
      <c r="O3021" s="59">
        <f t="shared" si="264"/>
        <v>0</v>
      </c>
      <c r="P3021" s="59">
        <f t="shared" si="269"/>
        <v>0</v>
      </c>
    </row>
    <row r="3022" spans="12:16" ht="15" hidden="1" customHeight="1">
      <c r="L3022" s="58" t="str">
        <f t="shared" si="265"/>
        <v>-</v>
      </c>
      <c r="M3022" s="59">
        <f t="shared" si="263"/>
        <v>0</v>
      </c>
      <c r="N3022" s="59">
        <f t="shared" si="268"/>
        <v>0</v>
      </c>
      <c r="O3022" s="59">
        <f t="shared" si="264"/>
        <v>0</v>
      </c>
      <c r="P3022" s="59">
        <f t="shared" si="269"/>
        <v>0</v>
      </c>
    </row>
    <row r="3023" spans="12:16" ht="15" hidden="1" customHeight="1">
      <c r="L3023" s="58" t="str">
        <f t="shared" si="265"/>
        <v>-</v>
      </c>
      <c r="M3023" s="59">
        <f t="shared" si="263"/>
        <v>0</v>
      </c>
      <c r="N3023" s="59">
        <f t="shared" si="268"/>
        <v>0</v>
      </c>
      <c r="O3023" s="59">
        <f t="shared" si="264"/>
        <v>0</v>
      </c>
      <c r="P3023" s="59">
        <f t="shared" si="269"/>
        <v>0</v>
      </c>
    </row>
    <row r="3024" spans="12:16" ht="15" hidden="1" customHeight="1">
      <c r="L3024" s="58" t="str">
        <f t="shared" si="265"/>
        <v>-</v>
      </c>
      <c r="M3024" s="59">
        <f t="shared" si="263"/>
        <v>0</v>
      </c>
      <c r="N3024" s="59">
        <f t="shared" si="268"/>
        <v>0</v>
      </c>
      <c r="O3024" s="59">
        <f t="shared" si="264"/>
        <v>0</v>
      </c>
      <c r="P3024" s="59">
        <f t="shared" si="269"/>
        <v>0</v>
      </c>
    </row>
    <row r="3025" spans="12:16" ht="15" hidden="1" customHeight="1">
      <c r="L3025" s="58" t="str">
        <f t="shared" si="265"/>
        <v>-</v>
      </c>
      <c r="M3025" s="59">
        <f t="shared" si="263"/>
        <v>0</v>
      </c>
      <c r="N3025" s="59">
        <f t="shared" si="268"/>
        <v>0</v>
      </c>
      <c r="O3025" s="59">
        <f t="shared" si="264"/>
        <v>0</v>
      </c>
      <c r="P3025" s="59">
        <f t="shared" si="269"/>
        <v>0</v>
      </c>
    </row>
    <row r="3026" spans="12:16" ht="15" hidden="1" customHeight="1">
      <c r="L3026" s="58" t="str">
        <f t="shared" si="265"/>
        <v>-</v>
      </c>
      <c r="M3026" s="59">
        <f t="shared" si="263"/>
        <v>0</v>
      </c>
      <c r="N3026" s="59">
        <f t="shared" si="268"/>
        <v>0</v>
      </c>
      <c r="O3026" s="59">
        <f t="shared" si="264"/>
        <v>0</v>
      </c>
      <c r="P3026" s="59">
        <f t="shared" si="269"/>
        <v>0</v>
      </c>
    </row>
    <row r="3027" spans="12:16" ht="15" hidden="1" customHeight="1">
      <c r="L3027" s="58" t="str">
        <f t="shared" si="265"/>
        <v>-</v>
      </c>
      <c r="M3027" s="59">
        <f t="shared" ref="M3027:M3090" si="270">IFERROR(VLOOKUP(L3027,$B$19:$E$80,4,FALSE),0)</f>
        <v>0</v>
      </c>
      <c r="N3027" s="59">
        <f t="shared" si="268"/>
        <v>0</v>
      </c>
      <c r="O3027" s="59">
        <f t="shared" ref="O3027:O3090" si="271">IFERROR(IF(ISNUMBER(N3026),N3026,$E$8)*IF(L3027&gt;=$J$8,$E$12,$E$12)/IF(MOD(YEAR(L3027),4),365,366)*IF(ISBLANK(L3026),L3027-$F$5,L3027-L3026),0)</f>
        <v>0</v>
      </c>
      <c r="P3027" s="59">
        <f t="shared" si="269"/>
        <v>0</v>
      </c>
    </row>
    <row r="3028" spans="12:16" ht="15" hidden="1" customHeight="1">
      <c r="L3028" s="58" t="str">
        <f t="shared" si="265"/>
        <v>-</v>
      </c>
      <c r="M3028" s="59">
        <f t="shared" si="270"/>
        <v>0</v>
      </c>
      <c r="N3028" s="59">
        <f t="shared" si="268"/>
        <v>0</v>
      </c>
      <c r="O3028" s="59">
        <f t="shared" si="271"/>
        <v>0</v>
      </c>
      <c r="P3028" s="59">
        <f t="shared" si="269"/>
        <v>0</v>
      </c>
    </row>
    <row r="3029" spans="12:16" ht="15" hidden="1" customHeight="1">
      <c r="L3029" s="58" t="str">
        <f t="shared" si="265"/>
        <v>-</v>
      </c>
      <c r="M3029" s="59">
        <f t="shared" si="270"/>
        <v>0</v>
      </c>
      <c r="N3029" s="59">
        <f t="shared" si="268"/>
        <v>0</v>
      </c>
      <c r="O3029" s="59">
        <f t="shared" si="271"/>
        <v>0</v>
      </c>
      <c r="P3029" s="59">
        <f t="shared" si="269"/>
        <v>0</v>
      </c>
    </row>
    <row r="3030" spans="12:16" ht="15" hidden="1" customHeight="1">
      <c r="L3030" s="58" t="str">
        <f t="shared" si="265"/>
        <v>-</v>
      </c>
      <c r="M3030" s="59">
        <f t="shared" si="270"/>
        <v>0</v>
      </c>
      <c r="N3030" s="59">
        <f t="shared" si="268"/>
        <v>0</v>
      </c>
      <c r="O3030" s="59">
        <f t="shared" si="271"/>
        <v>0</v>
      </c>
      <c r="P3030" s="59">
        <f t="shared" si="269"/>
        <v>0</v>
      </c>
    </row>
    <row r="3031" spans="12:16" ht="15" hidden="1" customHeight="1">
      <c r="L3031" s="58" t="str">
        <f t="shared" si="265"/>
        <v>-</v>
      </c>
      <c r="M3031" s="59">
        <f t="shared" si="270"/>
        <v>0</v>
      </c>
      <c r="N3031" s="59">
        <f t="shared" si="268"/>
        <v>0</v>
      </c>
      <c r="O3031" s="59">
        <f t="shared" si="271"/>
        <v>0</v>
      </c>
      <c r="P3031" s="59">
        <f t="shared" si="269"/>
        <v>0</v>
      </c>
    </row>
    <row r="3032" spans="12:16" ht="15" hidden="1" customHeight="1">
      <c r="L3032" s="58" t="str">
        <f t="shared" si="265"/>
        <v>-</v>
      </c>
      <c r="M3032" s="59">
        <f t="shared" si="270"/>
        <v>0</v>
      </c>
      <c r="N3032" s="59">
        <f t="shared" si="268"/>
        <v>0</v>
      </c>
      <c r="O3032" s="59">
        <f t="shared" si="271"/>
        <v>0</v>
      </c>
      <c r="P3032" s="59">
        <f t="shared" si="269"/>
        <v>0</v>
      </c>
    </row>
    <row r="3033" spans="12:16" ht="15" hidden="1" customHeight="1">
      <c r="L3033" s="58" t="str">
        <f t="shared" si="265"/>
        <v>-</v>
      </c>
      <c r="M3033" s="59">
        <f t="shared" si="270"/>
        <v>0</v>
      </c>
      <c r="N3033" s="59">
        <f t="shared" si="268"/>
        <v>0</v>
      </c>
      <c r="O3033" s="59">
        <f t="shared" si="271"/>
        <v>0</v>
      </c>
      <c r="P3033" s="59">
        <f t="shared" si="269"/>
        <v>0</v>
      </c>
    </row>
    <row r="3034" spans="12:16" ht="15" hidden="1" customHeight="1">
      <c r="L3034" s="58" t="str">
        <f t="shared" si="265"/>
        <v>-</v>
      </c>
      <c r="M3034" s="59">
        <f t="shared" si="270"/>
        <v>0</v>
      </c>
      <c r="N3034" s="59">
        <f t="shared" si="268"/>
        <v>0</v>
      </c>
      <c r="O3034" s="59">
        <f t="shared" si="271"/>
        <v>0</v>
      </c>
      <c r="P3034" s="59">
        <f t="shared" si="269"/>
        <v>0</v>
      </c>
    </row>
    <row r="3035" spans="12:16" ht="15" hidden="1" customHeight="1">
      <c r="L3035" s="58" t="str">
        <f t="shared" si="265"/>
        <v>-</v>
      </c>
      <c r="M3035" s="59">
        <f t="shared" si="270"/>
        <v>0</v>
      </c>
      <c r="N3035" s="59">
        <f t="shared" si="268"/>
        <v>0</v>
      </c>
      <c r="O3035" s="59">
        <f t="shared" si="271"/>
        <v>0</v>
      </c>
      <c r="P3035" s="59">
        <f t="shared" si="269"/>
        <v>0</v>
      </c>
    </row>
    <row r="3036" spans="12:16" ht="15" hidden="1" customHeight="1">
      <c r="L3036" s="58" t="str">
        <f t="shared" si="265"/>
        <v>-</v>
      </c>
      <c r="M3036" s="59">
        <f t="shared" si="270"/>
        <v>0</v>
      </c>
      <c r="N3036" s="59">
        <f t="shared" si="268"/>
        <v>0</v>
      </c>
      <c r="O3036" s="59">
        <f t="shared" si="271"/>
        <v>0</v>
      </c>
      <c r="P3036" s="59">
        <f t="shared" si="269"/>
        <v>0</v>
      </c>
    </row>
    <row r="3037" spans="12:16" ht="15" hidden="1" customHeight="1">
      <c r="L3037" s="58" t="str">
        <f t="shared" si="265"/>
        <v>-</v>
      </c>
      <c r="M3037" s="59">
        <f t="shared" si="270"/>
        <v>0</v>
      </c>
      <c r="N3037" s="59">
        <f t="shared" si="268"/>
        <v>0</v>
      </c>
      <c r="O3037" s="59">
        <f t="shared" si="271"/>
        <v>0</v>
      </c>
      <c r="P3037" s="59">
        <f t="shared" si="269"/>
        <v>0</v>
      </c>
    </row>
    <row r="3038" spans="12:16" ht="15" hidden="1" customHeight="1">
      <c r="L3038" s="58" t="str">
        <f t="shared" si="265"/>
        <v>-</v>
      </c>
      <c r="M3038" s="59">
        <f t="shared" si="270"/>
        <v>0</v>
      </c>
      <c r="N3038" s="59">
        <f t="shared" si="268"/>
        <v>0</v>
      </c>
      <c r="O3038" s="59">
        <f t="shared" si="271"/>
        <v>0</v>
      </c>
      <c r="P3038" s="59">
        <f t="shared" si="269"/>
        <v>0</v>
      </c>
    </row>
    <row r="3039" spans="12:16" ht="15" hidden="1" customHeight="1">
      <c r="L3039" s="58" t="str">
        <f t="shared" si="265"/>
        <v>-</v>
      </c>
      <c r="M3039" s="59">
        <f t="shared" si="270"/>
        <v>0</v>
      </c>
      <c r="N3039" s="59">
        <f t="shared" si="268"/>
        <v>0</v>
      </c>
      <c r="O3039" s="59">
        <f t="shared" si="271"/>
        <v>0</v>
      </c>
      <c r="P3039" s="59">
        <f t="shared" si="269"/>
        <v>0</v>
      </c>
    </row>
    <row r="3040" spans="12:16" ht="15" hidden="1" customHeight="1">
      <c r="L3040" s="58" t="str">
        <f t="shared" si="265"/>
        <v>-</v>
      </c>
      <c r="M3040" s="59">
        <f t="shared" si="270"/>
        <v>0</v>
      </c>
      <c r="N3040" s="59">
        <f t="shared" si="268"/>
        <v>0</v>
      </c>
      <c r="O3040" s="59">
        <f t="shared" si="271"/>
        <v>0</v>
      </c>
      <c r="P3040" s="59">
        <f t="shared" si="269"/>
        <v>0</v>
      </c>
    </row>
    <row r="3041" spans="12:16" ht="15" hidden="1" customHeight="1">
      <c r="L3041" s="58" t="str">
        <f t="shared" si="265"/>
        <v>-</v>
      </c>
      <c r="M3041" s="59">
        <f t="shared" si="270"/>
        <v>0</v>
      </c>
      <c r="N3041" s="59">
        <f t="shared" si="268"/>
        <v>0</v>
      </c>
      <c r="O3041" s="59">
        <f t="shared" si="271"/>
        <v>0</v>
      </c>
      <c r="P3041" s="59">
        <f t="shared" si="269"/>
        <v>0</v>
      </c>
    </row>
    <row r="3042" spans="12:16" ht="15" hidden="1" customHeight="1">
      <c r="L3042" s="58" t="str">
        <f t="shared" ref="L3042:L3105" si="272">IFERROR(IF(MAX(L3041+1,$F$5+1)&gt;Дата_погашения_Займа,"-",MAX(L3041+1,$F$5+1)),"-")</f>
        <v>-</v>
      </c>
      <c r="M3042" s="59">
        <f t="shared" si="270"/>
        <v>0</v>
      </c>
      <c r="N3042" s="59">
        <f t="shared" si="268"/>
        <v>0</v>
      </c>
      <c r="O3042" s="59">
        <f t="shared" si="271"/>
        <v>0</v>
      </c>
      <c r="P3042" s="59">
        <f t="shared" si="269"/>
        <v>0</v>
      </c>
    </row>
    <row r="3043" spans="12:16" ht="15" hidden="1" customHeight="1">
      <c r="L3043" s="58" t="str">
        <f t="shared" si="272"/>
        <v>-</v>
      </c>
      <c r="M3043" s="59">
        <f t="shared" si="270"/>
        <v>0</v>
      </c>
      <c r="N3043" s="59">
        <f t="shared" si="268"/>
        <v>0</v>
      </c>
      <c r="O3043" s="59">
        <f t="shared" si="271"/>
        <v>0</v>
      </c>
      <c r="P3043" s="59">
        <f t="shared" si="269"/>
        <v>0</v>
      </c>
    </row>
    <row r="3044" spans="12:16" ht="15" hidden="1" customHeight="1">
      <c r="L3044" s="58" t="str">
        <f t="shared" si="272"/>
        <v>-</v>
      </c>
      <c r="M3044" s="59">
        <f t="shared" si="270"/>
        <v>0</v>
      </c>
      <c r="N3044" s="59">
        <f t="shared" si="268"/>
        <v>0</v>
      </c>
      <c r="O3044" s="59">
        <f t="shared" si="271"/>
        <v>0</v>
      </c>
      <c r="P3044" s="59">
        <f t="shared" si="269"/>
        <v>0</v>
      </c>
    </row>
    <row r="3045" spans="12:16" ht="15" hidden="1" customHeight="1">
      <c r="L3045" s="58" t="str">
        <f t="shared" si="272"/>
        <v>-</v>
      </c>
      <c r="M3045" s="59">
        <f t="shared" si="270"/>
        <v>0</v>
      </c>
      <c r="N3045" s="59">
        <f t="shared" si="268"/>
        <v>0</v>
      </c>
      <c r="O3045" s="59">
        <f t="shared" si="271"/>
        <v>0</v>
      </c>
      <c r="P3045" s="59">
        <f t="shared" si="269"/>
        <v>0</v>
      </c>
    </row>
    <row r="3046" spans="12:16" ht="15" hidden="1" customHeight="1">
      <c r="L3046" s="58" t="str">
        <f t="shared" si="272"/>
        <v>-</v>
      </c>
      <c r="M3046" s="59">
        <f t="shared" si="270"/>
        <v>0</v>
      </c>
      <c r="N3046" s="59">
        <f t="shared" si="268"/>
        <v>0</v>
      </c>
      <c r="O3046" s="59">
        <f t="shared" si="271"/>
        <v>0</v>
      </c>
      <c r="P3046" s="59">
        <f t="shared" si="269"/>
        <v>0</v>
      </c>
    </row>
    <row r="3047" spans="12:16" ht="15" hidden="1" customHeight="1">
      <c r="L3047" s="58" t="str">
        <f t="shared" si="272"/>
        <v>-</v>
      </c>
      <c r="M3047" s="59">
        <f t="shared" si="270"/>
        <v>0</v>
      </c>
      <c r="N3047" s="59">
        <f t="shared" si="268"/>
        <v>0</v>
      </c>
      <c r="O3047" s="59">
        <f t="shared" si="271"/>
        <v>0</v>
      </c>
      <c r="P3047" s="59">
        <f t="shared" si="269"/>
        <v>0</v>
      </c>
    </row>
    <row r="3048" spans="12:16" ht="15" hidden="1" customHeight="1">
      <c r="L3048" s="58" t="str">
        <f t="shared" si="272"/>
        <v>-</v>
      </c>
      <c r="M3048" s="59">
        <f t="shared" si="270"/>
        <v>0</v>
      </c>
      <c r="N3048" s="59">
        <f t="shared" si="268"/>
        <v>0</v>
      </c>
      <c r="O3048" s="59">
        <f t="shared" si="271"/>
        <v>0</v>
      </c>
      <c r="P3048" s="59">
        <f t="shared" si="269"/>
        <v>0</v>
      </c>
    </row>
    <row r="3049" spans="12:16" ht="15" hidden="1" customHeight="1">
      <c r="L3049" s="58" t="str">
        <f t="shared" si="272"/>
        <v>-</v>
      </c>
      <c r="M3049" s="59">
        <f t="shared" si="270"/>
        <v>0</v>
      </c>
      <c r="N3049" s="59">
        <f t="shared" si="268"/>
        <v>0</v>
      </c>
      <c r="O3049" s="59">
        <f t="shared" si="271"/>
        <v>0</v>
      </c>
      <c r="P3049" s="59">
        <f t="shared" si="269"/>
        <v>0</v>
      </c>
    </row>
    <row r="3050" spans="12:16" ht="15" hidden="1" customHeight="1">
      <c r="L3050" s="58" t="str">
        <f t="shared" si="272"/>
        <v>-</v>
      </c>
      <c r="M3050" s="59">
        <f t="shared" si="270"/>
        <v>0</v>
      </c>
      <c r="N3050" s="59">
        <f t="shared" si="268"/>
        <v>0</v>
      </c>
      <c r="O3050" s="59">
        <f t="shared" si="271"/>
        <v>0</v>
      </c>
      <c r="P3050" s="59">
        <f t="shared" si="269"/>
        <v>0</v>
      </c>
    </row>
    <row r="3051" spans="12:16" ht="15" hidden="1" customHeight="1">
      <c r="L3051" s="58" t="str">
        <f t="shared" si="272"/>
        <v>-</v>
      </c>
      <c r="M3051" s="59">
        <f t="shared" si="270"/>
        <v>0</v>
      </c>
      <c r="N3051" s="59">
        <f t="shared" si="268"/>
        <v>0</v>
      </c>
      <c r="O3051" s="59">
        <f t="shared" si="271"/>
        <v>0</v>
      </c>
      <c r="P3051" s="59">
        <f t="shared" si="269"/>
        <v>0</v>
      </c>
    </row>
    <row r="3052" spans="12:16" ht="15" hidden="1" customHeight="1">
      <c r="L3052" s="58" t="str">
        <f t="shared" si="272"/>
        <v>-</v>
      </c>
      <c r="M3052" s="59">
        <f t="shared" si="270"/>
        <v>0</v>
      </c>
      <c r="N3052" s="59">
        <f t="shared" si="268"/>
        <v>0</v>
      </c>
      <c r="O3052" s="59">
        <f t="shared" si="271"/>
        <v>0</v>
      </c>
      <c r="P3052" s="59">
        <f t="shared" si="269"/>
        <v>0</v>
      </c>
    </row>
    <row r="3053" spans="12:16" ht="15" hidden="1" customHeight="1">
      <c r="L3053" s="58" t="str">
        <f t="shared" si="272"/>
        <v>-</v>
      </c>
      <c r="M3053" s="59">
        <f t="shared" si="270"/>
        <v>0</v>
      </c>
      <c r="N3053" s="59">
        <f t="shared" si="268"/>
        <v>0</v>
      </c>
      <c r="O3053" s="59">
        <f t="shared" si="271"/>
        <v>0</v>
      </c>
      <c r="P3053" s="59">
        <f t="shared" si="269"/>
        <v>0</v>
      </c>
    </row>
    <row r="3054" spans="12:16" ht="15" hidden="1" customHeight="1">
      <c r="L3054" s="58" t="str">
        <f t="shared" si="272"/>
        <v>-</v>
      </c>
      <c r="M3054" s="59">
        <f t="shared" si="270"/>
        <v>0</v>
      </c>
      <c r="N3054" s="59">
        <f t="shared" si="268"/>
        <v>0</v>
      </c>
      <c r="O3054" s="59">
        <f t="shared" si="271"/>
        <v>0</v>
      </c>
      <c r="P3054" s="59">
        <f t="shared" si="269"/>
        <v>0</v>
      </c>
    </row>
    <row r="3055" spans="12:16" ht="15" hidden="1" customHeight="1">
      <c r="L3055" s="58" t="str">
        <f t="shared" si="272"/>
        <v>-</v>
      </c>
      <c r="M3055" s="59">
        <f t="shared" si="270"/>
        <v>0</v>
      </c>
      <c r="N3055" s="59">
        <f t="shared" si="268"/>
        <v>0</v>
      </c>
      <c r="O3055" s="59">
        <f t="shared" si="271"/>
        <v>0</v>
      </c>
      <c r="P3055" s="59">
        <f t="shared" si="269"/>
        <v>0</v>
      </c>
    </row>
    <row r="3056" spans="12:16" ht="15" hidden="1" customHeight="1">
      <c r="L3056" s="58" t="str">
        <f t="shared" si="272"/>
        <v>-</v>
      </c>
      <c r="M3056" s="59">
        <f t="shared" si="270"/>
        <v>0</v>
      </c>
      <c r="N3056" s="59">
        <f t="shared" si="268"/>
        <v>0</v>
      </c>
      <c r="O3056" s="59">
        <f t="shared" si="271"/>
        <v>0</v>
      </c>
      <c r="P3056" s="59">
        <f t="shared" si="269"/>
        <v>0</v>
      </c>
    </row>
    <row r="3057" spans="12:16" ht="15" hidden="1" customHeight="1">
      <c r="L3057" s="58" t="str">
        <f t="shared" si="272"/>
        <v>-</v>
      </c>
      <c r="M3057" s="59">
        <f t="shared" si="270"/>
        <v>0</v>
      </c>
      <c r="N3057" s="59">
        <f t="shared" si="268"/>
        <v>0</v>
      </c>
      <c r="O3057" s="59">
        <f t="shared" si="271"/>
        <v>0</v>
      </c>
      <c r="P3057" s="59">
        <f t="shared" si="269"/>
        <v>0</v>
      </c>
    </row>
    <row r="3058" spans="12:16" ht="15" hidden="1" customHeight="1">
      <c r="L3058" s="58" t="str">
        <f t="shared" si="272"/>
        <v>-</v>
      </c>
      <c r="M3058" s="59">
        <f t="shared" si="270"/>
        <v>0</v>
      </c>
      <c r="N3058" s="59">
        <f t="shared" si="268"/>
        <v>0</v>
      </c>
      <c r="O3058" s="59">
        <f t="shared" si="271"/>
        <v>0</v>
      </c>
      <c r="P3058" s="59">
        <f t="shared" si="269"/>
        <v>0</v>
      </c>
    </row>
    <row r="3059" spans="12:16" ht="15" hidden="1" customHeight="1">
      <c r="L3059" s="58" t="str">
        <f t="shared" si="272"/>
        <v>-</v>
      </c>
      <c r="M3059" s="59">
        <f t="shared" si="270"/>
        <v>0</v>
      </c>
      <c r="N3059" s="59">
        <f t="shared" si="268"/>
        <v>0</v>
      </c>
      <c r="O3059" s="59">
        <f t="shared" si="271"/>
        <v>0</v>
      </c>
      <c r="P3059" s="59">
        <f t="shared" si="269"/>
        <v>0</v>
      </c>
    </row>
    <row r="3060" spans="12:16" ht="15" hidden="1" customHeight="1">
      <c r="L3060" s="58" t="str">
        <f t="shared" si="272"/>
        <v>-</v>
      </c>
      <c r="M3060" s="59">
        <f t="shared" si="270"/>
        <v>0</v>
      </c>
      <c r="N3060" s="59">
        <f t="shared" si="268"/>
        <v>0</v>
      </c>
      <c r="O3060" s="59">
        <f t="shared" si="271"/>
        <v>0</v>
      </c>
      <c r="P3060" s="59">
        <f t="shared" si="269"/>
        <v>0</v>
      </c>
    </row>
    <row r="3061" spans="12:16" ht="15" hidden="1" customHeight="1">
      <c r="L3061" s="58" t="str">
        <f t="shared" si="272"/>
        <v>-</v>
      </c>
      <c r="M3061" s="59">
        <f t="shared" si="270"/>
        <v>0</v>
      </c>
      <c r="N3061" s="59">
        <f t="shared" si="268"/>
        <v>0</v>
      </c>
      <c r="O3061" s="59">
        <f t="shared" si="271"/>
        <v>0</v>
      </c>
      <c r="P3061" s="59">
        <f t="shared" si="269"/>
        <v>0</v>
      </c>
    </row>
    <row r="3062" spans="12:16" ht="15" hidden="1" customHeight="1">
      <c r="L3062" s="58" t="str">
        <f t="shared" si="272"/>
        <v>-</v>
      </c>
      <c r="M3062" s="59">
        <f t="shared" si="270"/>
        <v>0</v>
      </c>
      <c r="N3062" s="59">
        <f t="shared" si="268"/>
        <v>0</v>
      </c>
      <c r="O3062" s="59">
        <f t="shared" si="271"/>
        <v>0</v>
      </c>
      <c r="P3062" s="59">
        <f t="shared" si="269"/>
        <v>0</v>
      </c>
    </row>
    <row r="3063" spans="12:16" ht="15" hidden="1" customHeight="1">
      <c r="L3063" s="58" t="str">
        <f t="shared" si="272"/>
        <v>-</v>
      </c>
      <c r="M3063" s="59">
        <f t="shared" si="270"/>
        <v>0</v>
      </c>
      <c r="N3063" s="59">
        <f t="shared" si="268"/>
        <v>0</v>
      </c>
      <c r="O3063" s="59">
        <f t="shared" si="271"/>
        <v>0</v>
      </c>
      <c r="P3063" s="59">
        <f t="shared" si="269"/>
        <v>0</v>
      </c>
    </row>
    <row r="3064" spans="12:16" ht="15" hidden="1" customHeight="1">
      <c r="L3064" s="58" t="str">
        <f t="shared" si="272"/>
        <v>-</v>
      </c>
      <c r="M3064" s="59">
        <f t="shared" si="270"/>
        <v>0</v>
      </c>
      <c r="N3064" s="59">
        <f t="shared" si="268"/>
        <v>0</v>
      </c>
      <c r="O3064" s="59">
        <f t="shared" si="271"/>
        <v>0</v>
      </c>
      <c r="P3064" s="59">
        <f t="shared" si="269"/>
        <v>0</v>
      </c>
    </row>
    <row r="3065" spans="12:16" ht="15" hidden="1" customHeight="1">
      <c r="L3065" s="58" t="str">
        <f t="shared" si="272"/>
        <v>-</v>
      </c>
      <c r="M3065" s="59">
        <f t="shared" si="270"/>
        <v>0</v>
      </c>
      <c r="N3065" s="59">
        <f t="shared" si="268"/>
        <v>0</v>
      </c>
      <c r="O3065" s="59">
        <f t="shared" si="271"/>
        <v>0</v>
      </c>
      <c r="P3065" s="59">
        <f t="shared" si="269"/>
        <v>0</v>
      </c>
    </row>
    <row r="3066" spans="12:16" ht="15" hidden="1" customHeight="1">
      <c r="L3066" s="58" t="str">
        <f t="shared" si="272"/>
        <v>-</v>
      </c>
      <c r="M3066" s="59">
        <f t="shared" si="270"/>
        <v>0</v>
      </c>
      <c r="N3066" s="59">
        <f t="shared" si="268"/>
        <v>0</v>
      </c>
      <c r="O3066" s="59">
        <f t="shared" si="271"/>
        <v>0</v>
      </c>
      <c r="P3066" s="59">
        <f t="shared" si="269"/>
        <v>0</v>
      </c>
    </row>
    <row r="3067" spans="12:16" ht="15" hidden="1" customHeight="1">
      <c r="L3067" s="58" t="str">
        <f t="shared" si="272"/>
        <v>-</v>
      </c>
      <c r="M3067" s="59">
        <f t="shared" si="270"/>
        <v>0</v>
      </c>
      <c r="N3067" s="59">
        <f t="shared" si="268"/>
        <v>0</v>
      </c>
      <c r="O3067" s="59">
        <f t="shared" si="271"/>
        <v>0</v>
      </c>
      <c r="P3067" s="59">
        <f t="shared" si="269"/>
        <v>0</v>
      </c>
    </row>
    <row r="3068" spans="12:16" ht="15" hidden="1" customHeight="1">
      <c r="L3068" s="58" t="str">
        <f t="shared" si="272"/>
        <v>-</v>
      </c>
      <c r="M3068" s="59">
        <f t="shared" si="270"/>
        <v>0</v>
      </c>
      <c r="N3068" s="59">
        <f t="shared" si="268"/>
        <v>0</v>
      </c>
      <c r="O3068" s="59">
        <f t="shared" si="271"/>
        <v>0</v>
      </c>
      <c r="P3068" s="59">
        <f t="shared" si="269"/>
        <v>0</v>
      </c>
    </row>
    <row r="3069" spans="12:16" ht="15" hidden="1" customHeight="1">
      <c r="L3069" s="58" t="str">
        <f t="shared" si="272"/>
        <v>-</v>
      </c>
      <c r="M3069" s="59">
        <f t="shared" si="270"/>
        <v>0</v>
      </c>
      <c r="N3069" s="59">
        <f t="shared" si="268"/>
        <v>0</v>
      </c>
      <c r="O3069" s="59">
        <f t="shared" si="271"/>
        <v>0</v>
      </c>
      <c r="P3069" s="59">
        <f t="shared" si="269"/>
        <v>0</v>
      </c>
    </row>
    <row r="3070" spans="12:16" ht="15" hidden="1" customHeight="1">
      <c r="L3070" s="58" t="str">
        <f t="shared" si="272"/>
        <v>-</v>
      </c>
      <c r="M3070" s="59">
        <f t="shared" si="270"/>
        <v>0</v>
      </c>
      <c r="N3070" s="59">
        <f t="shared" si="268"/>
        <v>0</v>
      </c>
      <c r="O3070" s="59">
        <f t="shared" si="271"/>
        <v>0</v>
      </c>
      <c r="P3070" s="59">
        <f t="shared" si="269"/>
        <v>0</v>
      </c>
    </row>
    <row r="3071" spans="12:16" ht="15" hidden="1" customHeight="1">
      <c r="L3071" s="58" t="str">
        <f t="shared" si="272"/>
        <v>-</v>
      </c>
      <c r="M3071" s="59">
        <f t="shared" si="270"/>
        <v>0</v>
      </c>
      <c r="N3071" s="59">
        <f t="shared" si="268"/>
        <v>0</v>
      </c>
      <c r="O3071" s="59">
        <f t="shared" si="271"/>
        <v>0</v>
      </c>
      <c r="P3071" s="59">
        <f t="shared" si="269"/>
        <v>0</v>
      </c>
    </row>
    <row r="3072" spans="12:16" ht="15" hidden="1" customHeight="1">
      <c r="L3072" s="58" t="str">
        <f t="shared" si="272"/>
        <v>-</v>
      </c>
      <c r="M3072" s="59">
        <f t="shared" si="270"/>
        <v>0</v>
      </c>
      <c r="N3072" s="59">
        <f t="shared" si="268"/>
        <v>0</v>
      </c>
      <c r="O3072" s="59">
        <f t="shared" si="271"/>
        <v>0</v>
      </c>
      <c r="P3072" s="59">
        <f t="shared" si="269"/>
        <v>0</v>
      </c>
    </row>
    <row r="3073" spans="12:16" ht="15" hidden="1" customHeight="1">
      <c r="L3073" s="58" t="str">
        <f t="shared" si="272"/>
        <v>-</v>
      </c>
      <c r="M3073" s="59">
        <f t="shared" si="270"/>
        <v>0</v>
      </c>
      <c r="N3073" s="59">
        <f t="shared" ref="N3073:N3136" si="273">IF(ISNUMBER(N3072),N3072-M3073,$E$8)</f>
        <v>0</v>
      </c>
      <c r="O3073" s="59">
        <f t="shared" si="271"/>
        <v>0</v>
      </c>
      <c r="P3073" s="59">
        <f t="shared" ref="P3073:P3136" si="274">IFERROR(IF(ISNUMBER(N3072),N3072,$E$8)*3%/IF(MOD(YEAR(L3073),4),365,366)*IF(ISBLANK(L3072),(L3073-$F$5),L3073-L3072),0)</f>
        <v>0</v>
      </c>
    </row>
    <row r="3074" spans="12:16" ht="15" hidden="1" customHeight="1">
      <c r="L3074" s="58" t="str">
        <f t="shared" si="272"/>
        <v>-</v>
      </c>
      <c r="M3074" s="59">
        <f t="shared" si="270"/>
        <v>0</v>
      </c>
      <c r="N3074" s="59">
        <f t="shared" si="273"/>
        <v>0</v>
      </c>
      <c r="O3074" s="59">
        <f t="shared" si="271"/>
        <v>0</v>
      </c>
      <c r="P3074" s="59">
        <f t="shared" si="274"/>
        <v>0</v>
      </c>
    </row>
    <row r="3075" spans="12:16" ht="15" hidden="1" customHeight="1">
      <c r="L3075" s="58" t="str">
        <f t="shared" si="272"/>
        <v>-</v>
      </c>
      <c r="M3075" s="59">
        <f t="shared" si="270"/>
        <v>0</v>
      </c>
      <c r="N3075" s="59">
        <f t="shared" si="273"/>
        <v>0</v>
      </c>
      <c r="O3075" s="59">
        <f t="shared" si="271"/>
        <v>0</v>
      </c>
      <c r="P3075" s="59">
        <f t="shared" si="274"/>
        <v>0</v>
      </c>
    </row>
    <row r="3076" spans="12:16" ht="15" hidden="1" customHeight="1">
      <c r="L3076" s="58" t="str">
        <f t="shared" si="272"/>
        <v>-</v>
      </c>
      <c r="M3076" s="59">
        <f t="shared" si="270"/>
        <v>0</v>
      </c>
      <c r="N3076" s="59">
        <f t="shared" si="273"/>
        <v>0</v>
      </c>
      <c r="O3076" s="59">
        <f t="shared" si="271"/>
        <v>0</v>
      </c>
      <c r="P3076" s="59">
        <f t="shared" si="274"/>
        <v>0</v>
      </c>
    </row>
    <row r="3077" spans="12:16" ht="15" hidden="1" customHeight="1">
      <c r="L3077" s="58" t="str">
        <f t="shared" si="272"/>
        <v>-</v>
      </c>
      <c r="M3077" s="59">
        <f t="shared" si="270"/>
        <v>0</v>
      </c>
      <c r="N3077" s="59">
        <f t="shared" si="273"/>
        <v>0</v>
      </c>
      <c r="O3077" s="59">
        <f t="shared" si="271"/>
        <v>0</v>
      </c>
      <c r="P3077" s="59">
        <f t="shared" si="274"/>
        <v>0</v>
      </c>
    </row>
    <row r="3078" spans="12:16" ht="15" hidden="1" customHeight="1">
      <c r="L3078" s="58" t="str">
        <f t="shared" si="272"/>
        <v>-</v>
      </c>
      <c r="M3078" s="59">
        <f t="shared" si="270"/>
        <v>0</v>
      </c>
      <c r="N3078" s="59">
        <f t="shared" si="273"/>
        <v>0</v>
      </c>
      <c r="O3078" s="59">
        <f t="shared" si="271"/>
        <v>0</v>
      </c>
      <c r="P3078" s="59">
        <f t="shared" si="274"/>
        <v>0</v>
      </c>
    </row>
    <row r="3079" spans="12:16" ht="15" hidden="1" customHeight="1">
      <c r="L3079" s="58" t="str">
        <f t="shared" si="272"/>
        <v>-</v>
      </c>
      <c r="M3079" s="59">
        <f t="shared" si="270"/>
        <v>0</v>
      </c>
      <c r="N3079" s="59">
        <f t="shared" si="273"/>
        <v>0</v>
      </c>
      <c r="O3079" s="59">
        <f t="shared" si="271"/>
        <v>0</v>
      </c>
      <c r="P3079" s="59">
        <f t="shared" si="274"/>
        <v>0</v>
      </c>
    </row>
    <row r="3080" spans="12:16" ht="15" hidden="1" customHeight="1">
      <c r="L3080" s="58" t="str">
        <f t="shared" si="272"/>
        <v>-</v>
      </c>
      <c r="M3080" s="59">
        <f t="shared" si="270"/>
        <v>0</v>
      </c>
      <c r="N3080" s="59">
        <f t="shared" si="273"/>
        <v>0</v>
      </c>
      <c r="O3080" s="59">
        <f t="shared" si="271"/>
        <v>0</v>
      </c>
      <c r="P3080" s="59">
        <f t="shared" si="274"/>
        <v>0</v>
      </c>
    </row>
    <row r="3081" spans="12:16" ht="15" hidden="1" customHeight="1">
      <c r="L3081" s="58" t="str">
        <f t="shared" si="272"/>
        <v>-</v>
      </c>
      <c r="M3081" s="59">
        <f t="shared" si="270"/>
        <v>0</v>
      </c>
      <c r="N3081" s="59">
        <f t="shared" si="273"/>
        <v>0</v>
      </c>
      <c r="O3081" s="59">
        <f t="shared" si="271"/>
        <v>0</v>
      </c>
      <c r="P3081" s="59">
        <f t="shared" si="274"/>
        <v>0</v>
      </c>
    </row>
    <row r="3082" spans="12:16" ht="15" hidden="1" customHeight="1">
      <c r="L3082" s="58" t="str">
        <f t="shared" si="272"/>
        <v>-</v>
      </c>
      <c r="M3082" s="59">
        <f t="shared" si="270"/>
        <v>0</v>
      </c>
      <c r="N3082" s="59">
        <f t="shared" si="273"/>
        <v>0</v>
      </c>
      <c r="O3082" s="59">
        <f t="shared" si="271"/>
        <v>0</v>
      </c>
      <c r="P3082" s="59">
        <f t="shared" si="274"/>
        <v>0</v>
      </c>
    </row>
    <row r="3083" spans="12:16" ht="15" hidden="1" customHeight="1">
      <c r="L3083" s="58" t="str">
        <f t="shared" si="272"/>
        <v>-</v>
      </c>
      <c r="M3083" s="59">
        <f t="shared" si="270"/>
        <v>0</v>
      </c>
      <c r="N3083" s="59">
        <f t="shared" si="273"/>
        <v>0</v>
      </c>
      <c r="O3083" s="59">
        <f t="shared" si="271"/>
        <v>0</v>
      </c>
      <c r="P3083" s="59">
        <f t="shared" si="274"/>
        <v>0</v>
      </c>
    </row>
    <row r="3084" spans="12:16" ht="15" hidden="1" customHeight="1">
      <c r="L3084" s="58" t="str">
        <f t="shared" si="272"/>
        <v>-</v>
      </c>
      <c r="M3084" s="59">
        <f t="shared" si="270"/>
        <v>0</v>
      </c>
      <c r="N3084" s="59">
        <f t="shared" si="273"/>
        <v>0</v>
      </c>
      <c r="O3084" s="59">
        <f t="shared" si="271"/>
        <v>0</v>
      </c>
      <c r="P3084" s="59">
        <f t="shared" si="274"/>
        <v>0</v>
      </c>
    </row>
    <row r="3085" spans="12:16" ht="15" hidden="1" customHeight="1">
      <c r="L3085" s="58" t="str">
        <f t="shared" si="272"/>
        <v>-</v>
      </c>
      <c r="M3085" s="59">
        <f t="shared" si="270"/>
        <v>0</v>
      </c>
      <c r="N3085" s="59">
        <f t="shared" si="273"/>
        <v>0</v>
      </c>
      <c r="O3085" s="59">
        <f t="shared" si="271"/>
        <v>0</v>
      </c>
      <c r="P3085" s="59">
        <f t="shared" si="274"/>
        <v>0</v>
      </c>
    </row>
    <row r="3086" spans="12:16" ht="15" hidden="1" customHeight="1">
      <c r="L3086" s="58" t="str">
        <f t="shared" si="272"/>
        <v>-</v>
      </c>
      <c r="M3086" s="59">
        <f t="shared" si="270"/>
        <v>0</v>
      </c>
      <c r="N3086" s="59">
        <f t="shared" si="273"/>
        <v>0</v>
      </c>
      <c r="O3086" s="59">
        <f t="shared" si="271"/>
        <v>0</v>
      </c>
      <c r="P3086" s="59">
        <f t="shared" si="274"/>
        <v>0</v>
      </c>
    </row>
    <row r="3087" spans="12:16" ht="15" hidden="1" customHeight="1">
      <c r="L3087" s="58" t="str">
        <f t="shared" si="272"/>
        <v>-</v>
      </c>
      <c r="M3087" s="59">
        <f t="shared" si="270"/>
        <v>0</v>
      </c>
      <c r="N3087" s="59">
        <f t="shared" si="273"/>
        <v>0</v>
      </c>
      <c r="O3087" s="59">
        <f t="shared" si="271"/>
        <v>0</v>
      </c>
      <c r="P3087" s="59">
        <f t="shared" si="274"/>
        <v>0</v>
      </c>
    </row>
    <row r="3088" spans="12:16" ht="15" hidden="1" customHeight="1">
      <c r="L3088" s="58" t="str">
        <f t="shared" si="272"/>
        <v>-</v>
      </c>
      <c r="M3088" s="59">
        <f t="shared" si="270"/>
        <v>0</v>
      </c>
      <c r="N3088" s="59">
        <f t="shared" si="273"/>
        <v>0</v>
      </c>
      <c r="O3088" s="59">
        <f t="shared" si="271"/>
        <v>0</v>
      </c>
      <c r="P3088" s="59">
        <f t="shared" si="274"/>
        <v>0</v>
      </c>
    </row>
    <row r="3089" spans="12:16" ht="15" hidden="1" customHeight="1">
      <c r="L3089" s="58" t="str">
        <f t="shared" si="272"/>
        <v>-</v>
      </c>
      <c r="M3089" s="59">
        <f t="shared" si="270"/>
        <v>0</v>
      </c>
      <c r="N3089" s="59">
        <f t="shared" si="273"/>
        <v>0</v>
      </c>
      <c r="O3089" s="59">
        <f t="shared" si="271"/>
        <v>0</v>
      </c>
      <c r="P3089" s="59">
        <f t="shared" si="274"/>
        <v>0</v>
      </c>
    </row>
    <row r="3090" spans="12:16" ht="15" hidden="1" customHeight="1">
      <c r="L3090" s="58" t="str">
        <f t="shared" si="272"/>
        <v>-</v>
      </c>
      <c r="M3090" s="59">
        <f t="shared" si="270"/>
        <v>0</v>
      </c>
      <c r="N3090" s="59">
        <f t="shared" si="273"/>
        <v>0</v>
      </c>
      <c r="O3090" s="59">
        <f t="shared" si="271"/>
        <v>0</v>
      </c>
      <c r="P3090" s="59">
        <f t="shared" si="274"/>
        <v>0</v>
      </c>
    </row>
    <row r="3091" spans="12:16" ht="15" hidden="1" customHeight="1">
      <c r="L3091" s="58" t="str">
        <f t="shared" si="272"/>
        <v>-</v>
      </c>
      <c r="M3091" s="59">
        <f t="shared" ref="M3091:M3154" si="275">IFERROR(VLOOKUP(L3091,$B$19:$E$80,4,FALSE),0)</f>
        <v>0</v>
      </c>
      <c r="N3091" s="59">
        <f t="shared" si="273"/>
        <v>0</v>
      </c>
      <c r="O3091" s="59">
        <f t="shared" ref="O3091:O3154" si="276">IFERROR(IF(ISNUMBER(N3090),N3090,$E$8)*IF(L3091&gt;=$J$8,$E$12,$E$12)/IF(MOD(YEAR(L3091),4),365,366)*IF(ISBLANK(L3090),L3091-$F$5,L3091-L3090),0)</f>
        <v>0</v>
      </c>
      <c r="P3091" s="59">
        <f t="shared" si="274"/>
        <v>0</v>
      </c>
    </row>
    <row r="3092" spans="12:16" ht="15" hidden="1" customHeight="1">
      <c r="L3092" s="58" t="str">
        <f t="shared" si="272"/>
        <v>-</v>
      </c>
      <c r="M3092" s="59">
        <f t="shared" si="275"/>
        <v>0</v>
      </c>
      <c r="N3092" s="59">
        <f t="shared" si="273"/>
        <v>0</v>
      </c>
      <c r="O3092" s="59">
        <f t="shared" si="276"/>
        <v>0</v>
      </c>
      <c r="P3092" s="59">
        <f t="shared" si="274"/>
        <v>0</v>
      </c>
    </row>
    <row r="3093" spans="12:16" ht="15" hidden="1" customHeight="1">
      <c r="L3093" s="58" t="str">
        <f t="shared" si="272"/>
        <v>-</v>
      </c>
      <c r="M3093" s="59">
        <f t="shared" si="275"/>
        <v>0</v>
      </c>
      <c r="N3093" s="59">
        <f t="shared" si="273"/>
        <v>0</v>
      </c>
      <c r="O3093" s="59">
        <f t="shared" si="276"/>
        <v>0</v>
      </c>
      <c r="P3093" s="59">
        <f t="shared" si="274"/>
        <v>0</v>
      </c>
    </row>
    <row r="3094" spans="12:16" ht="15" hidden="1" customHeight="1">
      <c r="L3094" s="58" t="str">
        <f t="shared" si="272"/>
        <v>-</v>
      </c>
      <c r="M3094" s="59">
        <f t="shared" si="275"/>
        <v>0</v>
      </c>
      <c r="N3094" s="59">
        <f t="shared" si="273"/>
        <v>0</v>
      </c>
      <c r="O3094" s="59">
        <f t="shared" si="276"/>
        <v>0</v>
      </c>
      <c r="P3094" s="59">
        <f t="shared" si="274"/>
        <v>0</v>
      </c>
    </row>
    <row r="3095" spans="12:16" ht="15" hidden="1" customHeight="1">
      <c r="L3095" s="58" t="str">
        <f t="shared" si="272"/>
        <v>-</v>
      </c>
      <c r="M3095" s="59">
        <f t="shared" si="275"/>
        <v>0</v>
      </c>
      <c r="N3095" s="59">
        <f t="shared" si="273"/>
        <v>0</v>
      </c>
      <c r="O3095" s="59">
        <f t="shared" si="276"/>
        <v>0</v>
      </c>
      <c r="P3095" s="59">
        <f t="shared" si="274"/>
        <v>0</v>
      </c>
    </row>
    <row r="3096" spans="12:16" ht="15" hidden="1" customHeight="1">
      <c r="L3096" s="58" t="str">
        <f t="shared" si="272"/>
        <v>-</v>
      </c>
      <c r="M3096" s="59">
        <f t="shared" si="275"/>
        <v>0</v>
      </c>
      <c r="N3096" s="59">
        <f t="shared" si="273"/>
        <v>0</v>
      </c>
      <c r="O3096" s="59">
        <f t="shared" si="276"/>
        <v>0</v>
      </c>
      <c r="P3096" s="59">
        <f t="shared" si="274"/>
        <v>0</v>
      </c>
    </row>
    <row r="3097" spans="12:16" ht="15" hidden="1" customHeight="1">
      <c r="L3097" s="58" t="str">
        <f t="shared" si="272"/>
        <v>-</v>
      </c>
      <c r="M3097" s="59">
        <f t="shared" si="275"/>
        <v>0</v>
      </c>
      <c r="N3097" s="59">
        <f t="shared" si="273"/>
        <v>0</v>
      </c>
      <c r="O3097" s="59">
        <f t="shared" si="276"/>
        <v>0</v>
      </c>
      <c r="P3097" s="59">
        <f t="shared" si="274"/>
        <v>0</v>
      </c>
    </row>
    <row r="3098" spans="12:16" ht="15" hidden="1" customHeight="1">
      <c r="L3098" s="58" t="str">
        <f t="shared" si="272"/>
        <v>-</v>
      </c>
      <c r="M3098" s="59">
        <f t="shared" si="275"/>
        <v>0</v>
      </c>
      <c r="N3098" s="59">
        <f t="shared" si="273"/>
        <v>0</v>
      </c>
      <c r="O3098" s="59">
        <f t="shared" si="276"/>
        <v>0</v>
      </c>
      <c r="P3098" s="59">
        <f t="shared" si="274"/>
        <v>0</v>
      </c>
    </row>
    <row r="3099" spans="12:16" ht="15" hidden="1" customHeight="1">
      <c r="L3099" s="58" t="str">
        <f t="shared" si="272"/>
        <v>-</v>
      </c>
      <c r="M3099" s="59">
        <f t="shared" si="275"/>
        <v>0</v>
      </c>
      <c r="N3099" s="59">
        <f t="shared" si="273"/>
        <v>0</v>
      </c>
      <c r="O3099" s="59">
        <f t="shared" si="276"/>
        <v>0</v>
      </c>
      <c r="P3099" s="59">
        <f t="shared" si="274"/>
        <v>0</v>
      </c>
    </row>
    <row r="3100" spans="12:16" ht="15" hidden="1" customHeight="1">
      <c r="L3100" s="58" t="str">
        <f t="shared" si="272"/>
        <v>-</v>
      </c>
      <c r="M3100" s="59">
        <f t="shared" si="275"/>
        <v>0</v>
      </c>
      <c r="N3100" s="59">
        <f t="shared" si="273"/>
        <v>0</v>
      </c>
      <c r="O3100" s="59">
        <f t="shared" si="276"/>
        <v>0</v>
      </c>
      <c r="P3100" s="59">
        <f t="shared" si="274"/>
        <v>0</v>
      </c>
    </row>
    <row r="3101" spans="12:16" ht="15" hidden="1" customHeight="1">
      <c r="L3101" s="58" t="str">
        <f t="shared" si="272"/>
        <v>-</v>
      </c>
      <c r="M3101" s="59">
        <f t="shared" si="275"/>
        <v>0</v>
      </c>
      <c r="N3101" s="59">
        <f t="shared" si="273"/>
        <v>0</v>
      </c>
      <c r="O3101" s="59">
        <f t="shared" si="276"/>
        <v>0</v>
      </c>
      <c r="P3101" s="59">
        <f t="shared" si="274"/>
        <v>0</v>
      </c>
    </row>
    <row r="3102" spans="12:16" ht="15" hidden="1" customHeight="1">
      <c r="L3102" s="58" t="str">
        <f t="shared" si="272"/>
        <v>-</v>
      </c>
      <c r="M3102" s="59">
        <f t="shared" si="275"/>
        <v>0</v>
      </c>
      <c r="N3102" s="59">
        <f t="shared" si="273"/>
        <v>0</v>
      </c>
      <c r="O3102" s="59">
        <f t="shared" si="276"/>
        <v>0</v>
      </c>
      <c r="P3102" s="59">
        <f t="shared" si="274"/>
        <v>0</v>
      </c>
    </row>
    <row r="3103" spans="12:16" ht="15" hidden="1" customHeight="1">
      <c r="L3103" s="58" t="str">
        <f t="shared" si="272"/>
        <v>-</v>
      </c>
      <c r="M3103" s="59">
        <f t="shared" si="275"/>
        <v>0</v>
      </c>
      <c r="N3103" s="59">
        <f t="shared" si="273"/>
        <v>0</v>
      </c>
      <c r="O3103" s="59">
        <f t="shared" si="276"/>
        <v>0</v>
      </c>
      <c r="P3103" s="59">
        <f t="shared" si="274"/>
        <v>0</v>
      </c>
    </row>
    <row r="3104" spans="12:16" ht="15" hidden="1" customHeight="1">
      <c r="L3104" s="58" t="str">
        <f t="shared" si="272"/>
        <v>-</v>
      </c>
      <c r="M3104" s="59">
        <f t="shared" si="275"/>
        <v>0</v>
      </c>
      <c r="N3104" s="59">
        <f t="shared" si="273"/>
        <v>0</v>
      </c>
      <c r="O3104" s="59">
        <f t="shared" si="276"/>
        <v>0</v>
      </c>
      <c r="P3104" s="59">
        <f t="shared" si="274"/>
        <v>0</v>
      </c>
    </row>
    <row r="3105" spans="12:16" ht="15" hidden="1" customHeight="1">
      <c r="L3105" s="58" t="str">
        <f t="shared" si="272"/>
        <v>-</v>
      </c>
      <c r="M3105" s="59">
        <f t="shared" si="275"/>
        <v>0</v>
      </c>
      <c r="N3105" s="59">
        <f t="shared" si="273"/>
        <v>0</v>
      </c>
      <c r="O3105" s="59">
        <f t="shared" si="276"/>
        <v>0</v>
      </c>
      <c r="P3105" s="59">
        <f t="shared" si="274"/>
        <v>0</v>
      </c>
    </row>
    <row r="3106" spans="12:16" ht="15" hidden="1" customHeight="1">
      <c r="L3106" s="58" t="str">
        <f t="shared" ref="L3106:L3169" si="277">IFERROR(IF(MAX(L3105+1,$F$5+1)&gt;Дата_погашения_Займа,"-",MAX(L3105+1,$F$5+1)),"-")</f>
        <v>-</v>
      </c>
      <c r="M3106" s="59">
        <f t="shared" si="275"/>
        <v>0</v>
      </c>
      <c r="N3106" s="59">
        <f t="shared" si="273"/>
        <v>0</v>
      </c>
      <c r="O3106" s="59">
        <f t="shared" si="276"/>
        <v>0</v>
      </c>
      <c r="P3106" s="59">
        <f t="shared" si="274"/>
        <v>0</v>
      </c>
    </row>
    <row r="3107" spans="12:16" ht="15" hidden="1" customHeight="1">
      <c r="L3107" s="58" t="str">
        <f t="shared" si="277"/>
        <v>-</v>
      </c>
      <c r="M3107" s="59">
        <f t="shared" si="275"/>
        <v>0</v>
      </c>
      <c r="N3107" s="59">
        <f t="shared" si="273"/>
        <v>0</v>
      </c>
      <c r="O3107" s="59">
        <f t="shared" si="276"/>
        <v>0</v>
      </c>
      <c r="P3107" s="59">
        <f t="shared" si="274"/>
        <v>0</v>
      </c>
    </row>
    <row r="3108" spans="12:16" ht="15" hidden="1" customHeight="1">
      <c r="L3108" s="58" t="str">
        <f t="shared" si="277"/>
        <v>-</v>
      </c>
      <c r="M3108" s="59">
        <f t="shared" si="275"/>
        <v>0</v>
      </c>
      <c r="N3108" s="59">
        <f t="shared" si="273"/>
        <v>0</v>
      </c>
      <c r="O3108" s="59">
        <f t="shared" si="276"/>
        <v>0</v>
      </c>
      <c r="P3108" s="59">
        <f t="shared" si="274"/>
        <v>0</v>
      </c>
    </row>
    <row r="3109" spans="12:16" ht="15" hidden="1" customHeight="1">
      <c r="L3109" s="58" t="str">
        <f t="shared" si="277"/>
        <v>-</v>
      </c>
      <c r="M3109" s="59">
        <f t="shared" si="275"/>
        <v>0</v>
      </c>
      <c r="N3109" s="59">
        <f t="shared" si="273"/>
        <v>0</v>
      </c>
      <c r="O3109" s="59">
        <f t="shared" si="276"/>
        <v>0</v>
      </c>
      <c r="P3109" s="59">
        <f t="shared" si="274"/>
        <v>0</v>
      </c>
    </row>
    <row r="3110" spans="12:16" ht="15" hidden="1" customHeight="1">
      <c r="L3110" s="58" t="str">
        <f t="shared" si="277"/>
        <v>-</v>
      </c>
      <c r="M3110" s="59">
        <f t="shared" si="275"/>
        <v>0</v>
      </c>
      <c r="N3110" s="59">
        <f t="shared" si="273"/>
        <v>0</v>
      </c>
      <c r="O3110" s="59">
        <f t="shared" si="276"/>
        <v>0</v>
      </c>
      <c r="P3110" s="59">
        <f t="shared" si="274"/>
        <v>0</v>
      </c>
    </row>
    <row r="3111" spans="12:16" ht="15" hidden="1" customHeight="1">
      <c r="L3111" s="58" t="str">
        <f t="shared" si="277"/>
        <v>-</v>
      </c>
      <c r="M3111" s="59">
        <f t="shared" si="275"/>
        <v>0</v>
      </c>
      <c r="N3111" s="59">
        <f t="shared" si="273"/>
        <v>0</v>
      </c>
      <c r="O3111" s="59">
        <f t="shared" si="276"/>
        <v>0</v>
      </c>
      <c r="P3111" s="59">
        <f t="shared" si="274"/>
        <v>0</v>
      </c>
    </row>
    <row r="3112" spans="12:16" ht="15" hidden="1" customHeight="1">
      <c r="L3112" s="58" t="str">
        <f t="shared" si="277"/>
        <v>-</v>
      </c>
      <c r="M3112" s="59">
        <f t="shared" si="275"/>
        <v>0</v>
      </c>
      <c r="N3112" s="59">
        <f t="shared" si="273"/>
        <v>0</v>
      </c>
      <c r="O3112" s="59">
        <f t="shared" si="276"/>
        <v>0</v>
      </c>
      <c r="P3112" s="59">
        <f t="shared" si="274"/>
        <v>0</v>
      </c>
    </row>
    <row r="3113" spans="12:16" ht="15" hidden="1" customHeight="1">
      <c r="L3113" s="58" t="str">
        <f t="shared" si="277"/>
        <v>-</v>
      </c>
      <c r="M3113" s="59">
        <f t="shared" si="275"/>
        <v>0</v>
      </c>
      <c r="N3113" s="59">
        <f t="shared" si="273"/>
        <v>0</v>
      </c>
      <c r="O3113" s="59">
        <f t="shared" si="276"/>
        <v>0</v>
      </c>
      <c r="P3113" s="59">
        <f t="shared" si="274"/>
        <v>0</v>
      </c>
    </row>
    <row r="3114" spans="12:16" ht="15" hidden="1" customHeight="1">
      <c r="L3114" s="58" t="str">
        <f t="shared" si="277"/>
        <v>-</v>
      </c>
      <c r="M3114" s="59">
        <f t="shared" si="275"/>
        <v>0</v>
      </c>
      <c r="N3114" s="59">
        <f t="shared" si="273"/>
        <v>0</v>
      </c>
      <c r="O3114" s="59">
        <f t="shared" si="276"/>
        <v>0</v>
      </c>
      <c r="P3114" s="59">
        <f t="shared" si="274"/>
        <v>0</v>
      </c>
    </row>
    <row r="3115" spans="12:16" ht="15" hidden="1" customHeight="1">
      <c r="L3115" s="58" t="str">
        <f t="shared" si="277"/>
        <v>-</v>
      </c>
      <c r="M3115" s="59">
        <f t="shared" si="275"/>
        <v>0</v>
      </c>
      <c r="N3115" s="59">
        <f t="shared" si="273"/>
        <v>0</v>
      </c>
      <c r="O3115" s="59">
        <f t="shared" si="276"/>
        <v>0</v>
      </c>
      <c r="P3115" s="59">
        <f t="shared" si="274"/>
        <v>0</v>
      </c>
    </row>
    <row r="3116" spans="12:16" ht="15" hidden="1" customHeight="1">
      <c r="L3116" s="58" t="str">
        <f t="shared" si="277"/>
        <v>-</v>
      </c>
      <c r="M3116" s="59">
        <f t="shared" si="275"/>
        <v>0</v>
      </c>
      <c r="N3116" s="59">
        <f t="shared" si="273"/>
        <v>0</v>
      </c>
      <c r="O3116" s="59">
        <f t="shared" si="276"/>
        <v>0</v>
      </c>
      <c r="P3116" s="59">
        <f t="shared" si="274"/>
        <v>0</v>
      </c>
    </row>
    <row r="3117" spans="12:16" ht="15" hidden="1" customHeight="1">
      <c r="L3117" s="58" t="str">
        <f t="shared" si="277"/>
        <v>-</v>
      </c>
      <c r="M3117" s="59">
        <f t="shared" si="275"/>
        <v>0</v>
      </c>
      <c r="N3117" s="59">
        <f t="shared" si="273"/>
        <v>0</v>
      </c>
      <c r="O3117" s="59">
        <f t="shared" si="276"/>
        <v>0</v>
      </c>
      <c r="P3117" s="59">
        <f t="shared" si="274"/>
        <v>0</v>
      </c>
    </row>
    <row r="3118" spans="12:16" ht="15" hidden="1" customHeight="1">
      <c r="L3118" s="58" t="str">
        <f t="shared" si="277"/>
        <v>-</v>
      </c>
      <c r="M3118" s="59">
        <f t="shared" si="275"/>
        <v>0</v>
      </c>
      <c r="N3118" s="59">
        <f t="shared" si="273"/>
        <v>0</v>
      </c>
      <c r="O3118" s="59">
        <f t="shared" si="276"/>
        <v>0</v>
      </c>
      <c r="P3118" s="59">
        <f t="shared" si="274"/>
        <v>0</v>
      </c>
    </row>
    <row r="3119" spans="12:16" ht="15" hidden="1" customHeight="1">
      <c r="L3119" s="58" t="str">
        <f t="shared" si="277"/>
        <v>-</v>
      </c>
      <c r="M3119" s="59">
        <f t="shared" si="275"/>
        <v>0</v>
      </c>
      <c r="N3119" s="59">
        <f t="shared" si="273"/>
        <v>0</v>
      </c>
      <c r="O3119" s="59">
        <f t="shared" si="276"/>
        <v>0</v>
      </c>
      <c r="P3119" s="59">
        <f t="shared" si="274"/>
        <v>0</v>
      </c>
    </row>
    <row r="3120" spans="12:16" ht="15" hidden="1" customHeight="1">
      <c r="L3120" s="58" t="str">
        <f t="shared" si="277"/>
        <v>-</v>
      </c>
      <c r="M3120" s="59">
        <f t="shared" si="275"/>
        <v>0</v>
      </c>
      <c r="N3120" s="59">
        <f t="shared" si="273"/>
        <v>0</v>
      </c>
      <c r="O3120" s="59">
        <f t="shared" si="276"/>
        <v>0</v>
      </c>
      <c r="P3120" s="59">
        <f t="shared" si="274"/>
        <v>0</v>
      </c>
    </row>
    <row r="3121" spans="12:16" ht="15" hidden="1" customHeight="1">
      <c r="L3121" s="58" t="str">
        <f t="shared" si="277"/>
        <v>-</v>
      </c>
      <c r="M3121" s="59">
        <f t="shared" si="275"/>
        <v>0</v>
      </c>
      <c r="N3121" s="59">
        <f t="shared" si="273"/>
        <v>0</v>
      </c>
      <c r="O3121" s="59">
        <f t="shared" si="276"/>
        <v>0</v>
      </c>
      <c r="P3121" s="59">
        <f t="shared" si="274"/>
        <v>0</v>
      </c>
    </row>
    <row r="3122" spans="12:16" ht="15" hidden="1" customHeight="1">
      <c r="L3122" s="58" t="str">
        <f t="shared" si="277"/>
        <v>-</v>
      </c>
      <c r="M3122" s="59">
        <f t="shared" si="275"/>
        <v>0</v>
      </c>
      <c r="N3122" s="59">
        <f t="shared" si="273"/>
        <v>0</v>
      </c>
      <c r="O3122" s="59">
        <f t="shared" si="276"/>
        <v>0</v>
      </c>
      <c r="P3122" s="59">
        <f t="shared" si="274"/>
        <v>0</v>
      </c>
    </row>
    <row r="3123" spans="12:16" ht="15" hidden="1" customHeight="1">
      <c r="L3123" s="58" t="str">
        <f t="shared" si="277"/>
        <v>-</v>
      </c>
      <c r="M3123" s="59">
        <f t="shared" si="275"/>
        <v>0</v>
      </c>
      <c r="N3123" s="59">
        <f t="shared" si="273"/>
        <v>0</v>
      </c>
      <c r="O3123" s="59">
        <f t="shared" si="276"/>
        <v>0</v>
      </c>
      <c r="P3123" s="59">
        <f t="shared" si="274"/>
        <v>0</v>
      </c>
    </row>
    <row r="3124" spans="12:16" ht="15" hidden="1" customHeight="1">
      <c r="L3124" s="58" t="str">
        <f t="shared" si="277"/>
        <v>-</v>
      </c>
      <c r="M3124" s="59">
        <f t="shared" si="275"/>
        <v>0</v>
      </c>
      <c r="N3124" s="59">
        <f t="shared" si="273"/>
        <v>0</v>
      </c>
      <c r="O3124" s="59">
        <f t="shared" si="276"/>
        <v>0</v>
      </c>
      <c r="P3124" s="59">
        <f t="shared" si="274"/>
        <v>0</v>
      </c>
    </row>
    <row r="3125" spans="12:16" ht="15" hidden="1" customHeight="1">
      <c r="L3125" s="58" t="str">
        <f t="shared" si="277"/>
        <v>-</v>
      </c>
      <c r="M3125" s="59">
        <f t="shared" si="275"/>
        <v>0</v>
      </c>
      <c r="N3125" s="59">
        <f t="shared" si="273"/>
        <v>0</v>
      </c>
      <c r="O3125" s="59">
        <f t="shared" si="276"/>
        <v>0</v>
      </c>
      <c r="P3125" s="59">
        <f t="shared" si="274"/>
        <v>0</v>
      </c>
    </row>
    <row r="3126" spans="12:16" ht="15" hidden="1" customHeight="1">
      <c r="L3126" s="58" t="str">
        <f t="shared" si="277"/>
        <v>-</v>
      </c>
      <c r="M3126" s="59">
        <f t="shared" si="275"/>
        <v>0</v>
      </c>
      <c r="N3126" s="59">
        <f t="shared" si="273"/>
        <v>0</v>
      </c>
      <c r="O3126" s="59">
        <f t="shared" si="276"/>
        <v>0</v>
      </c>
      <c r="P3126" s="59">
        <f t="shared" si="274"/>
        <v>0</v>
      </c>
    </row>
    <row r="3127" spans="12:16" ht="15" hidden="1" customHeight="1">
      <c r="L3127" s="58" t="str">
        <f t="shared" si="277"/>
        <v>-</v>
      </c>
      <c r="M3127" s="59">
        <f t="shared" si="275"/>
        <v>0</v>
      </c>
      <c r="N3127" s="59">
        <f t="shared" si="273"/>
        <v>0</v>
      </c>
      <c r="O3127" s="59">
        <f t="shared" si="276"/>
        <v>0</v>
      </c>
      <c r="P3127" s="59">
        <f t="shared" si="274"/>
        <v>0</v>
      </c>
    </row>
    <row r="3128" spans="12:16" ht="15" hidden="1" customHeight="1">
      <c r="L3128" s="58" t="str">
        <f t="shared" si="277"/>
        <v>-</v>
      </c>
      <c r="M3128" s="59">
        <f t="shared" si="275"/>
        <v>0</v>
      </c>
      <c r="N3128" s="59">
        <f t="shared" si="273"/>
        <v>0</v>
      </c>
      <c r="O3128" s="59">
        <f t="shared" si="276"/>
        <v>0</v>
      </c>
      <c r="P3128" s="59">
        <f t="shared" si="274"/>
        <v>0</v>
      </c>
    </row>
    <row r="3129" spans="12:16" ht="15" hidden="1" customHeight="1">
      <c r="L3129" s="58" t="str">
        <f t="shared" si="277"/>
        <v>-</v>
      </c>
      <c r="M3129" s="59">
        <f t="shared" si="275"/>
        <v>0</v>
      </c>
      <c r="N3129" s="59">
        <f t="shared" si="273"/>
        <v>0</v>
      </c>
      <c r="O3129" s="59">
        <f t="shared" si="276"/>
        <v>0</v>
      </c>
      <c r="P3129" s="59">
        <f t="shared" si="274"/>
        <v>0</v>
      </c>
    </row>
    <row r="3130" spans="12:16" ht="15" hidden="1" customHeight="1">
      <c r="L3130" s="58" t="str">
        <f t="shared" si="277"/>
        <v>-</v>
      </c>
      <c r="M3130" s="59">
        <f t="shared" si="275"/>
        <v>0</v>
      </c>
      <c r="N3130" s="59">
        <f t="shared" si="273"/>
        <v>0</v>
      </c>
      <c r="O3130" s="59">
        <f t="shared" si="276"/>
        <v>0</v>
      </c>
      <c r="P3130" s="59">
        <f t="shared" si="274"/>
        <v>0</v>
      </c>
    </row>
    <row r="3131" spans="12:16" ht="15" hidden="1" customHeight="1">
      <c r="L3131" s="58" t="str">
        <f t="shared" si="277"/>
        <v>-</v>
      </c>
      <c r="M3131" s="59">
        <f t="shared" si="275"/>
        <v>0</v>
      </c>
      <c r="N3131" s="59">
        <f t="shared" si="273"/>
        <v>0</v>
      </c>
      <c r="O3131" s="59">
        <f t="shared" si="276"/>
        <v>0</v>
      </c>
      <c r="P3131" s="59">
        <f t="shared" si="274"/>
        <v>0</v>
      </c>
    </row>
    <row r="3132" spans="12:16" ht="15" hidden="1" customHeight="1">
      <c r="L3132" s="58" t="str">
        <f t="shared" si="277"/>
        <v>-</v>
      </c>
      <c r="M3132" s="59">
        <f t="shared" si="275"/>
        <v>0</v>
      </c>
      <c r="N3132" s="59">
        <f t="shared" si="273"/>
        <v>0</v>
      </c>
      <c r="O3132" s="59">
        <f t="shared" si="276"/>
        <v>0</v>
      </c>
      <c r="P3132" s="59">
        <f t="shared" si="274"/>
        <v>0</v>
      </c>
    </row>
    <row r="3133" spans="12:16" ht="15" hidden="1" customHeight="1">
      <c r="L3133" s="58" t="str">
        <f t="shared" si="277"/>
        <v>-</v>
      </c>
      <c r="M3133" s="59">
        <f t="shared" si="275"/>
        <v>0</v>
      </c>
      <c r="N3133" s="59">
        <f t="shared" si="273"/>
        <v>0</v>
      </c>
      <c r="O3133" s="59">
        <f t="shared" si="276"/>
        <v>0</v>
      </c>
      <c r="P3133" s="59">
        <f t="shared" si="274"/>
        <v>0</v>
      </c>
    </row>
    <row r="3134" spans="12:16" ht="15" hidden="1" customHeight="1">
      <c r="L3134" s="58" t="str">
        <f t="shared" si="277"/>
        <v>-</v>
      </c>
      <c r="M3134" s="59">
        <f t="shared" si="275"/>
        <v>0</v>
      </c>
      <c r="N3134" s="59">
        <f t="shared" si="273"/>
        <v>0</v>
      </c>
      <c r="O3134" s="59">
        <f t="shared" si="276"/>
        <v>0</v>
      </c>
      <c r="P3134" s="59">
        <f t="shared" si="274"/>
        <v>0</v>
      </c>
    </row>
    <row r="3135" spans="12:16" ht="15" hidden="1" customHeight="1">
      <c r="L3135" s="58" t="str">
        <f t="shared" si="277"/>
        <v>-</v>
      </c>
      <c r="M3135" s="59">
        <f t="shared" si="275"/>
        <v>0</v>
      </c>
      <c r="N3135" s="59">
        <f t="shared" si="273"/>
        <v>0</v>
      </c>
      <c r="O3135" s="59">
        <f t="shared" si="276"/>
        <v>0</v>
      </c>
      <c r="P3135" s="59">
        <f t="shared" si="274"/>
        <v>0</v>
      </c>
    </row>
    <row r="3136" spans="12:16" ht="15" hidden="1" customHeight="1">
      <c r="L3136" s="58" t="str">
        <f t="shared" si="277"/>
        <v>-</v>
      </c>
      <c r="M3136" s="59">
        <f t="shared" si="275"/>
        <v>0</v>
      </c>
      <c r="N3136" s="59">
        <f t="shared" si="273"/>
        <v>0</v>
      </c>
      <c r="O3136" s="59">
        <f t="shared" si="276"/>
        <v>0</v>
      </c>
      <c r="P3136" s="59">
        <f t="shared" si="274"/>
        <v>0</v>
      </c>
    </row>
    <row r="3137" spans="12:16" ht="15" hidden="1" customHeight="1">
      <c r="L3137" s="58" t="str">
        <f t="shared" si="277"/>
        <v>-</v>
      </c>
      <c r="M3137" s="59">
        <f t="shared" si="275"/>
        <v>0</v>
      </c>
      <c r="N3137" s="59">
        <f t="shared" ref="N3137:N3200" si="278">IF(ISNUMBER(N3136),N3136-M3137,$E$8)</f>
        <v>0</v>
      </c>
      <c r="O3137" s="59">
        <f t="shared" si="276"/>
        <v>0</v>
      </c>
      <c r="P3137" s="59">
        <f t="shared" ref="P3137:P3200" si="279">IFERROR(IF(ISNUMBER(N3136),N3136,$E$8)*3%/IF(MOD(YEAR(L3137),4),365,366)*IF(ISBLANK(L3136),(L3137-$F$5),L3137-L3136),0)</f>
        <v>0</v>
      </c>
    </row>
    <row r="3138" spans="12:16" ht="15" hidden="1" customHeight="1">
      <c r="L3138" s="58" t="str">
        <f t="shared" si="277"/>
        <v>-</v>
      </c>
      <c r="M3138" s="59">
        <f t="shared" si="275"/>
        <v>0</v>
      </c>
      <c r="N3138" s="59">
        <f t="shared" si="278"/>
        <v>0</v>
      </c>
      <c r="O3138" s="59">
        <f t="shared" si="276"/>
        <v>0</v>
      </c>
      <c r="P3138" s="59">
        <f t="shared" si="279"/>
        <v>0</v>
      </c>
    </row>
    <row r="3139" spans="12:16" ht="15" hidden="1" customHeight="1">
      <c r="L3139" s="58" t="str">
        <f t="shared" si="277"/>
        <v>-</v>
      </c>
      <c r="M3139" s="59">
        <f t="shared" si="275"/>
        <v>0</v>
      </c>
      <c r="N3139" s="59">
        <f t="shared" si="278"/>
        <v>0</v>
      </c>
      <c r="O3139" s="59">
        <f t="shared" si="276"/>
        <v>0</v>
      </c>
      <c r="P3139" s="59">
        <f t="shared" si="279"/>
        <v>0</v>
      </c>
    </row>
    <row r="3140" spans="12:16" ht="15" hidden="1" customHeight="1">
      <c r="L3140" s="58" t="str">
        <f t="shared" si="277"/>
        <v>-</v>
      </c>
      <c r="M3140" s="59">
        <f t="shared" si="275"/>
        <v>0</v>
      </c>
      <c r="N3140" s="59">
        <f t="shared" si="278"/>
        <v>0</v>
      </c>
      <c r="O3140" s="59">
        <f t="shared" si="276"/>
        <v>0</v>
      </c>
      <c r="P3140" s="59">
        <f t="shared" si="279"/>
        <v>0</v>
      </c>
    </row>
    <row r="3141" spans="12:16" ht="15" hidden="1" customHeight="1">
      <c r="L3141" s="58" t="str">
        <f t="shared" si="277"/>
        <v>-</v>
      </c>
      <c r="M3141" s="59">
        <f t="shared" si="275"/>
        <v>0</v>
      </c>
      <c r="N3141" s="59">
        <f t="shared" si="278"/>
        <v>0</v>
      </c>
      <c r="O3141" s="59">
        <f t="shared" si="276"/>
        <v>0</v>
      </c>
      <c r="P3141" s="59">
        <f t="shared" si="279"/>
        <v>0</v>
      </c>
    </row>
    <row r="3142" spans="12:16" ht="15" hidden="1" customHeight="1">
      <c r="L3142" s="58" t="str">
        <f t="shared" si="277"/>
        <v>-</v>
      </c>
      <c r="M3142" s="59">
        <f t="shared" si="275"/>
        <v>0</v>
      </c>
      <c r="N3142" s="59">
        <f t="shared" si="278"/>
        <v>0</v>
      </c>
      <c r="O3142" s="59">
        <f t="shared" si="276"/>
        <v>0</v>
      </c>
      <c r="P3142" s="59">
        <f t="shared" si="279"/>
        <v>0</v>
      </c>
    </row>
    <row r="3143" spans="12:16" ht="15" hidden="1" customHeight="1">
      <c r="L3143" s="58" t="str">
        <f t="shared" si="277"/>
        <v>-</v>
      </c>
      <c r="M3143" s="59">
        <f t="shared" si="275"/>
        <v>0</v>
      </c>
      <c r="N3143" s="59">
        <f t="shared" si="278"/>
        <v>0</v>
      </c>
      <c r="O3143" s="59">
        <f t="shared" si="276"/>
        <v>0</v>
      </c>
      <c r="P3143" s="59">
        <f t="shared" si="279"/>
        <v>0</v>
      </c>
    </row>
    <row r="3144" spans="12:16" ht="15" hidden="1" customHeight="1">
      <c r="L3144" s="58" t="str">
        <f t="shared" si="277"/>
        <v>-</v>
      </c>
      <c r="M3144" s="59">
        <f t="shared" si="275"/>
        <v>0</v>
      </c>
      <c r="N3144" s="59">
        <f t="shared" si="278"/>
        <v>0</v>
      </c>
      <c r="O3144" s="59">
        <f t="shared" si="276"/>
        <v>0</v>
      </c>
      <c r="P3144" s="59">
        <f t="shared" si="279"/>
        <v>0</v>
      </c>
    </row>
    <row r="3145" spans="12:16" ht="15" hidden="1" customHeight="1">
      <c r="L3145" s="58" t="str">
        <f t="shared" si="277"/>
        <v>-</v>
      </c>
      <c r="M3145" s="59">
        <f t="shared" si="275"/>
        <v>0</v>
      </c>
      <c r="N3145" s="59">
        <f t="shared" si="278"/>
        <v>0</v>
      </c>
      <c r="O3145" s="59">
        <f t="shared" si="276"/>
        <v>0</v>
      </c>
      <c r="P3145" s="59">
        <f t="shared" si="279"/>
        <v>0</v>
      </c>
    </row>
    <row r="3146" spans="12:16" ht="15" hidden="1" customHeight="1">
      <c r="L3146" s="58" t="str">
        <f t="shared" si="277"/>
        <v>-</v>
      </c>
      <c r="M3146" s="59">
        <f t="shared" si="275"/>
        <v>0</v>
      </c>
      <c r="N3146" s="59">
        <f t="shared" si="278"/>
        <v>0</v>
      </c>
      <c r="O3146" s="59">
        <f t="shared" si="276"/>
        <v>0</v>
      </c>
      <c r="P3146" s="59">
        <f t="shared" si="279"/>
        <v>0</v>
      </c>
    </row>
    <row r="3147" spans="12:16" ht="15" hidden="1" customHeight="1">
      <c r="L3147" s="58" t="str">
        <f t="shared" si="277"/>
        <v>-</v>
      </c>
      <c r="M3147" s="59">
        <f t="shared" si="275"/>
        <v>0</v>
      </c>
      <c r="N3147" s="59">
        <f t="shared" si="278"/>
        <v>0</v>
      </c>
      <c r="O3147" s="59">
        <f t="shared" si="276"/>
        <v>0</v>
      </c>
      <c r="P3147" s="59">
        <f t="shared" si="279"/>
        <v>0</v>
      </c>
    </row>
    <row r="3148" spans="12:16" ht="15" hidden="1" customHeight="1">
      <c r="L3148" s="58" t="str">
        <f t="shared" si="277"/>
        <v>-</v>
      </c>
      <c r="M3148" s="59">
        <f t="shared" si="275"/>
        <v>0</v>
      </c>
      <c r="N3148" s="59">
        <f t="shared" si="278"/>
        <v>0</v>
      </c>
      <c r="O3148" s="59">
        <f t="shared" si="276"/>
        <v>0</v>
      </c>
      <c r="P3148" s="59">
        <f t="shared" si="279"/>
        <v>0</v>
      </c>
    </row>
    <row r="3149" spans="12:16" ht="15" hidden="1" customHeight="1">
      <c r="L3149" s="58" t="str">
        <f t="shared" si="277"/>
        <v>-</v>
      </c>
      <c r="M3149" s="59">
        <f t="shared" si="275"/>
        <v>0</v>
      </c>
      <c r="N3149" s="59">
        <f t="shared" si="278"/>
        <v>0</v>
      </c>
      <c r="O3149" s="59">
        <f t="shared" si="276"/>
        <v>0</v>
      </c>
      <c r="P3149" s="59">
        <f t="shared" si="279"/>
        <v>0</v>
      </c>
    </row>
    <row r="3150" spans="12:16" ht="15" hidden="1" customHeight="1">
      <c r="L3150" s="58" t="str">
        <f t="shared" si="277"/>
        <v>-</v>
      </c>
      <c r="M3150" s="59">
        <f t="shared" si="275"/>
        <v>0</v>
      </c>
      <c r="N3150" s="59">
        <f t="shared" si="278"/>
        <v>0</v>
      </c>
      <c r="O3150" s="59">
        <f t="shared" si="276"/>
        <v>0</v>
      </c>
      <c r="P3150" s="59">
        <f t="shared" si="279"/>
        <v>0</v>
      </c>
    </row>
    <row r="3151" spans="12:16" ht="15" hidden="1" customHeight="1">
      <c r="L3151" s="58" t="str">
        <f t="shared" si="277"/>
        <v>-</v>
      </c>
      <c r="M3151" s="59">
        <f t="shared" si="275"/>
        <v>0</v>
      </c>
      <c r="N3151" s="59">
        <f t="shared" si="278"/>
        <v>0</v>
      </c>
      <c r="O3151" s="59">
        <f t="shared" si="276"/>
        <v>0</v>
      </c>
      <c r="P3151" s="59">
        <f t="shared" si="279"/>
        <v>0</v>
      </c>
    </row>
    <row r="3152" spans="12:16" ht="15" hidden="1" customHeight="1">
      <c r="L3152" s="58" t="str">
        <f t="shared" si="277"/>
        <v>-</v>
      </c>
      <c r="M3152" s="59">
        <f t="shared" si="275"/>
        <v>0</v>
      </c>
      <c r="N3152" s="59">
        <f t="shared" si="278"/>
        <v>0</v>
      </c>
      <c r="O3152" s="59">
        <f t="shared" si="276"/>
        <v>0</v>
      </c>
      <c r="P3152" s="59">
        <f t="shared" si="279"/>
        <v>0</v>
      </c>
    </row>
    <row r="3153" spans="12:16" ht="15" hidden="1" customHeight="1">
      <c r="L3153" s="58" t="str">
        <f t="shared" si="277"/>
        <v>-</v>
      </c>
      <c r="M3153" s="59">
        <f t="shared" si="275"/>
        <v>0</v>
      </c>
      <c r="N3153" s="59">
        <f t="shared" si="278"/>
        <v>0</v>
      </c>
      <c r="O3153" s="59">
        <f t="shared" si="276"/>
        <v>0</v>
      </c>
      <c r="P3153" s="59">
        <f t="shared" si="279"/>
        <v>0</v>
      </c>
    </row>
    <row r="3154" spans="12:16" ht="15" hidden="1" customHeight="1">
      <c r="L3154" s="58" t="str">
        <f t="shared" si="277"/>
        <v>-</v>
      </c>
      <c r="M3154" s="59">
        <f t="shared" si="275"/>
        <v>0</v>
      </c>
      <c r="N3154" s="59">
        <f t="shared" si="278"/>
        <v>0</v>
      </c>
      <c r="O3154" s="59">
        <f t="shared" si="276"/>
        <v>0</v>
      </c>
      <c r="P3154" s="59">
        <f t="shared" si="279"/>
        <v>0</v>
      </c>
    </row>
    <row r="3155" spans="12:16" ht="15" hidden="1" customHeight="1">
      <c r="L3155" s="58" t="str">
        <f t="shared" si="277"/>
        <v>-</v>
      </c>
      <c r="M3155" s="59">
        <f t="shared" ref="M3155:M3218" si="280">IFERROR(VLOOKUP(L3155,$B$19:$E$80,4,FALSE),0)</f>
        <v>0</v>
      </c>
      <c r="N3155" s="59">
        <f t="shared" si="278"/>
        <v>0</v>
      </c>
      <c r="O3155" s="59">
        <f t="shared" ref="O3155:O3218" si="281">IFERROR(IF(ISNUMBER(N3154),N3154,$E$8)*IF(L3155&gt;=$J$8,$E$12,$E$12)/IF(MOD(YEAR(L3155),4),365,366)*IF(ISBLANK(L3154),L3155-$F$5,L3155-L3154),0)</f>
        <v>0</v>
      </c>
      <c r="P3155" s="59">
        <f t="shared" si="279"/>
        <v>0</v>
      </c>
    </row>
    <row r="3156" spans="12:16" ht="15" hidden="1" customHeight="1">
      <c r="L3156" s="58" t="str">
        <f t="shared" si="277"/>
        <v>-</v>
      </c>
      <c r="M3156" s="59">
        <f t="shared" si="280"/>
        <v>0</v>
      </c>
      <c r="N3156" s="59">
        <f t="shared" si="278"/>
        <v>0</v>
      </c>
      <c r="O3156" s="59">
        <f t="shared" si="281"/>
        <v>0</v>
      </c>
      <c r="P3156" s="59">
        <f t="shared" si="279"/>
        <v>0</v>
      </c>
    </row>
    <row r="3157" spans="12:16" ht="15" hidden="1" customHeight="1">
      <c r="L3157" s="58" t="str">
        <f t="shared" si="277"/>
        <v>-</v>
      </c>
      <c r="M3157" s="59">
        <f t="shared" si="280"/>
        <v>0</v>
      </c>
      <c r="N3157" s="59">
        <f t="shared" si="278"/>
        <v>0</v>
      </c>
      <c r="O3157" s="59">
        <f t="shared" si="281"/>
        <v>0</v>
      </c>
      <c r="P3157" s="59">
        <f t="shared" si="279"/>
        <v>0</v>
      </c>
    </row>
    <row r="3158" spans="12:16" ht="15" hidden="1" customHeight="1">
      <c r="L3158" s="58" t="str">
        <f t="shared" si="277"/>
        <v>-</v>
      </c>
      <c r="M3158" s="59">
        <f t="shared" si="280"/>
        <v>0</v>
      </c>
      <c r="N3158" s="59">
        <f t="shared" si="278"/>
        <v>0</v>
      </c>
      <c r="O3158" s="59">
        <f t="shared" si="281"/>
        <v>0</v>
      </c>
      <c r="P3158" s="59">
        <f t="shared" si="279"/>
        <v>0</v>
      </c>
    </row>
    <row r="3159" spans="12:16" ht="15" hidden="1" customHeight="1">
      <c r="L3159" s="58" t="str">
        <f t="shared" si="277"/>
        <v>-</v>
      </c>
      <c r="M3159" s="59">
        <f t="shared" si="280"/>
        <v>0</v>
      </c>
      <c r="N3159" s="59">
        <f t="shared" si="278"/>
        <v>0</v>
      </c>
      <c r="O3159" s="59">
        <f t="shared" si="281"/>
        <v>0</v>
      </c>
      <c r="P3159" s="59">
        <f t="shared" si="279"/>
        <v>0</v>
      </c>
    </row>
    <row r="3160" spans="12:16" ht="15" hidden="1" customHeight="1">
      <c r="L3160" s="58" t="str">
        <f t="shared" si="277"/>
        <v>-</v>
      </c>
      <c r="M3160" s="59">
        <f t="shared" si="280"/>
        <v>0</v>
      </c>
      <c r="N3160" s="59">
        <f t="shared" si="278"/>
        <v>0</v>
      </c>
      <c r="O3160" s="59">
        <f t="shared" si="281"/>
        <v>0</v>
      </c>
      <c r="P3160" s="59">
        <f t="shared" si="279"/>
        <v>0</v>
      </c>
    </row>
    <row r="3161" spans="12:16" ht="15" hidden="1" customHeight="1">
      <c r="L3161" s="58" t="str">
        <f t="shared" si="277"/>
        <v>-</v>
      </c>
      <c r="M3161" s="59">
        <f t="shared" si="280"/>
        <v>0</v>
      </c>
      <c r="N3161" s="59">
        <f t="shared" si="278"/>
        <v>0</v>
      </c>
      <c r="O3161" s="59">
        <f t="shared" si="281"/>
        <v>0</v>
      </c>
      <c r="P3161" s="59">
        <f t="shared" si="279"/>
        <v>0</v>
      </c>
    </row>
    <row r="3162" spans="12:16" ht="15" hidden="1" customHeight="1">
      <c r="L3162" s="58" t="str">
        <f t="shared" si="277"/>
        <v>-</v>
      </c>
      <c r="M3162" s="59">
        <f t="shared" si="280"/>
        <v>0</v>
      </c>
      <c r="N3162" s="59">
        <f t="shared" si="278"/>
        <v>0</v>
      </c>
      <c r="O3162" s="59">
        <f t="shared" si="281"/>
        <v>0</v>
      </c>
      <c r="P3162" s="59">
        <f t="shared" si="279"/>
        <v>0</v>
      </c>
    </row>
    <row r="3163" spans="12:16" ht="15" hidden="1" customHeight="1">
      <c r="L3163" s="58" t="str">
        <f t="shared" si="277"/>
        <v>-</v>
      </c>
      <c r="M3163" s="59">
        <f t="shared" si="280"/>
        <v>0</v>
      </c>
      <c r="N3163" s="59">
        <f t="shared" si="278"/>
        <v>0</v>
      </c>
      <c r="O3163" s="59">
        <f t="shared" si="281"/>
        <v>0</v>
      </c>
      <c r="P3163" s="59">
        <f t="shared" si="279"/>
        <v>0</v>
      </c>
    </row>
    <row r="3164" spans="12:16" ht="15" hidden="1" customHeight="1">
      <c r="L3164" s="58" t="str">
        <f t="shared" si="277"/>
        <v>-</v>
      </c>
      <c r="M3164" s="59">
        <f t="shared" si="280"/>
        <v>0</v>
      </c>
      <c r="N3164" s="59">
        <f t="shared" si="278"/>
        <v>0</v>
      </c>
      <c r="O3164" s="59">
        <f t="shared" si="281"/>
        <v>0</v>
      </c>
      <c r="P3164" s="59">
        <f t="shared" si="279"/>
        <v>0</v>
      </c>
    </row>
    <row r="3165" spans="12:16" ht="15" hidden="1" customHeight="1">
      <c r="L3165" s="58" t="str">
        <f t="shared" si="277"/>
        <v>-</v>
      </c>
      <c r="M3165" s="59">
        <f t="shared" si="280"/>
        <v>0</v>
      </c>
      <c r="N3165" s="59">
        <f t="shared" si="278"/>
        <v>0</v>
      </c>
      <c r="O3165" s="59">
        <f t="shared" si="281"/>
        <v>0</v>
      </c>
      <c r="P3165" s="59">
        <f t="shared" si="279"/>
        <v>0</v>
      </c>
    </row>
    <row r="3166" spans="12:16" ht="15" hidden="1" customHeight="1">
      <c r="L3166" s="58" t="str">
        <f t="shared" si="277"/>
        <v>-</v>
      </c>
      <c r="M3166" s="59">
        <f t="shared" si="280"/>
        <v>0</v>
      </c>
      <c r="N3166" s="59">
        <f t="shared" si="278"/>
        <v>0</v>
      </c>
      <c r="O3166" s="59">
        <f t="shared" si="281"/>
        <v>0</v>
      </c>
      <c r="P3166" s="59">
        <f t="shared" si="279"/>
        <v>0</v>
      </c>
    </row>
    <row r="3167" spans="12:16" ht="15" hidden="1" customHeight="1">
      <c r="L3167" s="58" t="str">
        <f t="shared" si="277"/>
        <v>-</v>
      </c>
      <c r="M3167" s="59">
        <f t="shared" si="280"/>
        <v>0</v>
      </c>
      <c r="N3167" s="59">
        <f t="shared" si="278"/>
        <v>0</v>
      </c>
      <c r="O3167" s="59">
        <f t="shared" si="281"/>
        <v>0</v>
      </c>
      <c r="P3167" s="59">
        <f t="shared" si="279"/>
        <v>0</v>
      </c>
    </row>
    <row r="3168" spans="12:16" ht="15" hidden="1" customHeight="1">
      <c r="L3168" s="58" t="str">
        <f t="shared" si="277"/>
        <v>-</v>
      </c>
      <c r="M3168" s="59">
        <f t="shared" si="280"/>
        <v>0</v>
      </c>
      <c r="N3168" s="59">
        <f t="shared" si="278"/>
        <v>0</v>
      </c>
      <c r="O3168" s="59">
        <f t="shared" si="281"/>
        <v>0</v>
      </c>
      <c r="P3168" s="59">
        <f t="shared" si="279"/>
        <v>0</v>
      </c>
    </row>
    <row r="3169" spans="12:16" ht="15" hidden="1" customHeight="1">
      <c r="L3169" s="58" t="str">
        <f t="shared" si="277"/>
        <v>-</v>
      </c>
      <c r="M3169" s="59">
        <f t="shared" si="280"/>
        <v>0</v>
      </c>
      <c r="N3169" s="59">
        <f t="shared" si="278"/>
        <v>0</v>
      </c>
      <c r="O3169" s="59">
        <f t="shared" si="281"/>
        <v>0</v>
      </c>
      <c r="P3169" s="59">
        <f t="shared" si="279"/>
        <v>0</v>
      </c>
    </row>
    <row r="3170" spans="12:16" ht="15" hidden="1" customHeight="1">
      <c r="L3170" s="58" t="str">
        <f t="shared" ref="L3170:L3233" si="282">IFERROR(IF(MAX(L3169+1,$F$5+1)&gt;Дата_погашения_Займа,"-",MAX(L3169+1,$F$5+1)),"-")</f>
        <v>-</v>
      </c>
      <c r="M3170" s="59">
        <f t="shared" si="280"/>
        <v>0</v>
      </c>
      <c r="N3170" s="59">
        <f t="shared" si="278"/>
        <v>0</v>
      </c>
      <c r="O3170" s="59">
        <f t="shared" si="281"/>
        <v>0</v>
      </c>
      <c r="P3170" s="59">
        <f t="shared" si="279"/>
        <v>0</v>
      </c>
    </row>
    <row r="3171" spans="12:16" ht="15" hidden="1" customHeight="1">
      <c r="L3171" s="58" t="str">
        <f t="shared" si="282"/>
        <v>-</v>
      </c>
      <c r="M3171" s="59">
        <f t="shared" si="280"/>
        <v>0</v>
      </c>
      <c r="N3171" s="59">
        <f t="shared" si="278"/>
        <v>0</v>
      </c>
      <c r="O3171" s="59">
        <f t="shared" si="281"/>
        <v>0</v>
      </c>
      <c r="P3171" s="59">
        <f t="shared" si="279"/>
        <v>0</v>
      </c>
    </row>
    <row r="3172" spans="12:16" ht="15" hidden="1" customHeight="1">
      <c r="L3172" s="58" t="str">
        <f t="shared" si="282"/>
        <v>-</v>
      </c>
      <c r="M3172" s="59">
        <f t="shared" si="280"/>
        <v>0</v>
      </c>
      <c r="N3172" s="59">
        <f t="shared" si="278"/>
        <v>0</v>
      </c>
      <c r="O3172" s="59">
        <f t="shared" si="281"/>
        <v>0</v>
      </c>
      <c r="P3172" s="59">
        <f t="shared" si="279"/>
        <v>0</v>
      </c>
    </row>
    <row r="3173" spans="12:16" ht="15" hidden="1" customHeight="1">
      <c r="L3173" s="58" t="str">
        <f t="shared" si="282"/>
        <v>-</v>
      </c>
      <c r="M3173" s="59">
        <f t="shared" si="280"/>
        <v>0</v>
      </c>
      <c r="N3173" s="59">
        <f t="shared" si="278"/>
        <v>0</v>
      </c>
      <c r="O3173" s="59">
        <f t="shared" si="281"/>
        <v>0</v>
      </c>
      <c r="P3173" s="59">
        <f t="shared" si="279"/>
        <v>0</v>
      </c>
    </row>
    <row r="3174" spans="12:16" ht="15" hidden="1" customHeight="1">
      <c r="L3174" s="58" t="str">
        <f t="shared" si="282"/>
        <v>-</v>
      </c>
      <c r="M3174" s="59">
        <f t="shared" si="280"/>
        <v>0</v>
      </c>
      <c r="N3174" s="59">
        <f t="shared" si="278"/>
        <v>0</v>
      </c>
      <c r="O3174" s="59">
        <f t="shared" si="281"/>
        <v>0</v>
      </c>
      <c r="P3174" s="59">
        <f t="shared" si="279"/>
        <v>0</v>
      </c>
    </row>
    <row r="3175" spans="12:16" ht="15" hidden="1" customHeight="1">
      <c r="L3175" s="58" t="str">
        <f t="shared" si="282"/>
        <v>-</v>
      </c>
      <c r="M3175" s="59">
        <f t="shared" si="280"/>
        <v>0</v>
      </c>
      <c r="N3175" s="59">
        <f t="shared" si="278"/>
        <v>0</v>
      </c>
      <c r="O3175" s="59">
        <f t="shared" si="281"/>
        <v>0</v>
      </c>
      <c r="P3175" s="59">
        <f t="shared" si="279"/>
        <v>0</v>
      </c>
    </row>
    <row r="3176" spans="12:16" ht="15" hidden="1" customHeight="1">
      <c r="L3176" s="58" t="str">
        <f t="shared" si="282"/>
        <v>-</v>
      </c>
      <c r="M3176" s="59">
        <f t="shared" si="280"/>
        <v>0</v>
      </c>
      <c r="N3176" s="59">
        <f t="shared" si="278"/>
        <v>0</v>
      </c>
      <c r="O3176" s="59">
        <f t="shared" si="281"/>
        <v>0</v>
      </c>
      <c r="P3176" s="59">
        <f t="shared" si="279"/>
        <v>0</v>
      </c>
    </row>
    <row r="3177" spans="12:16" ht="15" hidden="1" customHeight="1">
      <c r="L3177" s="58" t="str">
        <f t="shared" si="282"/>
        <v>-</v>
      </c>
      <c r="M3177" s="59">
        <f t="shared" si="280"/>
        <v>0</v>
      </c>
      <c r="N3177" s="59">
        <f t="shared" si="278"/>
        <v>0</v>
      </c>
      <c r="O3177" s="59">
        <f t="shared" si="281"/>
        <v>0</v>
      </c>
      <c r="P3177" s="59">
        <f t="shared" si="279"/>
        <v>0</v>
      </c>
    </row>
    <row r="3178" spans="12:16" ht="15" hidden="1" customHeight="1">
      <c r="L3178" s="58" t="str">
        <f t="shared" si="282"/>
        <v>-</v>
      </c>
      <c r="M3178" s="59">
        <f t="shared" si="280"/>
        <v>0</v>
      </c>
      <c r="N3178" s="59">
        <f t="shared" si="278"/>
        <v>0</v>
      </c>
      <c r="O3178" s="59">
        <f t="shared" si="281"/>
        <v>0</v>
      </c>
      <c r="P3178" s="59">
        <f t="shared" si="279"/>
        <v>0</v>
      </c>
    </row>
    <row r="3179" spans="12:16" ht="15" hidden="1" customHeight="1">
      <c r="L3179" s="58" t="str">
        <f t="shared" si="282"/>
        <v>-</v>
      </c>
      <c r="M3179" s="59">
        <f t="shared" si="280"/>
        <v>0</v>
      </c>
      <c r="N3179" s="59">
        <f t="shared" si="278"/>
        <v>0</v>
      </c>
      <c r="O3179" s="59">
        <f t="shared" si="281"/>
        <v>0</v>
      </c>
      <c r="P3179" s="59">
        <f t="shared" si="279"/>
        <v>0</v>
      </c>
    </row>
    <row r="3180" spans="12:16" ht="15" hidden="1" customHeight="1">
      <c r="L3180" s="58" t="str">
        <f t="shared" si="282"/>
        <v>-</v>
      </c>
      <c r="M3180" s="59">
        <f t="shared" si="280"/>
        <v>0</v>
      </c>
      <c r="N3180" s="59">
        <f t="shared" si="278"/>
        <v>0</v>
      </c>
      <c r="O3180" s="59">
        <f t="shared" si="281"/>
        <v>0</v>
      </c>
      <c r="P3180" s="59">
        <f t="shared" si="279"/>
        <v>0</v>
      </c>
    </row>
    <row r="3181" spans="12:16" ht="15" hidden="1" customHeight="1">
      <c r="L3181" s="58" t="str">
        <f t="shared" si="282"/>
        <v>-</v>
      </c>
      <c r="M3181" s="59">
        <f t="shared" si="280"/>
        <v>0</v>
      </c>
      <c r="N3181" s="59">
        <f t="shared" si="278"/>
        <v>0</v>
      </c>
      <c r="O3181" s="59">
        <f t="shared" si="281"/>
        <v>0</v>
      </c>
      <c r="P3181" s="59">
        <f t="shared" si="279"/>
        <v>0</v>
      </c>
    </row>
    <row r="3182" spans="12:16" ht="15" hidden="1" customHeight="1">
      <c r="L3182" s="58" t="str">
        <f t="shared" si="282"/>
        <v>-</v>
      </c>
      <c r="M3182" s="59">
        <f t="shared" si="280"/>
        <v>0</v>
      </c>
      <c r="N3182" s="59">
        <f t="shared" si="278"/>
        <v>0</v>
      </c>
      <c r="O3182" s="59">
        <f t="shared" si="281"/>
        <v>0</v>
      </c>
      <c r="P3182" s="59">
        <f t="shared" si="279"/>
        <v>0</v>
      </c>
    </row>
    <row r="3183" spans="12:16" ht="15" hidden="1" customHeight="1">
      <c r="L3183" s="58" t="str">
        <f t="shared" si="282"/>
        <v>-</v>
      </c>
      <c r="M3183" s="59">
        <f t="shared" si="280"/>
        <v>0</v>
      </c>
      <c r="N3183" s="59">
        <f t="shared" si="278"/>
        <v>0</v>
      </c>
      <c r="O3183" s="59">
        <f t="shared" si="281"/>
        <v>0</v>
      </c>
      <c r="P3183" s="59">
        <f t="shared" si="279"/>
        <v>0</v>
      </c>
    </row>
    <row r="3184" spans="12:16" ht="15" hidden="1" customHeight="1">
      <c r="L3184" s="58" t="str">
        <f t="shared" si="282"/>
        <v>-</v>
      </c>
      <c r="M3184" s="59">
        <f t="shared" si="280"/>
        <v>0</v>
      </c>
      <c r="N3184" s="59">
        <f t="shared" si="278"/>
        <v>0</v>
      </c>
      <c r="O3184" s="59">
        <f t="shared" si="281"/>
        <v>0</v>
      </c>
      <c r="P3184" s="59">
        <f t="shared" si="279"/>
        <v>0</v>
      </c>
    </row>
    <row r="3185" spans="12:16" ht="15" hidden="1" customHeight="1">
      <c r="L3185" s="58" t="str">
        <f t="shared" si="282"/>
        <v>-</v>
      </c>
      <c r="M3185" s="59">
        <f t="shared" si="280"/>
        <v>0</v>
      </c>
      <c r="N3185" s="59">
        <f t="shared" si="278"/>
        <v>0</v>
      </c>
      <c r="O3185" s="59">
        <f t="shared" si="281"/>
        <v>0</v>
      </c>
      <c r="P3185" s="59">
        <f t="shared" si="279"/>
        <v>0</v>
      </c>
    </row>
    <row r="3186" spans="12:16" ht="15" hidden="1" customHeight="1">
      <c r="L3186" s="58" t="str">
        <f t="shared" si="282"/>
        <v>-</v>
      </c>
      <c r="M3186" s="59">
        <f t="shared" si="280"/>
        <v>0</v>
      </c>
      <c r="N3186" s="59">
        <f t="shared" si="278"/>
        <v>0</v>
      </c>
      <c r="O3186" s="59">
        <f t="shared" si="281"/>
        <v>0</v>
      </c>
      <c r="P3186" s="59">
        <f t="shared" si="279"/>
        <v>0</v>
      </c>
    </row>
    <row r="3187" spans="12:16" ht="15" hidden="1" customHeight="1">
      <c r="L3187" s="58" t="str">
        <f t="shared" si="282"/>
        <v>-</v>
      </c>
      <c r="M3187" s="59">
        <f t="shared" si="280"/>
        <v>0</v>
      </c>
      <c r="N3187" s="59">
        <f t="shared" si="278"/>
        <v>0</v>
      </c>
      <c r="O3187" s="59">
        <f t="shared" si="281"/>
        <v>0</v>
      </c>
      <c r="P3187" s="59">
        <f t="shared" si="279"/>
        <v>0</v>
      </c>
    </row>
    <row r="3188" spans="12:16" ht="15" hidden="1" customHeight="1">
      <c r="L3188" s="58" t="str">
        <f t="shared" si="282"/>
        <v>-</v>
      </c>
      <c r="M3188" s="59">
        <f t="shared" si="280"/>
        <v>0</v>
      </c>
      <c r="N3188" s="59">
        <f t="shared" si="278"/>
        <v>0</v>
      </c>
      <c r="O3188" s="59">
        <f t="shared" si="281"/>
        <v>0</v>
      </c>
      <c r="P3188" s="59">
        <f t="shared" si="279"/>
        <v>0</v>
      </c>
    </row>
    <row r="3189" spans="12:16" ht="15" hidden="1" customHeight="1">
      <c r="L3189" s="58" t="str">
        <f t="shared" si="282"/>
        <v>-</v>
      </c>
      <c r="M3189" s="59">
        <f t="shared" si="280"/>
        <v>0</v>
      </c>
      <c r="N3189" s="59">
        <f t="shared" si="278"/>
        <v>0</v>
      </c>
      <c r="O3189" s="59">
        <f t="shared" si="281"/>
        <v>0</v>
      </c>
      <c r="P3189" s="59">
        <f t="shared" si="279"/>
        <v>0</v>
      </c>
    </row>
    <row r="3190" spans="12:16" ht="15" hidden="1" customHeight="1">
      <c r="L3190" s="58" t="str">
        <f t="shared" si="282"/>
        <v>-</v>
      </c>
      <c r="M3190" s="59">
        <f t="shared" si="280"/>
        <v>0</v>
      </c>
      <c r="N3190" s="59">
        <f t="shared" si="278"/>
        <v>0</v>
      </c>
      <c r="O3190" s="59">
        <f t="shared" si="281"/>
        <v>0</v>
      </c>
      <c r="P3190" s="59">
        <f t="shared" si="279"/>
        <v>0</v>
      </c>
    </row>
    <row r="3191" spans="12:16" ht="15" hidden="1" customHeight="1">
      <c r="L3191" s="58" t="str">
        <f t="shared" si="282"/>
        <v>-</v>
      </c>
      <c r="M3191" s="59">
        <f t="shared" si="280"/>
        <v>0</v>
      </c>
      <c r="N3191" s="59">
        <f t="shared" si="278"/>
        <v>0</v>
      </c>
      <c r="O3191" s="59">
        <f t="shared" si="281"/>
        <v>0</v>
      </c>
      <c r="P3191" s="59">
        <f t="shared" si="279"/>
        <v>0</v>
      </c>
    </row>
    <row r="3192" spans="12:16" ht="15" hidden="1" customHeight="1">
      <c r="L3192" s="58" t="str">
        <f t="shared" si="282"/>
        <v>-</v>
      </c>
      <c r="M3192" s="59">
        <f t="shared" si="280"/>
        <v>0</v>
      </c>
      <c r="N3192" s="59">
        <f t="shared" si="278"/>
        <v>0</v>
      </c>
      <c r="O3192" s="59">
        <f t="shared" si="281"/>
        <v>0</v>
      </c>
      <c r="P3192" s="59">
        <f t="shared" si="279"/>
        <v>0</v>
      </c>
    </row>
    <row r="3193" spans="12:16" ht="15" hidden="1" customHeight="1">
      <c r="L3193" s="58" t="str">
        <f t="shared" si="282"/>
        <v>-</v>
      </c>
      <c r="M3193" s="59">
        <f t="shared" si="280"/>
        <v>0</v>
      </c>
      <c r="N3193" s="59">
        <f t="shared" si="278"/>
        <v>0</v>
      </c>
      <c r="O3193" s="59">
        <f t="shared" si="281"/>
        <v>0</v>
      </c>
      <c r="P3193" s="59">
        <f t="shared" si="279"/>
        <v>0</v>
      </c>
    </row>
    <row r="3194" spans="12:16" ht="15" hidden="1" customHeight="1">
      <c r="L3194" s="58" t="str">
        <f t="shared" si="282"/>
        <v>-</v>
      </c>
      <c r="M3194" s="59">
        <f t="shared" si="280"/>
        <v>0</v>
      </c>
      <c r="N3194" s="59">
        <f t="shared" si="278"/>
        <v>0</v>
      </c>
      <c r="O3194" s="59">
        <f t="shared" si="281"/>
        <v>0</v>
      </c>
      <c r="P3194" s="59">
        <f t="shared" si="279"/>
        <v>0</v>
      </c>
    </row>
    <row r="3195" spans="12:16" ht="15" hidden="1" customHeight="1">
      <c r="L3195" s="58" t="str">
        <f t="shared" si="282"/>
        <v>-</v>
      </c>
      <c r="M3195" s="59">
        <f t="shared" si="280"/>
        <v>0</v>
      </c>
      <c r="N3195" s="59">
        <f t="shared" si="278"/>
        <v>0</v>
      </c>
      <c r="O3195" s="59">
        <f t="shared" si="281"/>
        <v>0</v>
      </c>
      <c r="P3195" s="59">
        <f t="shared" si="279"/>
        <v>0</v>
      </c>
    </row>
    <row r="3196" spans="12:16" ht="15" hidden="1" customHeight="1">
      <c r="L3196" s="58" t="str">
        <f t="shared" si="282"/>
        <v>-</v>
      </c>
      <c r="M3196" s="59">
        <f t="shared" si="280"/>
        <v>0</v>
      </c>
      <c r="N3196" s="59">
        <f t="shared" si="278"/>
        <v>0</v>
      </c>
      <c r="O3196" s="59">
        <f t="shared" si="281"/>
        <v>0</v>
      </c>
      <c r="P3196" s="59">
        <f t="shared" si="279"/>
        <v>0</v>
      </c>
    </row>
    <row r="3197" spans="12:16" ht="15" hidden="1" customHeight="1">
      <c r="L3197" s="58" t="str">
        <f t="shared" si="282"/>
        <v>-</v>
      </c>
      <c r="M3197" s="59">
        <f t="shared" si="280"/>
        <v>0</v>
      </c>
      <c r="N3197" s="59">
        <f t="shared" si="278"/>
        <v>0</v>
      </c>
      <c r="O3197" s="59">
        <f t="shared" si="281"/>
        <v>0</v>
      </c>
      <c r="P3197" s="59">
        <f t="shared" si="279"/>
        <v>0</v>
      </c>
    </row>
    <row r="3198" spans="12:16" ht="15" hidden="1" customHeight="1">
      <c r="L3198" s="58" t="str">
        <f t="shared" si="282"/>
        <v>-</v>
      </c>
      <c r="M3198" s="59">
        <f t="shared" si="280"/>
        <v>0</v>
      </c>
      <c r="N3198" s="59">
        <f t="shared" si="278"/>
        <v>0</v>
      </c>
      <c r="O3198" s="59">
        <f t="shared" si="281"/>
        <v>0</v>
      </c>
      <c r="P3198" s="59">
        <f t="shared" si="279"/>
        <v>0</v>
      </c>
    </row>
    <row r="3199" spans="12:16" ht="15" hidden="1" customHeight="1">
      <c r="L3199" s="58" t="str">
        <f t="shared" si="282"/>
        <v>-</v>
      </c>
      <c r="M3199" s="59">
        <f t="shared" si="280"/>
        <v>0</v>
      </c>
      <c r="N3199" s="59">
        <f t="shared" si="278"/>
        <v>0</v>
      </c>
      <c r="O3199" s="59">
        <f t="shared" si="281"/>
        <v>0</v>
      </c>
      <c r="P3199" s="59">
        <f t="shared" si="279"/>
        <v>0</v>
      </c>
    </row>
    <row r="3200" spans="12:16" ht="15" hidden="1" customHeight="1">
      <c r="L3200" s="58" t="str">
        <f t="shared" si="282"/>
        <v>-</v>
      </c>
      <c r="M3200" s="59">
        <f t="shared" si="280"/>
        <v>0</v>
      </c>
      <c r="N3200" s="59">
        <f t="shared" si="278"/>
        <v>0</v>
      </c>
      <c r="O3200" s="59">
        <f t="shared" si="281"/>
        <v>0</v>
      </c>
      <c r="P3200" s="59">
        <f t="shared" si="279"/>
        <v>0</v>
      </c>
    </row>
    <row r="3201" spans="12:16" ht="15" hidden="1" customHeight="1">
      <c r="L3201" s="58" t="str">
        <f t="shared" si="282"/>
        <v>-</v>
      </c>
      <c r="M3201" s="59">
        <f t="shared" si="280"/>
        <v>0</v>
      </c>
      <c r="N3201" s="59">
        <f t="shared" ref="N3201:N3264" si="283">IF(ISNUMBER(N3200),N3200-M3201,$E$8)</f>
        <v>0</v>
      </c>
      <c r="O3201" s="59">
        <f t="shared" si="281"/>
        <v>0</v>
      </c>
      <c r="P3201" s="59">
        <f t="shared" ref="P3201:P3264" si="284">IFERROR(IF(ISNUMBER(N3200),N3200,$E$8)*3%/IF(MOD(YEAR(L3201),4),365,366)*IF(ISBLANK(L3200),(L3201-$F$5),L3201-L3200),0)</f>
        <v>0</v>
      </c>
    </row>
    <row r="3202" spans="12:16" ht="15" hidden="1" customHeight="1">
      <c r="L3202" s="58" t="str">
        <f t="shared" si="282"/>
        <v>-</v>
      </c>
      <c r="M3202" s="59">
        <f t="shared" si="280"/>
        <v>0</v>
      </c>
      <c r="N3202" s="59">
        <f t="shared" si="283"/>
        <v>0</v>
      </c>
      <c r="O3202" s="59">
        <f t="shared" si="281"/>
        <v>0</v>
      </c>
      <c r="P3202" s="59">
        <f t="shared" si="284"/>
        <v>0</v>
      </c>
    </row>
    <row r="3203" spans="12:16" ht="15" hidden="1" customHeight="1">
      <c r="L3203" s="58" t="str">
        <f t="shared" si="282"/>
        <v>-</v>
      </c>
      <c r="M3203" s="59">
        <f t="shared" si="280"/>
        <v>0</v>
      </c>
      <c r="N3203" s="59">
        <f t="shared" si="283"/>
        <v>0</v>
      </c>
      <c r="O3203" s="59">
        <f t="shared" si="281"/>
        <v>0</v>
      </c>
      <c r="P3203" s="59">
        <f t="shared" si="284"/>
        <v>0</v>
      </c>
    </row>
    <row r="3204" spans="12:16" ht="15" hidden="1" customHeight="1">
      <c r="L3204" s="58" t="str">
        <f t="shared" si="282"/>
        <v>-</v>
      </c>
      <c r="M3204" s="59">
        <f t="shared" si="280"/>
        <v>0</v>
      </c>
      <c r="N3204" s="59">
        <f t="shared" si="283"/>
        <v>0</v>
      </c>
      <c r="O3204" s="59">
        <f t="shared" si="281"/>
        <v>0</v>
      </c>
      <c r="P3204" s="59">
        <f t="shared" si="284"/>
        <v>0</v>
      </c>
    </row>
    <row r="3205" spans="12:16" ht="15" hidden="1" customHeight="1">
      <c r="L3205" s="58" t="str">
        <f t="shared" si="282"/>
        <v>-</v>
      </c>
      <c r="M3205" s="59">
        <f t="shared" si="280"/>
        <v>0</v>
      </c>
      <c r="N3205" s="59">
        <f t="shared" si="283"/>
        <v>0</v>
      </c>
      <c r="O3205" s="59">
        <f t="shared" si="281"/>
        <v>0</v>
      </c>
      <c r="P3205" s="59">
        <f t="shared" si="284"/>
        <v>0</v>
      </c>
    </row>
    <row r="3206" spans="12:16" ht="15" hidden="1" customHeight="1">
      <c r="L3206" s="58" t="str">
        <f t="shared" si="282"/>
        <v>-</v>
      </c>
      <c r="M3206" s="59">
        <f t="shared" si="280"/>
        <v>0</v>
      </c>
      <c r="N3206" s="59">
        <f t="shared" si="283"/>
        <v>0</v>
      </c>
      <c r="O3206" s="59">
        <f t="shared" si="281"/>
        <v>0</v>
      </c>
      <c r="P3206" s="59">
        <f t="shared" si="284"/>
        <v>0</v>
      </c>
    </row>
    <row r="3207" spans="12:16" ht="15" hidden="1" customHeight="1">
      <c r="L3207" s="58" t="str">
        <f t="shared" si="282"/>
        <v>-</v>
      </c>
      <c r="M3207" s="59">
        <f t="shared" si="280"/>
        <v>0</v>
      </c>
      <c r="N3207" s="59">
        <f t="shared" si="283"/>
        <v>0</v>
      </c>
      <c r="O3207" s="59">
        <f t="shared" si="281"/>
        <v>0</v>
      </c>
      <c r="P3207" s="59">
        <f t="shared" si="284"/>
        <v>0</v>
      </c>
    </row>
    <row r="3208" spans="12:16" ht="15" hidden="1" customHeight="1">
      <c r="L3208" s="58" t="str">
        <f t="shared" si="282"/>
        <v>-</v>
      </c>
      <c r="M3208" s="59">
        <f t="shared" si="280"/>
        <v>0</v>
      </c>
      <c r="N3208" s="59">
        <f t="shared" si="283"/>
        <v>0</v>
      </c>
      <c r="O3208" s="59">
        <f t="shared" si="281"/>
        <v>0</v>
      </c>
      <c r="P3208" s="59">
        <f t="shared" si="284"/>
        <v>0</v>
      </c>
    </row>
    <row r="3209" spans="12:16" ht="15" hidden="1" customHeight="1">
      <c r="L3209" s="58" t="str">
        <f t="shared" si="282"/>
        <v>-</v>
      </c>
      <c r="M3209" s="59">
        <f t="shared" si="280"/>
        <v>0</v>
      </c>
      <c r="N3209" s="59">
        <f t="shared" si="283"/>
        <v>0</v>
      </c>
      <c r="O3209" s="59">
        <f t="shared" si="281"/>
        <v>0</v>
      </c>
      <c r="P3209" s="59">
        <f t="shared" si="284"/>
        <v>0</v>
      </c>
    </row>
    <row r="3210" spans="12:16" ht="15" hidden="1" customHeight="1">
      <c r="L3210" s="58" t="str">
        <f t="shared" si="282"/>
        <v>-</v>
      </c>
      <c r="M3210" s="59">
        <f t="shared" si="280"/>
        <v>0</v>
      </c>
      <c r="N3210" s="59">
        <f t="shared" si="283"/>
        <v>0</v>
      </c>
      <c r="O3210" s="59">
        <f t="shared" si="281"/>
        <v>0</v>
      </c>
      <c r="P3210" s="59">
        <f t="shared" si="284"/>
        <v>0</v>
      </c>
    </row>
    <row r="3211" spans="12:16" ht="15" hidden="1" customHeight="1">
      <c r="L3211" s="58" t="str">
        <f t="shared" si="282"/>
        <v>-</v>
      </c>
      <c r="M3211" s="59">
        <f t="shared" si="280"/>
        <v>0</v>
      </c>
      <c r="N3211" s="59">
        <f t="shared" si="283"/>
        <v>0</v>
      </c>
      <c r="O3211" s="59">
        <f t="shared" si="281"/>
        <v>0</v>
      </c>
      <c r="P3211" s="59">
        <f t="shared" si="284"/>
        <v>0</v>
      </c>
    </row>
    <row r="3212" spans="12:16" ht="15" hidden="1" customHeight="1">
      <c r="L3212" s="58" t="str">
        <f t="shared" si="282"/>
        <v>-</v>
      </c>
      <c r="M3212" s="59">
        <f t="shared" si="280"/>
        <v>0</v>
      </c>
      <c r="N3212" s="59">
        <f t="shared" si="283"/>
        <v>0</v>
      </c>
      <c r="O3212" s="59">
        <f t="shared" si="281"/>
        <v>0</v>
      </c>
      <c r="P3212" s="59">
        <f t="shared" si="284"/>
        <v>0</v>
      </c>
    </row>
    <row r="3213" spans="12:16" ht="15" hidden="1" customHeight="1">
      <c r="L3213" s="58" t="str">
        <f t="shared" si="282"/>
        <v>-</v>
      </c>
      <c r="M3213" s="59">
        <f t="shared" si="280"/>
        <v>0</v>
      </c>
      <c r="N3213" s="59">
        <f t="shared" si="283"/>
        <v>0</v>
      </c>
      <c r="O3213" s="59">
        <f t="shared" si="281"/>
        <v>0</v>
      </c>
      <c r="P3213" s="59">
        <f t="shared" si="284"/>
        <v>0</v>
      </c>
    </row>
    <row r="3214" spans="12:16" ht="15" hidden="1" customHeight="1">
      <c r="L3214" s="58" t="str">
        <f t="shared" si="282"/>
        <v>-</v>
      </c>
      <c r="M3214" s="59">
        <f t="shared" si="280"/>
        <v>0</v>
      </c>
      <c r="N3214" s="59">
        <f t="shared" si="283"/>
        <v>0</v>
      </c>
      <c r="O3214" s="59">
        <f t="shared" si="281"/>
        <v>0</v>
      </c>
      <c r="P3214" s="59">
        <f t="shared" si="284"/>
        <v>0</v>
      </c>
    </row>
    <row r="3215" spans="12:16" ht="15" hidden="1" customHeight="1">
      <c r="L3215" s="58" t="str">
        <f t="shared" si="282"/>
        <v>-</v>
      </c>
      <c r="M3215" s="59">
        <f t="shared" si="280"/>
        <v>0</v>
      </c>
      <c r="N3215" s="59">
        <f t="shared" si="283"/>
        <v>0</v>
      </c>
      <c r="O3215" s="59">
        <f t="shared" si="281"/>
        <v>0</v>
      </c>
      <c r="P3215" s="59">
        <f t="shared" si="284"/>
        <v>0</v>
      </c>
    </row>
    <row r="3216" spans="12:16" ht="15" hidden="1" customHeight="1">
      <c r="L3216" s="58" t="str">
        <f t="shared" si="282"/>
        <v>-</v>
      </c>
      <c r="M3216" s="59">
        <f t="shared" si="280"/>
        <v>0</v>
      </c>
      <c r="N3216" s="59">
        <f t="shared" si="283"/>
        <v>0</v>
      </c>
      <c r="O3216" s="59">
        <f t="shared" si="281"/>
        <v>0</v>
      </c>
      <c r="P3216" s="59">
        <f t="shared" si="284"/>
        <v>0</v>
      </c>
    </row>
    <row r="3217" spans="12:16" ht="15" hidden="1" customHeight="1">
      <c r="L3217" s="58" t="str">
        <f t="shared" si="282"/>
        <v>-</v>
      </c>
      <c r="M3217" s="59">
        <f t="shared" si="280"/>
        <v>0</v>
      </c>
      <c r="N3217" s="59">
        <f t="shared" si="283"/>
        <v>0</v>
      </c>
      <c r="O3217" s="59">
        <f t="shared" si="281"/>
        <v>0</v>
      </c>
      <c r="P3217" s="59">
        <f t="shared" si="284"/>
        <v>0</v>
      </c>
    </row>
    <row r="3218" spans="12:16" ht="15" hidden="1" customHeight="1">
      <c r="L3218" s="58" t="str">
        <f t="shared" si="282"/>
        <v>-</v>
      </c>
      <c r="M3218" s="59">
        <f t="shared" si="280"/>
        <v>0</v>
      </c>
      <c r="N3218" s="59">
        <f t="shared" si="283"/>
        <v>0</v>
      </c>
      <c r="O3218" s="59">
        <f t="shared" si="281"/>
        <v>0</v>
      </c>
      <c r="P3218" s="59">
        <f t="shared" si="284"/>
        <v>0</v>
      </c>
    </row>
    <row r="3219" spans="12:16" ht="15" hidden="1" customHeight="1">
      <c r="L3219" s="58" t="str">
        <f t="shared" si="282"/>
        <v>-</v>
      </c>
      <c r="M3219" s="59">
        <f t="shared" ref="M3219:M3282" si="285">IFERROR(VLOOKUP(L3219,$B$19:$E$80,4,FALSE),0)</f>
        <v>0</v>
      </c>
      <c r="N3219" s="59">
        <f t="shared" si="283"/>
        <v>0</v>
      </c>
      <c r="O3219" s="59">
        <f t="shared" ref="O3219:O3282" si="286">IFERROR(IF(ISNUMBER(N3218),N3218,$E$8)*IF(L3219&gt;=$J$8,$E$12,$E$12)/IF(MOD(YEAR(L3219),4),365,366)*IF(ISBLANK(L3218),L3219-$F$5,L3219-L3218),0)</f>
        <v>0</v>
      </c>
      <c r="P3219" s="59">
        <f t="shared" si="284"/>
        <v>0</v>
      </c>
    </row>
    <row r="3220" spans="12:16" ht="15" hidden="1" customHeight="1">
      <c r="L3220" s="58" t="str">
        <f t="shared" si="282"/>
        <v>-</v>
      </c>
      <c r="M3220" s="59">
        <f t="shared" si="285"/>
        <v>0</v>
      </c>
      <c r="N3220" s="59">
        <f t="shared" si="283"/>
        <v>0</v>
      </c>
      <c r="O3220" s="59">
        <f t="shared" si="286"/>
        <v>0</v>
      </c>
      <c r="P3220" s="59">
        <f t="shared" si="284"/>
        <v>0</v>
      </c>
    </row>
    <row r="3221" spans="12:16" ht="15" hidden="1" customHeight="1">
      <c r="L3221" s="58" t="str">
        <f t="shared" si="282"/>
        <v>-</v>
      </c>
      <c r="M3221" s="59">
        <f t="shared" si="285"/>
        <v>0</v>
      </c>
      <c r="N3221" s="59">
        <f t="shared" si="283"/>
        <v>0</v>
      </c>
      <c r="O3221" s="59">
        <f t="shared" si="286"/>
        <v>0</v>
      </c>
      <c r="P3221" s="59">
        <f t="shared" si="284"/>
        <v>0</v>
      </c>
    </row>
    <row r="3222" spans="12:16" ht="15" hidden="1" customHeight="1">
      <c r="L3222" s="58" t="str">
        <f t="shared" si="282"/>
        <v>-</v>
      </c>
      <c r="M3222" s="59">
        <f t="shared" si="285"/>
        <v>0</v>
      </c>
      <c r="N3222" s="59">
        <f t="shared" si="283"/>
        <v>0</v>
      </c>
      <c r="O3222" s="59">
        <f t="shared" si="286"/>
        <v>0</v>
      </c>
      <c r="P3222" s="59">
        <f t="shared" si="284"/>
        <v>0</v>
      </c>
    </row>
    <row r="3223" spans="12:16" ht="15" hidden="1" customHeight="1">
      <c r="L3223" s="58" t="str">
        <f t="shared" si="282"/>
        <v>-</v>
      </c>
      <c r="M3223" s="59">
        <f t="shared" si="285"/>
        <v>0</v>
      </c>
      <c r="N3223" s="59">
        <f t="shared" si="283"/>
        <v>0</v>
      </c>
      <c r="O3223" s="59">
        <f t="shared" si="286"/>
        <v>0</v>
      </c>
      <c r="P3223" s="59">
        <f t="shared" si="284"/>
        <v>0</v>
      </c>
    </row>
    <row r="3224" spans="12:16" ht="15" hidden="1" customHeight="1">
      <c r="L3224" s="58" t="str">
        <f t="shared" si="282"/>
        <v>-</v>
      </c>
      <c r="M3224" s="59">
        <f t="shared" si="285"/>
        <v>0</v>
      </c>
      <c r="N3224" s="59">
        <f t="shared" si="283"/>
        <v>0</v>
      </c>
      <c r="O3224" s="59">
        <f t="shared" si="286"/>
        <v>0</v>
      </c>
      <c r="P3224" s="59">
        <f t="shared" si="284"/>
        <v>0</v>
      </c>
    </row>
    <row r="3225" spans="12:16" ht="15" hidden="1" customHeight="1">
      <c r="L3225" s="58" t="str">
        <f t="shared" si="282"/>
        <v>-</v>
      </c>
      <c r="M3225" s="59">
        <f t="shared" si="285"/>
        <v>0</v>
      </c>
      <c r="N3225" s="59">
        <f t="shared" si="283"/>
        <v>0</v>
      </c>
      <c r="O3225" s="59">
        <f t="shared" si="286"/>
        <v>0</v>
      </c>
      <c r="P3225" s="59">
        <f t="shared" si="284"/>
        <v>0</v>
      </c>
    </row>
    <row r="3226" spans="12:16" ht="15" hidden="1" customHeight="1">
      <c r="L3226" s="58" t="str">
        <f t="shared" si="282"/>
        <v>-</v>
      </c>
      <c r="M3226" s="59">
        <f t="shared" si="285"/>
        <v>0</v>
      </c>
      <c r="N3226" s="59">
        <f t="shared" si="283"/>
        <v>0</v>
      </c>
      <c r="O3226" s="59">
        <f t="shared" si="286"/>
        <v>0</v>
      </c>
      <c r="P3226" s="59">
        <f t="shared" si="284"/>
        <v>0</v>
      </c>
    </row>
    <row r="3227" spans="12:16" ht="15" hidden="1" customHeight="1">
      <c r="L3227" s="58" t="str">
        <f t="shared" si="282"/>
        <v>-</v>
      </c>
      <c r="M3227" s="59">
        <f t="shared" si="285"/>
        <v>0</v>
      </c>
      <c r="N3227" s="59">
        <f t="shared" si="283"/>
        <v>0</v>
      </c>
      <c r="O3227" s="59">
        <f t="shared" si="286"/>
        <v>0</v>
      </c>
      <c r="P3227" s="59">
        <f t="shared" si="284"/>
        <v>0</v>
      </c>
    </row>
    <row r="3228" spans="12:16" ht="15" hidden="1" customHeight="1">
      <c r="L3228" s="58" t="str">
        <f t="shared" si="282"/>
        <v>-</v>
      </c>
      <c r="M3228" s="59">
        <f t="shared" si="285"/>
        <v>0</v>
      </c>
      <c r="N3228" s="59">
        <f t="shared" si="283"/>
        <v>0</v>
      </c>
      <c r="O3228" s="59">
        <f t="shared" si="286"/>
        <v>0</v>
      </c>
      <c r="P3228" s="59">
        <f t="shared" si="284"/>
        <v>0</v>
      </c>
    </row>
    <row r="3229" spans="12:16" ht="15" hidden="1" customHeight="1">
      <c r="L3229" s="58" t="str">
        <f t="shared" si="282"/>
        <v>-</v>
      </c>
      <c r="M3229" s="59">
        <f t="shared" si="285"/>
        <v>0</v>
      </c>
      <c r="N3229" s="59">
        <f t="shared" si="283"/>
        <v>0</v>
      </c>
      <c r="O3229" s="59">
        <f t="shared" si="286"/>
        <v>0</v>
      </c>
      <c r="P3229" s="59">
        <f t="shared" si="284"/>
        <v>0</v>
      </c>
    </row>
    <row r="3230" spans="12:16" ht="15" hidden="1" customHeight="1">
      <c r="L3230" s="58" t="str">
        <f t="shared" si="282"/>
        <v>-</v>
      </c>
      <c r="M3230" s="59">
        <f t="shared" si="285"/>
        <v>0</v>
      </c>
      <c r="N3230" s="59">
        <f t="shared" si="283"/>
        <v>0</v>
      </c>
      <c r="O3230" s="59">
        <f t="shared" si="286"/>
        <v>0</v>
      </c>
      <c r="P3230" s="59">
        <f t="shared" si="284"/>
        <v>0</v>
      </c>
    </row>
    <row r="3231" spans="12:16" ht="15" hidden="1" customHeight="1">
      <c r="L3231" s="58" t="str">
        <f t="shared" si="282"/>
        <v>-</v>
      </c>
      <c r="M3231" s="59">
        <f t="shared" si="285"/>
        <v>0</v>
      </c>
      <c r="N3231" s="59">
        <f t="shared" si="283"/>
        <v>0</v>
      </c>
      <c r="O3231" s="59">
        <f t="shared" si="286"/>
        <v>0</v>
      </c>
      <c r="P3231" s="59">
        <f t="shared" si="284"/>
        <v>0</v>
      </c>
    </row>
    <row r="3232" spans="12:16" ht="15" hidden="1" customHeight="1">
      <c r="L3232" s="58" t="str">
        <f t="shared" si="282"/>
        <v>-</v>
      </c>
      <c r="M3232" s="59">
        <f t="shared" si="285"/>
        <v>0</v>
      </c>
      <c r="N3232" s="59">
        <f t="shared" si="283"/>
        <v>0</v>
      </c>
      <c r="O3232" s="59">
        <f t="shared" si="286"/>
        <v>0</v>
      </c>
      <c r="P3232" s="59">
        <f t="shared" si="284"/>
        <v>0</v>
      </c>
    </row>
    <row r="3233" spans="12:16" ht="15" hidden="1" customHeight="1">
      <c r="L3233" s="58" t="str">
        <f t="shared" si="282"/>
        <v>-</v>
      </c>
      <c r="M3233" s="59">
        <f t="shared" si="285"/>
        <v>0</v>
      </c>
      <c r="N3233" s="59">
        <f t="shared" si="283"/>
        <v>0</v>
      </c>
      <c r="O3233" s="59">
        <f t="shared" si="286"/>
        <v>0</v>
      </c>
      <c r="P3233" s="59">
        <f t="shared" si="284"/>
        <v>0</v>
      </c>
    </row>
    <row r="3234" spans="12:16" ht="15" hidden="1" customHeight="1">
      <c r="L3234" s="58" t="str">
        <f t="shared" ref="L3234:L3297" si="287">IFERROR(IF(MAX(L3233+1,$F$5+1)&gt;Дата_погашения_Займа,"-",MAX(L3233+1,$F$5+1)),"-")</f>
        <v>-</v>
      </c>
      <c r="M3234" s="59">
        <f t="shared" si="285"/>
        <v>0</v>
      </c>
      <c r="N3234" s="59">
        <f t="shared" si="283"/>
        <v>0</v>
      </c>
      <c r="O3234" s="59">
        <f t="shared" si="286"/>
        <v>0</v>
      </c>
      <c r="P3234" s="59">
        <f t="shared" si="284"/>
        <v>0</v>
      </c>
    </row>
    <row r="3235" spans="12:16" ht="15" hidden="1" customHeight="1">
      <c r="L3235" s="58" t="str">
        <f t="shared" si="287"/>
        <v>-</v>
      </c>
      <c r="M3235" s="59">
        <f t="shared" si="285"/>
        <v>0</v>
      </c>
      <c r="N3235" s="59">
        <f t="shared" si="283"/>
        <v>0</v>
      </c>
      <c r="O3235" s="59">
        <f t="shared" si="286"/>
        <v>0</v>
      </c>
      <c r="P3235" s="59">
        <f t="shared" si="284"/>
        <v>0</v>
      </c>
    </row>
    <row r="3236" spans="12:16" ht="15" hidden="1" customHeight="1">
      <c r="L3236" s="58" t="str">
        <f t="shared" si="287"/>
        <v>-</v>
      </c>
      <c r="M3236" s="59">
        <f t="shared" si="285"/>
        <v>0</v>
      </c>
      <c r="N3236" s="59">
        <f t="shared" si="283"/>
        <v>0</v>
      </c>
      <c r="O3236" s="59">
        <f t="shared" si="286"/>
        <v>0</v>
      </c>
      <c r="P3236" s="59">
        <f t="shared" si="284"/>
        <v>0</v>
      </c>
    </row>
    <row r="3237" spans="12:16" ht="15" hidden="1" customHeight="1">
      <c r="L3237" s="58" t="str">
        <f t="shared" si="287"/>
        <v>-</v>
      </c>
      <c r="M3237" s="59">
        <f t="shared" si="285"/>
        <v>0</v>
      </c>
      <c r="N3237" s="59">
        <f t="shared" si="283"/>
        <v>0</v>
      </c>
      <c r="O3237" s="59">
        <f t="shared" si="286"/>
        <v>0</v>
      </c>
      <c r="P3237" s="59">
        <f t="shared" si="284"/>
        <v>0</v>
      </c>
    </row>
    <row r="3238" spans="12:16" ht="15" hidden="1" customHeight="1">
      <c r="L3238" s="58" t="str">
        <f t="shared" si="287"/>
        <v>-</v>
      </c>
      <c r="M3238" s="59">
        <f t="shared" si="285"/>
        <v>0</v>
      </c>
      <c r="N3238" s="59">
        <f t="shared" si="283"/>
        <v>0</v>
      </c>
      <c r="O3238" s="59">
        <f t="shared" si="286"/>
        <v>0</v>
      </c>
      <c r="P3238" s="59">
        <f t="shared" si="284"/>
        <v>0</v>
      </c>
    </row>
    <row r="3239" spans="12:16" ht="15" hidden="1" customHeight="1">
      <c r="L3239" s="58" t="str">
        <f t="shared" si="287"/>
        <v>-</v>
      </c>
      <c r="M3239" s="59">
        <f t="shared" si="285"/>
        <v>0</v>
      </c>
      <c r="N3239" s="59">
        <f t="shared" si="283"/>
        <v>0</v>
      </c>
      <c r="O3239" s="59">
        <f t="shared" si="286"/>
        <v>0</v>
      </c>
      <c r="P3239" s="59">
        <f t="shared" si="284"/>
        <v>0</v>
      </c>
    </row>
    <row r="3240" spans="12:16" ht="15" hidden="1" customHeight="1">
      <c r="L3240" s="58" t="str">
        <f t="shared" si="287"/>
        <v>-</v>
      </c>
      <c r="M3240" s="59">
        <f t="shared" si="285"/>
        <v>0</v>
      </c>
      <c r="N3240" s="59">
        <f t="shared" si="283"/>
        <v>0</v>
      </c>
      <c r="O3240" s="59">
        <f t="shared" si="286"/>
        <v>0</v>
      </c>
      <c r="P3240" s="59">
        <f t="shared" si="284"/>
        <v>0</v>
      </c>
    </row>
    <row r="3241" spans="12:16" ht="15" hidden="1" customHeight="1">
      <c r="L3241" s="58" t="str">
        <f t="shared" si="287"/>
        <v>-</v>
      </c>
      <c r="M3241" s="59">
        <f t="shared" si="285"/>
        <v>0</v>
      </c>
      <c r="N3241" s="59">
        <f t="shared" si="283"/>
        <v>0</v>
      </c>
      <c r="O3241" s="59">
        <f t="shared" si="286"/>
        <v>0</v>
      </c>
      <c r="P3241" s="59">
        <f t="shared" si="284"/>
        <v>0</v>
      </c>
    </row>
    <row r="3242" spans="12:16" ht="15" hidden="1" customHeight="1">
      <c r="L3242" s="58" t="str">
        <f t="shared" si="287"/>
        <v>-</v>
      </c>
      <c r="M3242" s="59">
        <f t="shared" si="285"/>
        <v>0</v>
      </c>
      <c r="N3242" s="59">
        <f t="shared" si="283"/>
        <v>0</v>
      </c>
      <c r="O3242" s="59">
        <f t="shared" si="286"/>
        <v>0</v>
      </c>
      <c r="P3242" s="59">
        <f t="shared" si="284"/>
        <v>0</v>
      </c>
    </row>
    <row r="3243" spans="12:16" ht="15" hidden="1" customHeight="1">
      <c r="L3243" s="58" t="str">
        <f t="shared" si="287"/>
        <v>-</v>
      </c>
      <c r="M3243" s="59">
        <f t="shared" si="285"/>
        <v>0</v>
      </c>
      <c r="N3243" s="59">
        <f t="shared" si="283"/>
        <v>0</v>
      </c>
      <c r="O3243" s="59">
        <f t="shared" si="286"/>
        <v>0</v>
      </c>
      <c r="P3243" s="59">
        <f t="shared" si="284"/>
        <v>0</v>
      </c>
    </row>
    <row r="3244" spans="12:16" ht="15" hidden="1" customHeight="1">
      <c r="L3244" s="58" t="str">
        <f t="shared" si="287"/>
        <v>-</v>
      </c>
      <c r="M3244" s="59">
        <f t="shared" si="285"/>
        <v>0</v>
      </c>
      <c r="N3244" s="59">
        <f t="shared" si="283"/>
        <v>0</v>
      </c>
      <c r="O3244" s="59">
        <f t="shared" si="286"/>
        <v>0</v>
      </c>
      <c r="P3244" s="59">
        <f t="shared" si="284"/>
        <v>0</v>
      </c>
    </row>
    <row r="3245" spans="12:16" ht="15" hidden="1" customHeight="1">
      <c r="L3245" s="58" t="str">
        <f t="shared" si="287"/>
        <v>-</v>
      </c>
      <c r="M3245" s="59">
        <f t="shared" si="285"/>
        <v>0</v>
      </c>
      <c r="N3245" s="59">
        <f t="shared" si="283"/>
        <v>0</v>
      </c>
      <c r="O3245" s="59">
        <f t="shared" si="286"/>
        <v>0</v>
      </c>
      <c r="P3245" s="59">
        <f t="shared" si="284"/>
        <v>0</v>
      </c>
    </row>
    <row r="3246" spans="12:16" ht="15" hidden="1" customHeight="1">
      <c r="L3246" s="58" t="str">
        <f t="shared" si="287"/>
        <v>-</v>
      </c>
      <c r="M3246" s="59">
        <f t="shared" si="285"/>
        <v>0</v>
      </c>
      <c r="N3246" s="59">
        <f t="shared" si="283"/>
        <v>0</v>
      </c>
      <c r="O3246" s="59">
        <f t="shared" si="286"/>
        <v>0</v>
      </c>
      <c r="P3246" s="59">
        <f t="shared" si="284"/>
        <v>0</v>
      </c>
    </row>
    <row r="3247" spans="12:16" ht="15" hidden="1" customHeight="1">
      <c r="L3247" s="58" t="str">
        <f t="shared" si="287"/>
        <v>-</v>
      </c>
      <c r="M3247" s="59">
        <f t="shared" si="285"/>
        <v>0</v>
      </c>
      <c r="N3247" s="59">
        <f t="shared" si="283"/>
        <v>0</v>
      </c>
      <c r="O3247" s="59">
        <f t="shared" si="286"/>
        <v>0</v>
      </c>
      <c r="P3247" s="59">
        <f t="shared" si="284"/>
        <v>0</v>
      </c>
    </row>
    <row r="3248" spans="12:16" ht="15" hidden="1" customHeight="1">
      <c r="L3248" s="58" t="str">
        <f t="shared" si="287"/>
        <v>-</v>
      </c>
      <c r="M3248" s="59">
        <f t="shared" si="285"/>
        <v>0</v>
      </c>
      <c r="N3248" s="59">
        <f t="shared" si="283"/>
        <v>0</v>
      </c>
      <c r="O3248" s="59">
        <f t="shared" si="286"/>
        <v>0</v>
      </c>
      <c r="P3248" s="59">
        <f t="shared" si="284"/>
        <v>0</v>
      </c>
    </row>
    <row r="3249" spans="12:16" ht="15" hidden="1" customHeight="1">
      <c r="L3249" s="58" t="str">
        <f t="shared" si="287"/>
        <v>-</v>
      </c>
      <c r="M3249" s="59">
        <f t="shared" si="285"/>
        <v>0</v>
      </c>
      <c r="N3249" s="59">
        <f t="shared" si="283"/>
        <v>0</v>
      </c>
      <c r="O3249" s="59">
        <f t="shared" si="286"/>
        <v>0</v>
      </c>
      <c r="P3249" s="59">
        <f t="shared" si="284"/>
        <v>0</v>
      </c>
    </row>
    <row r="3250" spans="12:16" ht="15" hidden="1" customHeight="1">
      <c r="L3250" s="58" t="str">
        <f t="shared" si="287"/>
        <v>-</v>
      </c>
      <c r="M3250" s="59">
        <f t="shared" si="285"/>
        <v>0</v>
      </c>
      <c r="N3250" s="59">
        <f t="shared" si="283"/>
        <v>0</v>
      </c>
      <c r="O3250" s="59">
        <f t="shared" si="286"/>
        <v>0</v>
      </c>
      <c r="P3250" s="59">
        <f t="shared" si="284"/>
        <v>0</v>
      </c>
    </row>
    <row r="3251" spans="12:16" ht="15" hidden="1" customHeight="1">
      <c r="L3251" s="58" t="str">
        <f t="shared" si="287"/>
        <v>-</v>
      </c>
      <c r="M3251" s="59">
        <f t="shared" si="285"/>
        <v>0</v>
      </c>
      <c r="N3251" s="59">
        <f t="shared" si="283"/>
        <v>0</v>
      </c>
      <c r="O3251" s="59">
        <f t="shared" si="286"/>
        <v>0</v>
      </c>
      <c r="P3251" s="59">
        <f t="shared" si="284"/>
        <v>0</v>
      </c>
    </row>
    <row r="3252" spans="12:16" ht="15" hidden="1" customHeight="1">
      <c r="L3252" s="58" t="str">
        <f t="shared" si="287"/>
        <v>-</v>
      </c>
      <c r="M3252" s="59">
        <f t="shared" si="285"/>
        <v>0</v>
      </c>
      <c r="N3252" s="59">
        <f t="shared" si="283"/>
        <v>0</v>
      </c>
      <c r="O3252" s="59">
        <f t="shared" si="286"/>
        <v>0</v>
      </c>
      <c r="P3252" s="59">
        <f t="shared" si="284"/>
        <v>0</v>
      </c>
    </row>
    <row r="3253" spans="12:16" ht="15" hidden="1" customHeight="1">
      <c r="L3253" s="58" t="str">
        <f t="shared" si="287"/>
        <v>-</v>
      </c>
      <c r="M3253" s="59">
        <f t="shared" si="285"/>
        <v>0</v>
      </c>
      <c r="N3253" s="59">
        <f t="shared" si="283"/>
        <v>0</v>
      </c>
      <c r="O3253" s="59">
        <f t="shared" si="286"/>
        <v>0</v>
      </c>
      <c r="P3253" s="59">
        <f t="shared" si="284"/>
        <v>0</v>
      </c>
    </row>
    <row r="3254" spans="12:16" ht="15" hidden="1" customHeight="1">
      <c r="L3254" s="58" t="str">
        <f t="shared" si="287"/>
        <v>-</v>
      </c>
      <c r="M3254" s="59">
        <f t="shared" si="285"/>
        <v>0</v>
      </c>
      <c r="N3254" s="59">
        <f t="shared" si="283"/>
        <v>0</v>
      </c>
      <c r="O3254" s="59">
        <f t="shared" si="286"/>
        <v>0</v>
      </c>
      <c r="P3254" s="59">
        <f t="shared" si="284"/>
        <v>0</v>
      </c>
    </row>
    <row r="3255" spans="12:16" ht="15" hidden="1" customHeight="1">
      <c r="L3255" s="58" t="str">
        <f t="shared" si="287"/>
        <v>-</v>
      </c>
      <c r="M3255" s="59">
        <f t="shared" si="285"/>
        <v>0</v>
      </c>
      <c r="N3255" s="59">
        <f t="shared" si="283"/>
        <v>0</v>
      </c>
      <c r="O3255" s="59">
        <f t="shared" si="286"/>
        <v>0</v>
      </c>
      <c r="P3255" s="59">
        <f t="shared" si="284"/>
        <v>0</v>
      </c>
    </row>
    <row r="3256" spans="12:16" ht="15" hidden="1" customHeight="1">
      <c r="L3256" s="58" t="str">
        <f t="shared" si="287"/>
        <v>-</v>
      </c>
      <c r="M3256" s="59">
        <f t="shared" si="285"/>
        <v>0</v>
      </c>
      <c r="N3256" s="59">
        <f t="shared" si="283"/>
        <v>0</v>
      </c>
      <c r="O3256" s="59">
        <f t="shared" si="286"/>
        <v>0</v>
      </c>
      <c r="P3256" s="59">
        <f t="shared" si="284"/>
        <v>0</v>
      </c>
    </row>
    <row r="3257" spans="12:16" ht="15" hidden="1" customHeight="1">
      <c r="L3257" s="58" t="str">
        <f t="shared" si="287"/>
        <v>-</v>
      </c>
      <c r="M3257" s="59">
        <f t="shared" si="285"/>
        <v>0</v>
      </c>
      <c r="N3257" s="59">
        <f t="shared" si="283"/>
        <v>0</v>
      </c>
      <c r="O3257" s="59">
        <f t="shared" si="286"/>
        <v>0</v>
      </c>
      <c r="P3257" s="59">
        <f t="shared" si="284"/>
        <v>0</v>
      </c>
    </row>
    <row r="3258" spans="12:16" ht="15" hidden="1" customHeight="1">
      <c r="L3258" s="58" t="str">
        <f t="shared" si="287"/>
        <v>-</v>
      </c>
      <c r="M3258" s="59">
        <f t="shared" si="285"/>
        <v>0</v>
      </c>
      <c r="N3258" s="59">
        <f t="shared" si="283"/>
        <v>0</v>
      </c>
      <c r="O3258" s="59">
        <f t="shared" si="286"/>
        <v>0</v>
      </c>
      <c r="P3258" s="59">
        <f t="shared" si="284"/>
        <v>0</v>
      </c>
    </row>
    <row r="3259" spans="12:16" ht="15" hidden="1" customHeight="1">
      <c r="L3259" s="58" t="str">
        <f t="shared" si="287"/>
        <v>-</v>
      </c>
      <c r="M3259" s="59">
        <f t="shared" si="285"/>
        <v>0</v>
      </c>
      <c r="N3259" s="59">
        <f t="shared" si="283"/>
        <v>0</v>
      </c>
      <c r="O3259" s="59">
        <f t="shared" si="286"/>
        <v>0</v>
      </c>
      <c r="P3259" s="59">
        <f t="shared" si="284"/>
        <v>0</v>
      </c>
    </row>
    <row r="3260" spans="12:16" ht="15" hidden="1" customHeight="1">
      <c r="L3260" s="58" t="str">
        <f t="shared" si="287"/>
        <v>-</v>
      </c>
      <c r="M3260" s="59">
        <f t="shared" si="285"/>
        <v>0</v>
      </c>
      <c r="N3260" s="59">
        <f t="shared" si="283"/>
        <v>0</v>
      </c>
      <c r="O3260" s="59">
        <f t="shared" si="286"/>
        <v>0</v>
      </c>
      <c r="P3260" s="59">
        <f t="shared" si="284"/>
        <v>0</v>
      </c>
    </row>
    <row r="3261" spans="12:16" ht="15" hidden="1" customHeight="1">
      <c r="L3261" s="58" t="str">
        <f t="shared" si="287"/>
        <v>-</v>
      </c>
      <c r="M3261" s="59">
        <f t="shared" si="285"/>
        <v>0</v>
      </c>
      <c r="N3261" s="59">
        <f t="shared" si="283"/>
        <v>0</v>
      </c>
      <c r="O3261" s="59">
        <f t="shared" si="286"/>
        <v>0</v>
      </c>
      <c r="P3261" s="59">
        <f t="shared" si="284"/>
        <v>0</v>
      </c>
    </row>
    <row r="3262" spans="12:16" ht="15" hidden="1" customHeight="1">
      <c r="L3262" s="58" t="str">
        <f t="shared" si="287"/>
        <v>-</v>
      </c>
      <c r="M3262" s="59">
        <f t="shared" si="285"/>
        <v>0</v>
      </c>
      <c r="N3262" s="59">
        <f t="shared" si="283"/>
        <v>0</v>
      </c>
      <c r="O3262" s="59">
        <f t="shared" si="286"/>
        <v>0</v>
      </c>
      <c r="P3262" s="59">
        <f t="shared" si="284"/>
        <v>0</v>
      </c>
    </row>
    <row r="3263" spans="12:16" ht="15" hidden="1" customHeight="1">
      <c r="L3263" s="58" t="str">
        <f t="shared" si="287"/>
        <v>-</v>
      </c>
      <c r="M3263" s="59">
        <f t="shared" si="285"/>
        <v>0</v>
      </c>
      <c r="N3263" s="59">
        <f t="shared" si="283"/>
        <v>0</v>
      </c>
      <c r="O3263" s="59">
        <f t="shared" si="286"/>
        <v>0</v>
      </c>
      <c r="P3263" s="59">
        <f t="shared" si="284"/>
        <v>0</v>
      </c>
    </row>
    <row r="3264" spans="12:16" ht="15" hidden="1" customHeight="1">
      <c r="L3264" s="58" t="str">
        <f t="shared" si="287"/>
        <v>-</v>
      </c>
      <c r="M3264" s="59">
        <f t="shared" si="285"/>
        <v>0</v>
      </c>
      <c r="N3264" s="59">
        <f t="shared" si="283"/>
        <v>0</v>
      </c>
      <c r="O3264" s="59">
        <f t="shared" si="286"/>
        <v>0</v>
      </c>
      <c r="P3264" s="59">
        <f t="shared" si="284"/>
        <v>0</v>
      </c>
    </row>
    <row r="3265" spans="12:16" ht="15" hidden="1" customHeight="1">
      <c r="L3265" s="58" t="str">
        <f t="shared" si="287"/>
        <v>-</v>
      </c>
      <c r="M3265" s="59">
        <f t="shared" si="285"/>
        <v>0</v>
      </c>
      <c r="N3265" s="59">
        <f t="shared" ref="N3265:N3328" si="288">IF(ISNUMBER(N3264),N3264-M3265,$E$8)</f>
        <v>0</v>
      </c>
      <c r="O3265" s="59">
        <f t="shared" si="286"/>
        <v>0</v>
      </c>
      <c r="P3265" s="59">
        <f t="shared" ref="P3265:P3328" si="289">IFERROR(IF(ISNUMBER(N3264),N3264,$E$8)*3%/IF(MOD(YEAR(L3265),4),365,366)*IF(ISBLANK(L3264),(L3265-$F$5),L3265-L3264),0)</f>
        <v>0</v>
      </c>
    </row>
    <row r="3266" spans="12:16" ht="15" hidden="1" customHeight="1">
      <c r="L3266" s="58" t="str">
        <f t="shared" si="287"/>
        <v>-</v>
      </c>
      <c r="M3266" s="59">
        <f t="shared" si="285"/>
        <v>0</v>
      </c>
      <c r="N3266" s="59">
        <f t="shared" si="288"/>
        <v>0</v>
      </c>
      <c r="O3266" s="59">
        <f t="shared" si="286"/>
        <v>0</v>
      </c>
      <c r="P3266" s="59">
        <f t="shared" si="289"/>
        <v>0</v>
      </c>
    </row>
    <row r="3267" spans="12:16" ht="15" hidden="1" customHeight="1">
      <c r="L3267" s="58" t="str">
        <f t="shared" si="287"/>
        <v>-</v>
      </c>
      <c r="M3267" s="59">
        <f t="shared" si="285"/>
        <v>0</v>
      </c>
      <c r="N3267" s="59">
        <f t="shared" si="288"/>
        <v>0</v>
      </c>
      <c r="O3267" s="59">
        <f t="shared" si="286"/>
        <v>0</v>
      </c>
      <c r="P3267" s="59">
        <f t="shared" si="289"/>
        <v>0</v>
      </c>
    </row>
    <row r="3268" spans="12:16" ht="15" hidden="1" customHeight="1">
      <c r="L3268" s="58" t="str">
        <f t="shared" si="287"/>
        <v>-</v>
      </c>
      <c r="M3268" s="59">
        <f t="shared" si="285"/>
        <v>0</v>
      </c>
      <c r="N3268" s="59">
        <f t="shared" si="288"/>
        <v>0</v>
      </c>
      <c r="O3268" s="59">
        <f t="shared" si="286"/>
        <v>0</v>
      </c>
      <c r="P3268" s="59">
        <f t="shared" si="289"/>
        <v>0</v>
      </c>
    </row>
    <row r="3269" spans="12:16" ht="15" hidden="1" customHeight="1">
      <c r="L3269" s="58" t="str">
        <f t="shared" si="287"/>
        <v>-</v>
      </c>
      <c r="M3269" s="59">
        <f t="shared" si="285"/>
        <v>0</v>
      </c>
      <c r="N3269" s="59">
        <f t="shared" si="288"/>
        <v>0</v>
      </c>
      <c r="O3269" s="59">
        <f t="shared" si="286"/>
        <v>0</v>
      </c>
      <c r="P3269" s="59">
        <f t="shared" si="289"/>
        <v>0</v>
      </c>
    </row>
    <row r="3270" spans="12:16" ht="15" hidden="1" customHeight="1">
      <c r="L3270" s="58" t="str">
        <f t="shared" si="287"/>
        <v>-</v>
      </c>
      <c r="M3270" s="59">
        <f t="shared" si="285"/>
        <v>0</v>
      </c>
      <c r="N3270" s="59">
        <f t="shared" si="288"/>
        <v>0</v>
      </c>
      <c r="O3270" s="59">
        <f t="shared" si="286"/>
        <v>0</v>
      </c>
      <c r="P3270" s="59">
        <f t="shared" si="289"/>
        <v>0</v>
      </c>
    </row>
    <row r="3271" spans="12:16" ht="15" hidden="1" customHeight="1">
      <c r="L3271" s="58" t="str">
        <f t="shared" si="287"/>
        <v>-</v>
      </c>
      <c r="M3271" s="59">
        <f t="shared" si="285"/>
        <v>0</v>
      </c>
      <c r="N3271" s="59">
        <f t="shared" si="288"/>
        <v>0</v>
      </c>
      <c r="O3271" s="59">
        <f t="shared" si="286"/>
        <v>0</v>
      </c>
      <c r="P3271" s="59">
        <f t="shared" si="289"/>
        <v>0</v>
      </c>
    </row>
    <row r="3272" spans="12:16" ht="15" hidden="1" customHeight="1">
      <c r="L3272" s="58" t="str">
        <f t="shared" si="287"/>
        <v>-</v>
      </c>
      <c r="M3272" s="59">
        <f t="shared" si="285"/>
        <v>0</v>
      </c>
      <c r="N3272" s="59">
        <f t="shared" si="288"/>
        <v>0</v>
      </c>
      <c r="O3272" s="59">
        <f t="shared" si="286"/>
        <v>0</v>
      </c>
      <c r="P3272" s="59">
        <f t="shared" si="289"/>
        <v>0</v>
      </c>
    </row>
    <row r="3273" spans="12:16" ht="15" hidden="1" customHeight="1">
      <c r="L3273" s="58" t="str">
        <f t="shared" si="287"/>
        <v>-</v>
      </c>
      <c r="M3273" s="59">
        <f t="shared" si="285"/>
        <v>0</v>
      </c>
      <c r="N3273" s="59">
        <f t="shared" si="288"/>
        <v>0</v>
      </c>
      <c r="O3273" s="59">
        <f t="shared" si="286"/>
        <v>0</v>
      </c>
      <c r="P3273" s="59">
        <f t="shared" si="289"/>
        <v>0</v>
      </c>
    </row>
    <row r="3274" spans="12:16" ht="15" hidden="1" customHeight="1">
      <c r="L3274" s="58" t="str">
        <f t="shared" si="287"/>
        <v>-</v>
      </c>
      <c r="M3274" s="59">
        <f t="shared" si="285"/>
        <v>0</v>
      </c>
      <c r="N3274" s="59">
        <f t="shared" si="288"/>
        <v>0</v>
      </c>
      <c r="O3274" s="59">
        <f t="shared" si="286"/>
        <v>0</v>
      </c>
      <c r="P3274" s="59">
        <f t="shared" si="289"/>
        <v>0</v>
      </c>
    </row>
    <row r="3275" spans="12:16" ht="15" hidden="1" customHeight="1">
      <c r="L3275" s="58" t="str">
        <f t="shared" si="287"/>
        <v>-</v>
      </c>
      <c r="M3275" s="59">
        <f t="shared" si="285"/>
        <v>0</v>
      </c>
      <c r="N3275" s="59">
        <f t="shared" si="288"/>
        <v>0</v>
      </c>
      <c r="O3275" s="59">
        <f t="shared" si="286"/>
        <v>0</v>
      </c>
      <c r="P3275" s="59">
        <f t="shared" si="289"/>
        <v>0</v>
      </c>
    </row>
    <row r="3276" spans="12:16" ht="15" hidden="1" customHeight="1">
      <c r="L3276" s="58" t="str">
        <f t="shared" si="287"/>
        <v>-</v>
      </c>
      <c r="M3276" s="59">
        <f t="shared" si="285"/>
        <v>0</v>
      </c>
      <c r="N3276" s="59">
        <f t="shared" si="288"/>
        <v>0</v>
      </c>
      <c r="O3276" s="59">
        <f t="shared" si="286"/>
        <v>0</v>
      </c>
      <c r="P3276" s="59">
        <f t="shared" si="289"/>
        <v>0</v>
      </c>
    </row>
    <row r="3277" spans="12:16" ht="15" hidden="1" customHeight="1">
      <c r="L3277" s="58" t="str">
        <f t="shared" si="287"/>
        <v>-</v>
      </c>
      <c r="M3277" s="59">
        <f t="shared" si="285"/>
        <v>0</v>
      </c>
      <c r="N3277" s="59">
        <f t="shared" si="288"/>
        <v>0</v>
      </c>
      <c r="O3277" s="59">
        <f t="shared" si="286"/>
        <v>0</v>
      </c>
      <c r="P3277" s="59">
        <f t="shared" si="289"/>
        <v>0</v>
      </c>
    </row>
    <row r="3278" spans="12:16" ht="15" hidden="1" customHeight="1">
      <c r="L3278" s="58" t="str">
        <f t="shared" si="287"/>
        <v>-</v>
      </c>
      <c r="M3278" s="59">
        <f t="shared" si="285"/>
        <v>0</v>
      </c>
      <c r="N3278" s="59">
        <f t="shared" si="288"/>
        <v>0</v>
      </c>
      <c r="O3278" s="59">
        <f t="shared" si="286"/>
        <v>0</v>
      </c>
      <c r="P3278" s="59">
        <f t="shared" si="289"/>
        <v>0</v>
      </c>
    </row>
    <row r="3279" spans="12:16" ht="15" hidden="1" customHeight="1">
      <c r="L3279" s="58" t="str">
        <f t="shared" si="287"/>
        <v>-</v>
      </c>
      <c r="M3279" s="59">
        <f t="shared" si="285"/>
        <v>0</v>
      </c>
      <c r="N3279" s="59">
        <f t="shared" si="288"/>
        <v>0</v>
      </c>
      <c r="O3279" s="59">
        <f t="shared" si="286"/>
        <v>0</v>
      </c>
      <c r="P3279" s="59">
        <f t="shared" si="289"/>
        <v>0</v>
      </c>
    </row>
    <row r="3280" spans="12:16" ht="15" hidden="1" customHeight="1">
      <c r="L3280" s="58" t="str">
        <f t="shared" si="287"/>
        <v>-</v>
      </c>
      <c r="M3280" s="59">
        <f t="shared" si="285"/>
        <v>0</v>
      </c>
      <c r="N3280" s="59">
        <f t="shared" si="288"/>
        <v>0</v>
      </c>
      <c r="O3280" s="59">
        <f t="shared" si="286"/>
        <v>0</v>
      </c>
      <c r="P3280" s="59">
        <f t="shared" si="289"/>
        <v>0</v>
      </c>
    </row>
    <row r="3281" spans="12:16" ht="15" hidden="1" customHeight="1">
      <c r="L3281" s="58" t="str">
        <f t="shared" si="287"/>
        <v>-</v>
      </c>
      <c r="M3281" s="59">
        <f t="shared" si="285"/>
        <v>0</v>
      </c>
      <c r="N3281" s="59">
        <f t="shared" si="288"/>
        <v>0</v>
      </c>
      <c r="O3281" s="59">
        <f t="shared" si="286"/>
        <v>0</v>
      </c>
      <c r="P3281" s="59">
        <f t="shared" si="289"/>
        <v>0</v>
      </c>
    </row>
    <row r="3282" spans="12:16" ht="15" hidden="1" customHeight="1">
      <c r="L3282" s="58" t="str">
        <f t="shared" si="287"/>
        <v>-</v>
      </c>
      <c r="M3282" s="59">
        <f t="shared" si="285"/>
        <v>0</v>
      </c>
      <c r="N3282" s="59">
        <f t="shared" si="288"/>
        <v>0</v>
      </c>
      <c r="O3282" s="59">
        <f t="shared" si="286"/>
        <v>0</v>
      </c>
      <c r="P3282" s="59">
        <f t="shared" si="289"/>
        <v>0</v>
      </c>
    </row>
    <row r="3283" spans="12:16" ht="15" hidden="1" customHeight="1">
      <c r="L3283" s="58" t="str">
        <f t="shared" si="287"/>
        <v>-</v>
      </c>
      <c r="M3283" s="59">
        <f t="shared" ref="M3283:M3346" si="290">IFERROR(VLOOKUP(L3283,$B$19:$E$80,4,FALSE),0)</f>
        <v>0</v>
      </c>
      <c r="N3283" s="59">
        <f t="shared" si="288"/>
        <v>0</v>
      </c>
      <c r="O3283" s="59">
        <f t="shared" ref="O3283:O3346" si="291">IFERROR(IF(ISNUMBER(N3282),N3282,$E$8)*IF(L3283&gt;=$J$8,$E$12,$E$12)/IF(MOD(YEAR(L3283),4),365,366)*IF(ISBLANK(L3282),L3283-$F$5,L3283-L3282),0)</f>
        <v>0</v>
      </c>
      <c r="P3283" s="59">
        <f t="shared" si="289"/>
        <v>0</v>
      </c>
    </row>
    <row r="3284" spans="12:16" ht="15" hidden="1" customHeight="1">
      <c r="L3284" s="58" t="str">
        <f t="shared" si="287"/>
        <v>-</v>
      </c>
      <c r="M3284" s="59">
        <f t="shared" si="290"/>
        <v>0</v>
      </c>
      <c r="N3284" s="59">
        <f t="shared" si="288"/>
        <v>0</v>
      </c>
      <c r="O3284" s="59">
        <f t="shared" si="291"/>
        <v>0</v>
      </c>
      <c r="P3284" s="59">
        <f t="shared" si="289"/>
        <v>0</v>
      </c>
    </row>
    <row r="3285" spans="12:16" ht="15" hidden="1" customHeight="1">
      <c r="L3285" s="58" t="str">
        <f t="shared" si="287"/>
        <v>-</v>
      </c>
      <c r="M3285" s="59">
        <f t="shared" si="290"/>
        <v>0</v>
      </c>
      <c r="N3285" s="59">
        <f t="shared" si="288"/>
        <v>0</v>
      </c>
      <c r="O3285" s="59">
        <f t="shared" si="291"/>
        <v>0</v>
      </c>
      <c r="P3285" s="59">
        <f t="shared" si="289"/>
        <v>0</v>
      </c>
    </row>
    <row r="3286" spans="12:16" ht="15" hidden="1" customHeight="1">
      <c r="L3286" s="58" t="str">
        <f t="shared" si="287"/>
        <v>-</v>
      </c>
      <c r="M3286" s="59">
        <f t="shared" si="290"/>
        <v>0</v>
      </c>
      <c r="N3286" s="59">
        <f t="shared" si="288"/>
        <v>0</v>
      </c>
      <c r="O3286" s="59">
        <f t="shared" si="291"/>
        <v>0</v>
      </c>
      <c r="P3286" s="59">
        <f t="shared" si="289"/>
        <v>0</v>
      </c>
    </row>
    <row r="3287" spans="12:16" ht="15" hidden="1" customHeight="1">
      <c r="L3287" s="58" t="str">
        <f t="shared" si="287"/>
        <v>-</v>
      </c>
      <c r="M3287" s="59">
        <f t="shared" si="290"/>
        <v>0</v>
      </c>
      <c r="N3287" s="59">
        <f t="shared" si="288"/>
        <v>0</v>
      </c>
      <c r="O3287" s="59">
        <f t="shared" si="291"/>
        <v>0</v>
      </c>
      <c r="P3287" s="59">
        <f t="shared" si="289"/>
        <v>0</v>
      </c>
    </row>
    <row r="3288" spans="12:16" ht="15" hidden="1" customHeight="1">
      <c r="L3288" s="58" t="str">
        <f t="shared" si="287"/>
        <v>-</v>
      </c>
      <c r="M3288" s="59">
        <f t="shared" si="290"/>
        <v>0</v>
      </c>
      <c r="N3288" s="59">
        <f t="shared" si="288"/>
        <v>0</v>
      </c>
      <c r="O3288" s="59">
        <f t="shared" si="291"/>
        <v>0</v>
      </c>
      <c r="P3288" s="59">
        <f t="shared" si="289"/>
        <v>0</v>
      </c>
    </row>
    <row r="3289" spans="12:16" ht="15" hidden="1" customHeight="1">
      <c r="L3289" s="58" t="str">
        <f t="shared" si="287"/>
        <v>-</v>
      </c>
      <c r="M3289" s="59">
        <f t="shared" si="290"/>
        <v>0</v>
      </c>
      <c r="N3289" s="59">
        <f t="shared" si="288"/>
        <v>0</v>
      </c>
      <c r="O3289" s="59">
        <f t="shared" si="291"/>
        <v>0</v>
      </c>
      <c r="P3289" s="59">
        <f t="shared" si="289"/>
        <v>0</v>
      </c>
    </row>
    <row r="3290" spans="12:16" ht="15" hidden="1" customHeight="1">
      <c r="L3290" s="58" t="str">
        <f t="shared" si="287"/>
        <v>-</v>
      </c>
      <c r="M3290" s="59">
        <f t="shared" si="290"/>
        <v>0</v>
      </c>
      <c r="N3290" s="59">
        <f t="shared" si="288"/>
        <v>0</v>
      </c>
      <c r="O3290" s="59">
        <f t="shared" si="291"/>
        <v>0</v>
      </c>
      <c r="P3290" s="59">
        <f t="shared" si="289"/>
        <v>0</v>
      </c>
    </row>
    <row r="3291" spans="12:16" ht="15" hidden="1" customHeight="1">
      <c r="L3291" s="58" t="str">
        <f t="shared" si="287"/>
        <v>-</v>
      </c>
      <c r="M3291" s="59">
        <f t="shared" si="290"/>
        <v>0</v>
      </c>
      <c r="N3291" s="59">
        <f t="shared" si="288"/>
        <v>0</v>
      </c>
      <c r="O3291" s="59">
        <f t="shared" si="291"/>
        <v>0</v>
      </c>
      <c r="P3291" s="59">
        <f t="shared" si="289"/>
        <v>0</v>
      </c>
    </row>
    <row r="3292" spans="12:16" ht="15" hidden="1" customHeight="1">
      <c r="L3292" s="58" t="str">
        <f t="shared" si="287"/>
        <v>-</v>
      </c>
      <c r="M3292" s="59">
        <f t="shared" si="290"/>
        <v>0</v>
      </c>
      <c r="N3292" s="59">
        <f t="shared" si="288"/>
        <v>0</v>
      </c>
      <c r="O3292" s="59">
        <f t="shared" si="291"/>
        <v>0</v>
      </c>
      <c r="P3292" s="59">
        <f t="shared" si="289"/>
        <v>0</v>
      </c>
    </row>
    <row r="3293" spans="12:16" ht="15" hidden="1" customHeight="1">
      <c r="L3293" s="58" t="str">
        <f t="shared" si="287"/>
        <v>-</v>
      </c>
      <c r="M3293" s="59">
        <f t="shared" si="290"/>
        <v>0</v>
      </c>
      <c r="N3293" s="59">
        <f t="shared" si="288"/>
        <v>0</v>
      </c>
      <c r="O3293" s="59">
        <f t="shared" si="291"/>
        <v>0</v>
      </c>
      <c r="P3293" s="59">
        <f t="shared" si="289"/>
        <v>0</v>
      </c>
    </row>
    <row r="3294" spans="12:16" ht="15" hidden="1" customHeight="1">
      <c r="L3294" s="58" t="str">
        <f t="shared" si="287"/>
        <v>-</v>
      </c>
      <c r="M3294" s="59">
        <f t="shared" si="290"/>
        <v>0</v>
      </c>
      <c r="N3294" s="59">
        <f t="shared" si="288"/>
        <v>0</v>
      </c>
      <c r="O3294" s="59">
        <f t="shared" si="291"/>
        <v>0</v>
      </c>
      <c r="P3294" s="59">
        <f t="shared" si="289"/>
        <v>0</v>
      </c>
    </row>
    <row r="3295" spans="12:16" ht="15" hidden="1" customHeight="1">
      <c r="L3295" s="58" t="str">
        <f t="shared" si="287"/>
        <v>-</v>
      </c>
      <c r="M3295" s="59">
        <f t="shared" si="290"/>
        <v>0</v>
      </c>
      <c r="N3295" s="59">
        <f t="shared" si="288"/>
        <v>0</v>
      </c>
      <c r="O3295" s="59">
        <f t="shared" si="291"/>
        <v>0</v>
      </c>
      <c r="P3295" s="59">
        <f t="shared" si="289"/>
        <v>0</v>
      </c>
    </row>
    <row r="3296" spans="12:16" ht="15" hidden="1" customHeight="1">
      <c r="L3296" s="58" t="str">
        <f t="shared" si="287"/>
        <v>-</v>
      </c>
      <c r="M3296" s="59">
        <f t="shared" si="290"/>
        <v>0</v>
      </c>
      <c r="N3296" s="59">
        <f t="shared" si="288"/>
        <v>0</v>
      </c>
      <c r="O3296" s="59">
        <f t="shared" si="291"/>
        <v>0</v>
      </c>
      <c r="P3296" s="59">
        <f t="shared" si="289"/>
        <v>0</v>
      </c>
    </row>
    <row r="3297" spans="12:16" ht="15" hidden="1" customHeight="1">
      <c r="L3297" s="58" t="str">
        <f t="shared" si="287"/>
        <v>-</v>
      </c>
      <c r="M3297" s="59">
        <f t="shared" si="290"/>
        <v>0</v>
      </c>
      <c r="N3297" s="59">
        <f t="shared" si="288"/>
        <v>0</v>
      </c>
      <c r="O3297" s="59">
        <f t="shared" si="291"/>
        <v>0</v>
      </c>
      <c r="P3297" s="59">
        <f t="shared" si="289"/>
        <v>0</v>
      </c>
    </row>
    <row r="3298" spans="12:16" ht="15" hidden="1" customHeight="1">
      <c r="L3298" s="58" t="str">
        <f t="shared" ref="L3298:L3363" si="292">IFERROR(IF(MAX(L3297+1,$F$5+1)&gt;Дата_погашения_Займа,"-",MAX(L3297+1,$F$5+1)),"-")</f>
        <v>-</v>
      </c>
      <c r="M3298" s="59">
        <f t="shared" si="290"/>
        <v>0</v>
      </c>
      <c r="N3298" s="59">
        <f t="shared" si="288"/>
        <v>0</v>
      </c>
      <c r="O3298" s="59">
        <f t="shared" si="291"/>
        <v>0</v>
      </c>
      <c r="P3298" s="59">
        <f t="shared" si="289"/>
        <v>0</v>
      </c>
    </row>
    <row r="3299" spans="12:16" ht="15" hidden="1" customHeight="1">
      <c r="L3299" s="58" t="str">
        <f t="shared" si="292"/>
        <v>-</v>
      </c>
      <c r="M3299" s="59">
        <f t="shared" si="290"/>
        <v>0</v>
      </c>
      <c r="N3299" s="59">
        <f t="shared" si="288"/>
        <v>0</v>
      </c>
      <c r="O3299" s="59">
        <f t="shared" si="291"/>
        <v>0</v>
      </c>
      <c r="P3299" s="59">
        <f t="shared" si="289"/>
        <v>0</v>
      </c>
    </row>
    <row r="3300" spans="12:16" ht="15" hidden="1" customHeight="1">
      <c r="L3300" s="58" t="str">
        <f t="shared" si="292"/>
        <v>-</v>
      </c>
      <c r="M3300" s="59">
        <f t="shared" si="290"/>
        <v>0</v>
      </c>
      <c r="N3300" s="59">
        <f t="shared" si="288"/>
        <v>0</v>
      </c>
      <c r="O3300" s="59">
        <f t="shared" si="291"/>
        <v>0</v>
      </c>
      <c r="P3300" s="59">
        <f t="shared" si="289"/>
        <v>0</v>
      </c>
    </row>
    <row r="3301" spans="12:16" ht="15" hidden="1" customHeight="1">
      <c r="L3301" s="58" t="str">
        <f t="shared" si="292"/>
        <v>-</v>
      </c>
      <c r="M3301" s="59">
        <f t="shared" si="290"/>
        <v>0</v>
      </c>
      <c r="N3301" s="59">
        <f t="shared" si="288"/>
        <v>0</v>
      </c>
      <c r="O3301" s="59">
        <f t="shared" si="291"/>
        <v>0</v>
      </c>
      <c r="P3301" s="59">
        <f t="shared" si="289"/>
        <v>0</v>
      </c>
    </row>
    <row r="3302" spans="12:16" ht="15" hidden="1" customHeight="1">
      <c r="L3302" s="58" t="str">
        <f t="shared" si="292"/>
        <v>-</v>
      </c>
      <c r="M3302" s="59">
        <f t="shared" si="290"/>
        <v>0</v>
      </c>
      <c r="N3302" s="59">
        <f t="shared" si="288"/>
        <v>0</v>
      </c>
      <c r="O3302" s="59">
        <f t="shared" si="291"/>
        <v>0</v>
      </c>
      <c r="P3302" s="59">
        <f t="shared" si="289"/>
        <v>0</v>
      </c>
    </row>
    <row r="3303" spans="12:16" ht="15" hidden="1" customHeight="1">
      <c r="L3303" s="58" t="str">
        <f t="shared" si="292"/>
        <v>-</v>
      </c>
      <c r="M3303" s="59">
        <f t="shared" si="290"/>
        <v>0</v>
      </c>
      <c r="N3303" s="59">
        <f t="shared" si="288"/>
        <v>0</v>
      </c>
      <c r="O3303" s="59">
        <f t="shared" si="291"/>
        <v>0</v>
      </c>
      <c r="P3303" s="59">
        <f t="shared" si="289"/>
        <v>0</v>
      </c>
    </row>
    <row r="3304" spans="12:16" ht="15" hidden="1" customHeight="1">
      <c r="L3304" s="58" t="str">
        <f t="shared" si="292"/>
        <v>-</v>
      </c>
      <c r="M3304" s="59">
        <f t="shared" si="290"/>
        <v>0</v>
      </c>
      <c r="N3304" s="59">
        <f t="shared" si="288"/>
        <v>0</v>
      </c>
      <c r="O3304" s="59">
        <f t="shared" si="291"/>
        <v>0</v>
      </c>
      <c r="P3304" s="59">
        <f t="shared" si="289"/>
        <v>0</v>
      </c>
    </row>
    <row r="3305" spans="12:16" ht="15" hidden="1" customHeight="1">
      <c r="L3305" s="58" t="str">
        <f t="shared" si="292"/>
        <v>-</v>
      </c>
      <c r="M3305" s="59">
        <f t="shared" si="290"/>
        <v>0</v>
      </c>
      <c r="N3305" s="59">
        <f t="shared" si="288"/>
        <v>0</v>
      </c>
      <c r="O3305" s="59">
        <f t="shared" si="291"/>
        <v>0</v>
      </c>
      <c r="P3305" s="59">
        <f t="shared" si="289"/>
        <v>0</v>
      </c>
    </row>
    <row r="3306" spans="12:16" ht="15" hidden="1" customHeight="1">
      <c r="L3306" s="58" t="str">
        <f t="shared" si="292"/>
        <v>-</v>
      </c>
      <c r="M3306" s="59">
        <f t="shared" si="290"/>
        <v>0</v>
      </c>
      <c r="N3306" s="59">
        <f t="shared" si="288"/>
        <v>0</v>
      </c>
      <c r="O3306" s="59">
        <f t="shared" si="291"/>
        <v>0</v>
      </c>
      <c r="P3306" s="59">
        <f t="shared" si="289"/>
        <v>0</v>
      </c>
    </row>
    <row r="3307" spans="12:16" ht="15" hidden="1" customHeight="1">
      <c r="L3307" s="58" t="str">
        <f t="shared" si="292"/>
        <v>-</v>
      </c>
      <c r="M3307" s="59">
        <f t="shared" si="290"/>
        <v>0</v>
      </c>
      <c r="N3307" s="59">
        <f t="shared" si="288"/>
        <v>0</v>
      </c>
      <c r="O3307" s="59">
        <f t="shared" si="291"/>
        <v>0</v>
      </c>
      <c r="P3307" s="59">
        <f t="shared" si="289"/>
        <v>0</v>
      </c>
    </row>
    <row r="3308" spans="12:16" ht="15" hidden="1" customHeight="1">
      <c r="L3308" s="58" t="str">
        <f t="shared" si="292"/>
        <v>-</v>
      </c>
      <c r="M3308" s="59">
        <f t="shared" si="290"/>
        <v>0</v>
      </c>
      <c r="N3308" s="59">
        <f t="shared" si="288"/>
        <v>0</v>
      </c>
      <c r="O3308" s="59">
        <f t="shared" si="291"/>
        <v>0</v>
      </c>
      <c r="P3308" s="59">
        <f t="shared" si="289"/>
        <v>0</v>
      </c>
    </row>
    <row r="3309" spans="12:16" ht="15" hidden="1" customHeight="1">
      <c r="L3309" s="58" t="str">
        <f t="shared" si="292"/>
        <v>-</v>
      </c>
      <c r="M3309" s="59">
        <f t="shared" si="290"/>
        <v>0</v>
      </c>
      <c r="N3309" s="59">
        <f t="shared" si="288"/>
        <v>0</v>
      </c>
      <c r="O3309" s="59">
        <f t="shared" si="291"/>
        <v>0</v>
      </c>
      <c r="P3309" s="59">
        <f t="shared" si="289"/>
        <v>0</v>
      </c>
    </row>
    <row r="3310" spans="12:16" ht="15" hidden="1" customHeight="1">
      <c r="L3310" s="58" t="str">
        <f t="shared" si="292"/>
        <v>-</v>
      </c>
      <c r="M3310" s="59">
        <f t="shared" si="290"/>
        <v>0</v>
      </c>
      <c r="N3310" s="59">
        <f t="shared" si="288"/>
        <v>0</v>
      </c>
      <c r="O3310" s="59">
        <f t="shared" si="291"/>
        <v>0</v>
      </c>
      <c r="P3310" s="59">
        <f t="shared" si="289"/>
        <v>0</v>
      </c>
    </row>
    <row r="3311" spans="12:16" ht="15" hidden="1" customHeight="1">
      <c r="L3311" s="58" t="str">
        <f t="shared" si="292"/>
        <v>-</v>
      </c>
      <c r="M3311" s="59">
        <f t="shared" si="290"/>
        <v>0</v>
      </c>
      <c r="N3311" s="59">
        <f t="shared" si="288"/>
        <v>0</v>
      </c>
      <c r="O3311" s="59">
        <f t="shared" si="291"/>
        <v>0</v>
      </c>
      <c r="P3311" s="59">
        <f t="shared" si="289"/>
        <v>0</v>
      </c>
    </row>
    <row r="3312" spans="12:16" ht="15" hidden="1" customHeight="1">
      <c r="L3312" s="58" t="str">
        <f t="shared" si="292"/>
        <v>-</v>
      </c>
      <c r="M3312" s="59">
        <f t="shared" si="290"/>
        <v>0</v>
      </c>
      <c r="N3312" s="59">
        <f t="shared" si="288"/>
        <v>0</v>
      </c>
      <c r="O3312" s="59">
        <f t="shared" si="291"/>
        <v>0</v>
      </c>
      <c r="P3312" s="59">
        <f t="shared" si="289"/>
        <v>0</v>
      </c>
    </row>
    <row r="3313" spans="12:16" ht="15" hidden="1" customHeight="1">
      <c r="L3313" s="58" t="str">
        <f t="shared" si="292"/>
        <v>-</v>
      </c>
      <c r="M3313" s="59">
        <f t="shared" si="290"/>
        <v>0</v>
      </c>
      <c r="N3313" s="59">
        <f t="shared" si="288"/>
        <v>0</v>
      </c>
      <c r="O3313" s="59">
        <f t="shared" si="291"/>
        <v>0</v>
      </c>
      <c r="P3313" s="59">
        <f t="shared" si="289"/>
        <v>0</v>
      </c>
    </row>
    <row r="3314" spans="12:16" ht="15" hidden="1" customHeight="1">
      <c r="L3314" s="58" t="str">
        <f t="shared" si="292"/>
        <v>-</v>
      </c>
      <c r="M3314" s="59">
        <f t="shared" si="290"/>
        <v>0</v>
      </c>
      <c r="N3314" s="59">
        <f t="shared" si="288"/>
        <v>0</v>
      </c>
      <c r="O3314" s="59">
        <f t="shared" si="291"/>
        <v>0</v>
      </c>
      <c r="P3314" s="59">
        <f t="shared" si="289"/>
        <v>0</v>
      </c>
    </row>
    <row r="3315" spans="12:16" ht="15" hidden="1" customHeight="1">
      <c r="L3315" s="58" t="str">
        <f t="shared" si="292"/>
        <v>-</v>
      </c>
      <c r="M3315" s="59">
        <f t="shared" si="290"/>
        <v>0</v>
      </c>
      <c r="N3315" s="59">
        <f t="shared" si="288"/>
        <v>0</v>
      </c>
      <c r="O3315" s="59">
        <f t="shared" si="291"/>
        <v>0</v>
      </c>
      <c r="P3315" s="59">
        <f t="shared" si="289"/>
        <v>0</v>
      </c>
    </row>
    <row r="3316" spans="12:16" ht="15" hidden="1" customHeight="1">
      <c r="L3316" s="58" t="str">
        <f t="shared" si="292"/>
        <v>-</v>
      </c>
      <c r="M3316" s="59">
        <f t="shared" si="290"/>
        <v>0</v>
      </c>
      <c r="N3316" s="59">
        <f t="shared" si="288"/>
        <v>0</v>
      </c>
      <c r="O3316" s="59">
        <f t="shared" si="291"/>
        <v>0</v>
      </c>
      <c r="P3316" s="59">
        <f t="shared" si="289"/>
        <v>0</v>
      </c>
    </row>
    <row r="3317" spans="12:16" ht="15" hidden="1" customHeight="1">
      <c r="L3317" s="58" t="str">
        <f t="shared" si="292"/>
        <v>-</v>
      </c>
      <c r="M3317" s="59">
        <f t="shared" si="290"/>
        <v>0</v>
      </c>
      <c r="N3317" s="59">
        <f t="shared" si="288"/>
        <v>0</v>
      </c>
      <c r="O3317" s="59">
        <f t="shared" si="291"/>
        <v>0</v>
      </c>
      <c r="P3317" s="59">
        <f t="shared" si="289"/>
        <v>0</v>
      </c>
    </row>
    <row r="3318" spans="12:16" ht="15" hidden="1" customHeight="1">
      <c r="L3318" s="58" t="str">
        <f t="shared" si="292"/>
        <v>-</v>
      </c>
      <c r="M3318" s="59">
        <f t="shared" si="290"/>
        <v>0</v>
      </c>
      <c r="N3318" s="59">
        <f t="shared" si="288"/>
        <v>0</v>
      </c>
      <c r="O3318" s="59">
        <f t="shared" si="291"/>
        <v>0</v>
      </c>
      <c r="P3318" s="59">
        <f t="shared" si="289"/>
        <v>0</v>
      </c>
    </row>
    <row r="3319" spans="12:16" ht="15" hidden="1" customHeight="1">
      <c r="L3319" s="58" t="str">
        <f t="shared" si="292"/>
        <v>-</v>
      </c>
      <c r="M3319" s="59">
        <f t="shared" si="290"/>
        <v>0</v>
      </c>
      <c r="N3319" s="59">
        <f t="shared" si="288"/>
        <v>0</v>
      </c>
      <c r="O3319" s="59">
        <f t="shared" si="291"/>
        <v>0</v>
      </c>
      <c r="P3319" s="59">
        <f t="shared" si="289"/>
        <v>0</v>
      </c>
    </row>
    <row r="3320" spans="12:16" ht="15" hidden="1" customHeight="1">
      <c r="L3320" s="58" t="str">
        <f t="shared" si="292"/>
        <v>-</v>
      </c>
      <c r="M3320" s="59">
        <f t="shared" si="290"/>
        <v>0</v>
      </c>
      <c r="N3320" s="59">
        <f t="shared" si="288"/>
        <v>0</v>
      </c>
      <c r="O3320" s="59">
        <f t="shared" si="291"/>
        <v>0</v>
      </c>
      <c r="P3320" s="59">
        <f t="shared" si="289"/>
        <v>0</v>
      </c>
    </row>
    <row r="3321" spans="12:16" ht="15" hidden="1" customHeight="1">
      <c r="L3321" s="58" t="str">
        <f t="shared" si="292"/>
        <v>-</v>
      </c>
      <c r="M3321" s="59">
        <f t="shared" si="290"/>
        <v>0</v>
      </c>
      <c r="N3321" s="59">
        <f t="shared" si="288"/>
        <v>0</v>
      </c>
      <c r="O3321" s="59">
        <f t="shared" si="291"/>
        <v>0</v>
      </c>
      <c r="P3321" s="59">
        <f t="shared" si="289"/>
        <v>0</v>
      </c>
    </row>
    <row r="3322" spans="12:16" ht="15" hidden="1" customHeight="1">
      <c r="L3322" s="58" t="str">
        <f t="shared" si="292"/>
        <v>-</v>
      </c>
      <c r="M3322" s="59">
        <f t="shared" si="290"/>
        <v>0</v>
      </c>
      <c r="N3322" s="59">
        <f t="shared" si="288"/>
        <v>0</v>
      </c>
      <c r="O3322" s="59">
        <f t="shared" si="291"/>
        <v>0</v>
      </c>
      <c r="P3322" s="59">
        <f t="shared" si="289"/>
        <v>0</v>
      </c>
    </row>
    <row r="3323" spans="12:16" ht="15" hidden="1" customHeight="1">
      <c r="L3323" s="58" t="str">
        <f t="shared" si="292"/>
        <v>-</v>
      </c>
      <c r="M3323" s="59">
        <f t="shared" si="290"/>
        <v>0</v>
      </c>
      <c r="N3323" s="59">
        <f t="shared" si="288"/>
        <v>0</v>
      </c>
      <c r="O3323" s="59">
        <f t="shared" si="291"/>
        <v>0</v>
      </c>
      <c r="P3323" s="59">
        <f t="shared" si="289"/>
        <v>0</v>
      </c>
    </row>
    <row r="3324" spans="12:16" ht="15" hidden="1" customHeight="1">
      <c r="L3324" s="58" t="str">
        <f t="shared" si="292"/>
        <v>-</v>
      </c>
      <c r="M3324" s="59">
        <f t="shared" si="290"/>
        <v>0</v>
      </c>
      <c r="N3324" s="59">
        <f t="shared" si="288"/>
        <v>0</v>
      </c>
      <c r="O3324" s="59">
        <f t="shared" si="291"/>
        <v>0</v>
      </c>
      <c r="P3324" s="59">
        <f t="shared" si="289"/>
        <v>0</v>
      </c>
    </row>
    <row r="3325" spans="12:16" ht="15" hidden="1" customHeight="1">
      <c r="L3325" s="58" t="str">
        <f t="shared" si="292"/>
        <v>-</v>
      </c>
      <c r="M3325" s="59">
        <f t="shared" si="290"/>
        <v>0</v>
      </c>
      <c r="N3325" s="59">
        <f t="shared" si="288"/>
        <v>0</v>
      </c>
      <c r="O3325" s="59">
        <f t="shared" si="291"/>
        <v>0</v>
      </c>
      <c r="P3325" s="59">
        <f t="shared" si="289"/>
        <v>0</v>
      </c>
    </row>
    <row r="3326" spans="12:16" ht="15" hidden="1" customHeight="1">
      <c r="L3326" s="58" t="str">
        <f t="shared" si="292"/>
        <v>-</v>
      </c>
      <c r="M3326" s="59">
        <f t="shared" si="290"/>
        <v>0</v>
      </c>
      <c r="N3326" s="59">
        <f t="shared" si="288"/>
        <v>0</v>
      </c>
      <c r="O3326" s="59">
        <f t="shared" si="291"/>
        <v>0</v>
      </c>
      <c r="P3326" s="59">
        <f t="shared" si="289"/>
        <v>0</v>
      </c>
    </row>
    <row r="3327" spans="12:16" ht="15" hidden="1" customHeight="1">
      <c r="L3327" s="58" t="str">
        <f t="shared" si="292"/>
        <v>-</v>
      </c>
      <c r="M3327" s="59">
        <f t="shared" si="290"/>
        <v>0</v>
      </c>
      <c r="N3327" s="59">
        <f t="shared" si="288"/>
        <v>0</v>
      </c>
      <c r="O3327" s="59">
        <f t="shared" si="291"/>
        <v>0</v>
      </c>
      <c r="P3327" s="59">
        <f t="shared" si="289"/>
        <v>0</v>
      </c>
    </row>
    <row r="3328" spans="12:16" ht="15" hidden="1" customHeight="1">
      <c r="L3328" s="58" t="str">
        <f t="shared" si="292"/>
        <v>-</v>
      </c>
      <c r="M3328" s="59">
        <f t="shared" si="290"/>
        <v>0</v>
      </c>
      <c r="N3328" s="59">
        <f t="shared" si="288"/>
        <v>0</v>
      </c>
      <c r="O3328" s="59">
        <f t="shared" si="291"/>
        <v>0</v>
      </c>
      <c r="P3328" s="59">
        <f t="shared" si="289"/>
        <v>0</v>
      </c>
    </row>
    <row r="3329" spans="12:16" ht="15" hidden="1" customHeight="1">
      <c r="L3329" s="58" t="str">
        <f t="shared" si="292"/>
        <v>-</v>
      </c>
      <c r="M3329" s="59">
        <f t="shared" si="290"/>
        <v>0</v>
      </c>
      <c r="N3329" s="59">
        <f t="shared" ref="N3329:N3362" si="293">IF(ISNUMBER(N3328),N3328-M3329,$E$8)</f>
        <v>0</v>
      </c>
      <c r="O3329" s="59">
        <f t="shared" si="291"/>
        <v>0</v>
      </c>
      <c r="P3329" s="59">
        <f t="shared" ref="P3329:P3362" si="294">IFERROR(IF(ISNUMBER(N3328),N3328,$E$8)*3%/IF(MOD(YEAR(L3329),4),365,366)*IF(ISBLANK(L3328),(L3329-$F$5),L3329-L3328),0)</f>
        <v>0</v>
      </c>
    </row>
    <row r="3330" spans="12:16" ht="15" hidden="1" customHeight="1">
      <c r="L3330" s="58" t="str">
        <f t="shared" si="292"/>
        <v>-</v>
      </c>
      <c r="M3330" s="59">
        <f t="shared" si="290"/>
        <v>0</v>
      </c>
      <c r="N3330" s="59">
        <f t="shared" si="293"/>
        <v>0</v>
      </c>
      <c r="O3330" s="59">
        <f t="shared" si="291"/>
        <v>0</v>
      </c>
      <c r="P3330" s="59">
        <f t="shared" si="294"/>
        <v>0</v>
      </c>
    </row>
    <row r="3331" spans="12:16" ht="15" hidden="1" customHeight="1">
      <c r="L3331" s="58" t="str">
        <f t="shared" si="292"/>
        <v>-</v>
      </c>
      <c r="M3331" s="59">
        <f t="shared" si="290"/>
        <v>0</v>
      </c>
      <c r="N3331" s="59">
        <f t="shared" si="293"/>
        <v>0</v>
      </c>
      <c r="O3331" s="59">
        <f t="shared" si="291"/>
        <v>0</v>
      </c>
      <c r="P3331" s="59">
        <f t="shared" si="294"/>
        <v>0</v>
      </c>
    </row>
    <row r="3332" spans="12:16" ht="15" hidden="1" customHeight="1">
      <c r="L3332" s="58" t="str">
        <f t="shared" si="292"/>
        <v>-</v>
      </c>
      <c r="M3332" s="59">
        <f t="shared" si="290"/>
        <v>0</v>
      </c>
      <c r="N3332" s="59">
        <f t="shared" si="293"/>
        <v>0</v>
      </c>
      <c r="O3332" s="59">
        <f t="shared" si="291"/>
        <v>0</v>
      </c>
      <c r="P3332" s="59">
        <f t="shared" si="294"/>
        <v>0</v>
      </c>
    </row>
    <row r="3333" spans="12:16" ht="15" hidden="1" customHeight="1">
      <c r="L3333" s="58" t="str">
        <f t="shared" si="292"/>
        <v>-</v>
      </c>
      <c r="M3333" s="59">
        <f t="shared" si="290"/>
        <v>0</v>
      </c>
      <c r="N3333" s="59">
        <f t="shared" si="293"/>
        <v>0</v>
      </c>
      <c r="O3333" s="59">
        <f t="shared" si="291"/>
        <v>0</v>
      </c>
      <c r="P3333" s="59">
        <f t="shared" si="294"/>
        <v>0</v>
      </c>
    </row>
    <row r="3334" spans="12:16" ht="15" hidden="1" customHeight="1">
      <c r="L3334" s="58" t="str">
        <f t="shared" si="292"/>
        <v>-</v>
      </c>
      <c r="M3334" s="59">
        <f t="shared" si="290"/>
        <v>0</v>
      </c>
      <c r="N3334" s="59">
        <f t="shared" si="293"/>
        <v>0</v>
      </c>
      <c r="O3334" s="59">
        <f t="shared" si="291"/>
        <v>0</v>
      </c>
      <c r="P3334" s="59">
        <f t="shared" si="294"/>
        <v>0</v>
      </c>
    </row>
    <row r="3335" spans="12:16" ht="15" hidden="1" customHeight="1">
      <c r="L3335" s="58" t="str">
        <f t="shared" si="292"/>
        <v>-</v>
      </c>
      <c r="M3335" s="59">
        <f t="shared" si="290"/>
        <v>0</v>
      </c>
      <c r="N3335" s="59">
        <f t="shared" si="293"/>
        <v>0</v>
      </c>
      <c r="O3335" s="59">
        <f t="shared" si="291"/>
        <v>0</v>
      </c>
      <c r="P3335" s="59">
        <f t="shared" si="294"/>
        <v>0</v>
      </c>
    </row>
    <row r="3336" spans="12:16" ht="15" hidden="1" customHeight="1">
      <c r="L3336" s="58" t="str">
        <f t="shared" si="292"/>
        <v>-</v>
      </c>
      <c r="M3336" s="59">
        <f t="shared" si="290"/>
        <v>0</v>
      </c>
      <c r="N3336" s="59">
        <f t="shared" si="293"/>
        <v>0</v>
      </c>
      <c r="O3336" s="59">
        <f t="shared" si="291"/>
        <v>0</v>
      </c>
      <c r="P3336" s="59">
        <f t="shared" si="294"/>
        <v>0</v>
      </c>
    </row>
    <row r="3337" spans="12:16" ht="15" hidden="1" customHeight="1">
      <c r="L3337" s="58" t="str">
        <f t="shared" si="292"/>
        <v>-</v>
      </c>
      <c r="M3337" s="59">
        <f t="shared" si="290"/>
        <v>0</v>
      </c>
      <c r="N3337" s="59">
        <f t="shared" si="293"/>
        <v>0</v>
      </c>
      <c r="O3337" s="59">
        <f t="shared" si="291"/>
        <v>0</v>
      </c>
      <c r="P3337" s="59">
        <f t="shared" si="294"/>
        <v>0</v>
      </c>
    </row>
    <row r="3338" spans="12:16" ht="15" hidden="1" customHeight="1">
      <c r="L3338" s="58" t="str">
        <f t="shared" si="292"/>
        <v>-</v>
      </c>
      <c r="M3338" s="59">
        <f t="shared" si="290"/>
        <v>0</v>
      </c>
      <c r="N3338" s="59">
        <f t="shared" si="293"/>
        <v>0</v>
      </c>
      <c r="O3338" s="59">
        <f t="shared" si="291"/>
        <v>0</v>
      </c>
      <c r="P3338" s="59">
        <f t="shared" si="294"/>
        <v>0</v>
      </c>
    </row>
    <row r="3339" spans="12:16" ht="15" hidden="1" customHeight="1">
      <c r="L3339" s="58" t="str">
        <f t="shared" si="292"/>
        <v>-</v>
      </c>
      <c r="M3339" s="59">
        <f t="shared" si="290"/>
        <v>0</v>
      </c>
      <c r="N3339" s="59">
        <f t="shared" si="293"/>
        <v>0</v>
      </c>
      <c r="O3339" s="59">
        <f t="shared" si="291"/>
        <v>0</v>
      </c>
      <c r="P3339" s="59">
        <f t="shared" si="294"/>
        <v>0</v>
      </c>
    </row>
    <row r="3340" spans="12:16" ht="15" hidden="1" customHeight="1">
      <c r="L3340" s="58" t="str">
        <f t="shared" si="292"/>
        <v>-</v>
      </c>
      <c r="M3340" s="59">
        <f t="shared" si="290"/>
        <v>0</v>
      </c>
      <c r="N3340" s="59">
        <f t="shared" si="293"/>
        <v>0</v>
      </c>
      <c r="O3340" s="59">
        <f t="shared" si="291"/>
        <v>0</v>
      </c>
      <c r="P3340" s="59">
        <f t="shared" si="294"/>
        <v>0</v>
      </c>
    </row>
    <row r="3341" spans="12:16" ht="15" hidden="1" customHeight="1">
      <c r="L3341" s="58" t="str">
        <f t="shared" si="292"/>
        <v>-</v>
      </c>
      <c r="M3341" s="59">
        <f t="shared" si="290"/>
        <v>0</v>
      </c>
      <c r="N3341" s="59">
        <f t="shared" si="293"/>
        <v>0</v>
      </c>
      <c r="O3341" s="59">
        <f t="shared" si="291"/>
        <v>0</v>
      </c>
      <c r="P3341" s="59">
        <f t="shared" si="294"/>
        <v>0</v>
      </c>
    </row>
    <row r="3342" spans="12:16" ht="15" hidden="1" customHeight="1">
      <c r="L3342" s="58" t="str">
        <f t="shared" si="292"/>
        <v>-</v>
      </c>
      <c r="M3342" s="59">
        <f t="shared" si="290"/>
        <v>0</v>
      </c>
      <c r="N3342" s="59">
        <f t="shared" si="293"/>
        <v>0</v>
      </c>
      <c r="O3342" s="59">
        <f t="shared" si="291"/>
        <v>0</v>
      </c>
      <c r="P3342" s="59">
        <f t="shared" si="294"/>
        <v>0</v>
      </c>
    </row>
    <row r="3343" spans="12:16" ht="15" hidden="1" customHeight="1">
      <c r="L3343" s="58" t="str">
        <f t="shared" si="292"/>
        <v>-</v>
      </c>
      <c r="M3343" s="59">
        <f t="shared" si="290"/>
        <v>0</v>
      </c>
      <c r="N3343" s="59">
        <f t="shared" si="293"/>
        <v>0</v>
      </c>
      <c r="O3343" s="59">
        <f t="shared" si="291"/>
        <v>0</v>
      </c>
      <c r="P3343" s="59">
        <f t="shared" si="294"/>
        <v>0</v>
      </c>
    </row>
    <row r="3344" spans="12:16" ht="15" hidden="1" customHeight="1">
      <c r="L3344" s="58" t="str">
        <f t="shared" si="292"/>
        <v>-</v>
      </c>
      <c r="M3344" s="59">
        <f t="shared" si="290"/>
        <v>0</v>
      </c>
      <c r="N3344" s="59">
        <f t="shared" si="293"/>
        <v>0</v>
      </c>
      <c r="O3344" s="59">
        <f t="shared" si="291"/>
        <v>0</v>
      </c>
      <c r="P3344" s="59">
        <f t="shared" si="294"/>
        <v>0</v>
      </c>
    </row>
    <row r="3345" spans="12:16" ht="15" hidden="1" customHeight="1">
      <c r="L3345" s="58" t="str">
        <f t="shared" si="292"/>
        <v>-</v>
      </c>
      <c r="M3345" s="59">
        <f t="shared" si="290"/>
        <v>0</v>
      </c>
      <c r="N3345" s="59">
        <f t="shared" si="293"/>
        <v>0</v>
      </c>
      <c r="O3345" s="59">
        <f t="shared" si="291"/>
        <v>0</v>
      </c>
      <c r="P3345" s="59">
        <f t="shared" si="294"/>
        <v>0</v>
      </c>
    </row>
    <row r="3346" spans="12:16" ht="15" hidden="1" customHeight="1">
      <c r="L3346" s="58" t="str">
        <f t="shared" si="292"/>
        <v>-</v>
      </c>
      <c r="M3346" s="59">
        <f t="shared" si="290"/>
        <v>0</v>
      </c>
      <c r="N3346" s="59">
        <f t="shared" si="293"/>
        <v>0</v>
      </c>
      <c r="O3346" s="59">
        <f t="shared" si="291"/>
        <v>0</v>
      </c>
      <c r="P3346" s="59">
        <f t="shared" si="294"/>
        <v>0</v>
      </c>
    </row>
    <row r="3347" spans="12:16" ht="15" hidden="1" customHeight="1">
      <c r="L3347" s="58" t="str">
        <f t="shared" si="292"/>
        <v>-</v>
      </c>
      <c r="M3347" s="59">
        <f t="shared" ref="M3347:M3410" si="295">IFERROR(VLOOKUP(L3347,$B$19:$E$80,4,FALSE),0)</f>
        <v>0</v>
      </c>
      <c r="N3347" s="59">
        <f t="shared" si="293"/>
        <v>0</v>
      </c>
      <c r="O3347" s="59">
        <f t="shared" ref="O3347:O3410" si="296">IFERROR(IF(ISNUMBER(N3346),N3346,$E$8)*IF(L3347&gt;=$J$8,$E$12,$E$12)/IF(MOD(YEAR(L3347),4),365,366)*IF(ISBLANK(L3346),L3347-$F$5,L3347-L3346),0)</f>
        <v>0</v>
      </c>
      <c r="P3347" s="59">
        <f t="shared" si="294"/>
        <v>0</v>
      </c>
    </row>
    <row r="3348" spans="12:16" ht="15" hidden="1" customHeight="1">
      <c r="L3348" s="58" t="str">
        <f t="shared" si="292"/>
        <v>-</v>
      </c>
      <c r="M3348" s="59">
        <f t="shared" si="295"/>
        <v>0</v>
      </c>
      <c r="N3348" s="59">
        <f t="shared" si="293"/>
        <v>0</v>
      </c>
      <c r="O3348" s="59">
        <f t="shared" si="296"/>
        <v>0</v>
      </c>
      <c r="P3348" s="59">
        <f t="shared" si="294"/>
        <v>0</v>
      </c>
    </row>
    <row r="3349" spans="12:16" ht="15" hidden="1" customHeight="1">
      <c r="L3349" s="58" t="str">
        <f t="shared" si="292"/>
        <v>-</v>
      </c>
      <c r="M3349" s="59">
        <f t="shared" si="295"/>
        <v>0</v>
      </c>
      <c r="N3349" s="59">
        <f t="shared" si="293"/>
        <v>0</v>
      </c>
      <c r="O3349" s="59">
        <f t="shared" si="296"/>
        <v>0</v>
      </c>
      <c r="P3349" s="59">
        <f t="shared" si="294"/>
        <v>0</v>
      </c>
    </row>
    <row r="3350" spans="12:16" ht="15" hidden="1" customHeight="1">
      <c r="L3350" s="58" t="str">
        <f t="shared" si="292"/>
        <v>-</v>
      </c>
      <c r="M3350" s="59">
        <f t="shared" si="295"/>
        <v>0</v>
      </c>
      <c r="N3350" s="59">
        <f t="shared" si="293"/>
        <v>0</v>
      </c>
      <c r="O3350" s="59">
        <f t="shared" si="296"/>
        <v>0</v>
      </c>
      <c r="P3350" s="59">
        <f t="shared" si="294"/>
        <v>0</v>
      </c>
    </row>
    <row r="3351" spans="12:16" ht="15" hidden="1" customHeight="1">
      <c r="L3351" s="58" t="str">
        <f t="shared" si="292"/>
        <v>-</v>
      </c>
      <c r="M3351" s="59">
        <f t="shared" si="295"/>
        <v>0</v>
      </c>
      <c r="N3351" s="59">
        <f t="shared" si="293"/>
        <v>0</v>
      </c>
      <c r="O3351" s="59">
        <f t="shared" si="296"/>
        <v>0</v>
      </c>
      <c r="P3351" s="59">
        <f t="shared" si="294"/>
        <v>0</v>
      </c>
    </row>
    <row r="3352" spans="12:16" ht="15" hidden="1" customHeight="1">
      <c r="L3352" s="58" t="str">
        <f t="shared" si="292"/>
        <v>-</v>
      </c>
      <c r="M3352" s="59">
        <f t="shared" si="295"/>
        <v>0</v>
      </c>
      <c r="N3352" s="59">
        <f t="shared" si="293"/>
        <v>0</v>
      </c>
      <c r="O3352" s="59">
        <f t="shared" si="296"/>
        <v>0</v>
      </c>
      <c r="P3352" s="59">
        <f t="shared" si="294"/>
        <v>0</v>
      </c>
    </row>
    <row r="3353" spans="12:16" ht="15" hidden="1" customHeight="1">
      <c r="L3353" s="58" t="str">
        <f t="shared" si="292"/>
        <v>-</v>
      </c>
      <c r="M3353" s="59">
        <f t="shared" si="295"/>
        <v>0</v>
      </c>
      <c r="N3353" s="59">
        <f t="shared" si="293"/>
        <v>0</v>
      </c>
      <c r="O3353" s="59">
        <f t="shared" si="296"/>
        <v>0</v>
      </c>
      <c r="P3353" s="59">
        <f t="shared" si="294"/>
        <v>0</v>
      </c>
    </row>
    <row r="3354" spans="12:16" ht="15" hidden="1" customHeight="1">
      <c r="L3354" s="58" t="str">
        <f t="shared" si="292"/>
        <v>-</v>
      </c>
      <c r="M3354" s="59">
        <f t="shared" si="295"/>
        <v>0</v>
      </c>
      <c r="N3354" s="59">
        <f t="shared" si="293"/>
        <v>0</v>
      </c>
      <c r="O3354" s="59">
        <f t="shared" si="296"/>
        <v>0</v>
      </c>
      <c r="P3354" s="59">
        <f t="shared" si="294"/>
        <v>0</v>
      </c>
    </row>
    <row r="3355" spans="12:16" ht="15" hidden="1" customHeight="1">
      <c r="L3355" s="58" t="str">
        <f t="shared" si="292"/>
        <v>-</v>
      </c>
      <c r="M3355" s="59">
        <f t="shared" si="295"/>
        <v>0</v>
      </c>
      <c r="N3355" s="59">
        <f t="shared" si="293"/>
        <v>0</v>
      </c>
      <c r="O3355" s="59">
        <f t="shared" si="296"/>
        <v>0</v>
      </c>
      <c r="P3355" s="59">
        <f t="shared" si="294"/>
        <v>0</v>
      </c>
    </row>
    <row r="3356" spans="12:16" ht="15" hidden="1" customHeight="1">
      <c r="L3356" s="58" t="str">
        <f t="shared" si="292"/>
        <v>-</v>
      </c>
      <c r="M3356" s="59">
        <f t="shared" si="295"/>
        <v>0</v>
      </c>
      <c r="N3356" s="59">
        <f t="shared" si="293"/>
        <v>0</v>
      </c>
      <c r="O3356" s="59">
        <f t="shared" si="296"/>
        <v>0</v>
      </c>
      <c r="P3356" s="59">
        <f t="shared" si="294"/>
        <v>0</v>
      </c>
    </row>
    <row r="3357" spans="12:16" ht="15" hidden="1" customHeight="1">
      <c r="L3357" s="58" t="str">
        <f t="shared" si="292"/>
        <v>-</v>
      </c>
      <c r="M3357" s="59">
        <f t="shared" si="295"/>
        <v>0</v>
      </c>
      <c r="N3357" s="59">
        <f t="shared" si="293"/>
        <v>0</v>
      </c>
      <c r="O3357" s="59">
        <f t="shared" si="296"/>
        <v>0</v>
      </c>
      <c r="P3357" s="59">
        <f t="shared" si="294"/>
        <v>0</v>
      </c>
    </row>
    <row r="3358" spans="12:16" ht="15" hidden="1" customHeight="1">
      <c r="L3358" s="58" t="str">
        <f t="shared" si="292"/>
        <v>-</v>
      </c>
      <c r="M3358" s="59">
        <f t="shared" si="295"/>
        <v>0</v>
      </c>
      <c r="N3358" s="59">
        <f t="shared" si="293"/>
        <v>0</v>
      </c>
      <c r="O3358" s="59">
        <f t="shared" si="296"/>
        <v>0</v>
      </c>
      <c r="P3358" s="59">
        <f t="shared" si="294"/>
        <v>0</v>
      </c>
    </row>
    <row r="3359" spans="12:16" ht="15" hidden="1" customHeight="1">
      <c r="L3359" s="58" t="str">
        <f t="shared" si="292"/>
        <v>-</v>
      </c>
      <c r="M3359" s="59">
        <f t="shared" si="295"/>
        <v>0</v>
      </c>
      <c r="N3359" s="59">
        <f t="shared" si="293"/>
        <v>0</v>
      </c>
      <c r="O3359" s="59">
        <f t="shared" si="296"/>
        <v>0</v>
      </c>
      <c r="P3359" s="59">
        <f t="shared" si="294"/>
        <v>0</v>
      </c>
    </row>
    <row r="3360" spans="12:16" ht="15" hidden="1" customHeight="1">
      <c r="L3360" s="58" t="str">
        <f t="shared" si="292"/>
        <v>-</v>
      </c>
      <c r="M3360" s="59">
        <f t="shared" si="295"/>
        <v>0</v>
      </c>
      <c r="N3360" s="59">
        <f t="shared" si="293"/>
        <v>0</v>
      </c>
      <c r="O3360" s="59">
        <f t="shared" si="296"/>
        <v>0</v>
      </c>
      <c r="P3360" s="59">
        <f t="shared" si="294"/>
        <v>0</v>
      </c>
    </row>
    <row r="3361" spans="12:16" ht="15" hidden="1" customHeight="1">
      <c r="L3361" s="58" t="str">
        <f t="shared" si="292"/>
        <v>-</v>
      </c>
      <c r="M3361" s="59">
        <f t="shared" si="295"/>
        <v>0</v>
      </c>
      <c r="N3361" s="59">
        <f t="shared" si="293"/>
        <v>0</v>
      </c>
      <c r="O3361" s="59">
        <f t="shared" si="296"/>
        <v>0</v>
      </c>
      <c r="P3361" s="59">
        <f t="shared" si="294"/>
        <v>0</v>
      </c>
    </row>
    <row r="3362" spans="12:16" ht="15" hidden="1" customHeight="1">
      <c r="L3362" s="58" t="str">
        <f t="shared" ref="L3362" si="297">IFERROR(IF(MAX(L3361+1,$F$5+1)&gt;Дата_погашения_Займа,"-",MAX(L3361+1,$F$5+1)),"-")</f>
        <v>-</v>
      </c>
      <c r="M3362" s="59">
        <f t="shared" si="295"/>
        <v>0</v>
      </c>
      <c r="N3362" s="59">
        <f t="shared" si="293"/>
        <v>0</v>
      </c>
      <c r="O3362" s="59">
        <f t="shared" si="296"/>
        <v>0</v>
      </c>
      <c r="P3362" s="59">
        <f t="shared" si="294"/>
        <v>0</v>
      </c>
    </row>
    <row r="3363" spans="12:16" ht="15" hidden="1" customHeight="1">
      <c r="L3363" s="58" t="str">
        <f t="shared" si="292"/>
        <v>-</v>
      </c>
      <c r="M3363" s="59">
        <f t="shared" si="295"/>
        <v>0</v>
      </c>
      <c r="N3363" s="59">
        <f t="shared" ref="N3363:N3393" si="298">IF(ISNUMBER(N3362),N3362-M3363,$E$8)</f>
        <v>0</v>
      </c>
      <c r="O3363" s="59">
        <f t="shared" si="296"/>
        <v>0</v>
      </c>
      <c r="P3363" s="59">
        <f t="shared" ref="P3363:P3393" si="299">IFERROR(IF(ISNUMBER(N3362),N3362,$E$8)*3%/IF(MOD(YEAR(L3363),4),365,366)*IF(ISBLANK(L3362),(L3363-$F$5),L3363-L3362),0)</f>
        <v>0</v>
      </c>
    </row>
    <row r="3364" spans="12:16" ht="15" hidden="1" customHeight="1">
      <c r="L3364" s="58" t="str">
        <f t="shared" ref="L3364:L3427" si="300">IFERROR(IF(MAX(L3363+1,$F$5+1)&gt;Дата_погашения_Займа,"-",MAX(L3363+1,$F$5+1)),"-")</f>
        <v>-</v>
      </c>
      <c r="M3364" s="59">
        <f t="shared" si="295"/>
        <v>0</v>
      </c>
      <c r="N3364" s="59">
        <f t="shared" si="298"/>
        <v>0</v>
      </c>
      <c r="O3364" s="59">
        <f t="shared" si="296"/>
        <v>0</v>
      </c>
      <c r="P3364" s="59">
        <f t="shared" si="299"/>
        <v>0</v>
      </c>
    </row>
    <row r="3365" spans="12:16" ht="15" hidden="1" customHeight="1">
      <c r="L3365" s="58" t="str">
        <f t="shared" si="300"/>
        <v>-</v>
      </c>
      <c r="M3365" s="59">
        <f t="shared" si="295"/>
        <v>0</v>
      </c>
      <c r="N3365" s="59">
        <f t="shared" si="298"/>
        <v>0</v>
      </c>
      <c r="O3365" s="59">
        <f t="shared" si="296"/>
        <v>0</v>
      </c>
      <c r="P3365" s="59">
        <f t="shared" si="299"/>
        <v>0</v>
      </c>
    </row>
    <row r="3366" spans="12:16" ht="15" hidden="1" customHeight="1">
      <c r="L3366" s="58" t="str">
        <f t="shared" si="300"/>
        <v>-</v>
      </c>
      <c r="M3366" s="59">
        <f t="shared" si="295"/>
        <v>0</v>
      </c>
      <c r="N3366" s="59">
        <f t="shared" si="298"/>
        <v>0</v>
      </c>
      <c r="O3366" s="59">
        <f t="shared" si="296"/>
        <v>0</v>
      </c>
      <c r="P3366" s="59">
        <f t="shared" si="299"/>
        <v>0</v>
      </c>
    </row>
    <row r="3367" spans="12:16" ht="15" hidden="1" customHeight="1">
      <c r="L3367" s="58" t="str">
        <f t="shared" si="300"/>
        <v>-</v>
      </c>
      <c r="M3367" s="59">
        <f t="shared" si="295"/>
        <v>0</v>
      </c>
      <c r="N3367" s="59">
        <f t="shared" si="298"/>
        <v>0</v>
      </c>
      <c r="O3367" s="59">
        <f t="shared" si="296"/>
        <v>0</v>
      </c>
      <c r="P3367" s="59">
        <f t="shared" si="299"/>
        <v>0</v>
      </c>
    </row>
    <row r="3368" spans="12:16" ht="15" hidden="1" customHeight="1">
      <c r="L3368" s="58" t="str">
        <f t="shared" si="300"/>
        <v>-</v>
      </c>
      <c r="M3368" s="59">
        <f t="shared" si="295"/>
        <v>0</v>
      </c>
      <c r="N3368" s="59">
        <f t="shared" si="298"/>
        <v>0</v>
      </c>
      <c r="O3368" s="59">
        <f t="shared" si="296"/>
        <v>0</v>
      </c>
      <c r="P3368" s="59">
        <f t="shared" si="299"/>
        <v>0</v>
      </c>
    </row>
    <row r="3369" spans="12:16" ht="15" hidden="1" customHeight="1">
      <c r="L3369" s="58" t="str">
        <f t="shared" si="300"/>
        <v>-</v>
      </c>
      <c r="M3369" s="59">
        <f t="shared" si="295"/>
        <v>0</v>
      </c>
      <c r="N3369" s="59">
        <f t="shared" si="298"/>
        <v>0</v>
      </c>
      <c r="O3369" s="59">
        <f t="shared" si="296"/>
        <v>0</v>
      </c>
      <c r="P3369" s="59">
        <f t="shared" si="299"/>
        <v>0</v>
      </c>
    </row>
    <row r="3370" spans="12:16" ht="15" hidden="1" customHeight="1">
      <c r="L3370" s="58" t="str">
        <f t="shared" si="300"/>
        <v>-</v>
      </c>
      <c r="M3370" s="59">
        <f t="shared" si="295"/>
        <v>0</v>
      </c>
      <c r="N3370" s="59">
        <f t="shared" si="298"/>
        <v>0</v>
      </c>
      <c r="O3370" s="59">
        <f t="shared" si="296"/>
        <v>0</v>
      </c>
      <c r="P3370" s="59">
        <f t="shared" si="299"/>
        <v>0</v>
      </c>
    </row>
    <row r="3371" spans="12:16" ht="15" hidden="1" customHeight="1">
      <c r="L3371" s="58" t="str">
        <f t="shared" si="300"/>
        <v>-</v>
      </c>
      <c r="M3371" s="59">
        <f t="shared" si="295"/>
        <v>0</v>
      </c>
      <c r="N3371" s="59">
        <f t="shared" si="298"/>
        <v>0</v>
      </c>
      <c r="O3371" s="59">
        <f t="shared" si="296"/>
        <v>0</v>
      </c>
      <c r="P3371" s="59">
        <f t="shared" si="299"/>
        <v>0</v>
      </c>
    </row>
    <row r="3372" spans="12:16" ht="15" hidden="1" customHeight="1">
      <c r="L3372" s="58" t="str">
        <f t="shared" si="300"/>
        <v>-</v>
      </c>
      <c r="M3372" s="59">
        <f t="shared" si="295"/>
        <v>0</v>
      </c>
      <c r="N3372" s="59">
        <f t="shared" si="298"/>
        <v>0</v>
      </c>
      <c r="O3372" s="59">
        <f t="shared" si="296"/>
        <v>0</v>
      </c>
      <c r="P3372" s="59">
        <f t="shared" si="299"/>
        <v>0</v>
      </c>
    </row>
    <row r="3373" spans="12:16" ht="15" hidden="1" customHeight="1">
      <c r="L3373" s="58" t="str">
        <f t="shared" si="300"/>
        <v>-</v>
      </c>
      <c r="M3373" s="59">
        <f t="shared" si="295"/>
        <v>0</v>
      </c>
      <c r="N3373" s="59">
        <f t="shared" si="298"/>
        <v>0</v>
      </c>
      <c r="O3373" s="59">
        <f t="shared" si="296"/>
        <v>0</v>
      </c>
      <c r="P3373" s="59">
        <f t="shared" si="299"/>
        <v>0</v>
      </c>
    </row>
    <row r="3374" spans="12:16" ht="15" hidden="1" customHeight="1">
      <c r="L3374" s="58" t="str">
        <f t="shared" si="300"/>
        <v>-</v>
      </c>
      <c r="M3374" s="59">
        <f t="shared" si="295"/>
        <v>0</v>
      </c>
      <c r="N3374" s="59">
        <f t="shared" si="298"/>
        <v>0</v>
      </c>
      <c r="O3374" s="59">
        <f t="shared" si="296"/>
        <v>0</v>
      </c>
      <c r="P3374" s="59">
        <f t="shared" si="299"/>
        <v>0</v>
      </c>
    </row>
    <row r="3375" spans="12:16" ht="15" hidden="1" customHeight="1">
      <c r="L3375" s="58" t="str">
        <f t="shared" si="300"/>
        <v>-</v>
      </c>
      <c r="M3375" s="59">
        <f t="shared" si="295"/>
        <v>0</v>
      </c>
      <c r="N3375" s="59">
        <f t="shared" si="298"/>
        <v>0</v>
      </c>
      <c r="O3375" s="59">
        <f t="shared" si="296"/>
        <v>0</v>
      </c>
      <c r="P3375" s="59">
        <f t="shared" si="299"/>
        <v>0</v>
      </c>
    </row>
    <row r="3376" spans="12:16" ht="15" hidden="1" customHeight="1">
      <c r="L3376" s="58" t="str">
        <f t="shared" si="300"/>
        <v>-</v>
      </c>
      <c r="M3376" s="59">
        <f t="shared" si="295"/>
        <v>0</v>
      </c>
      <c r="N3376" s="59">
        <f t="shared" si="298"/>
        <v>0</v>
      </c>
      <c r="O3376" s="59">
        <f t="shared" si="296"/>
        <v>0</v>
      </c>
      <c r="P3376" s="59">
        <f t="shared" si="299"/>
        <v>0</v>
      </c>
    </row>
    <row r="3377" spans="12:16" ht="15" hidden="1" customHeight="1">
      <c r="L3377" s="58" t="str">
        <f t="shared" si="300"/>
        <v>-</v>
      </c>
      <c r="M3377" s="59">
        <f t="shared" si="295"/>
        <v>0</v>
      </c>
      <c r="N3377" s="59">
        <f t="shared" si="298"/>
        <v>0</v>
      </c>
      <c r="O3377" s="59">
        <f t="shared" si="296"/>
        <v>0</v>
      </c>
      <c r="P3377" s="59">
        <f t="shared" si="299"/>
        <v>0</v>
      </c>
    </row>
    <row r="3378" spans="12:16" ht="15" hidden="1" customHeight="1">
      <c r="L3378" s="58" t="str">
        <f t="shared" si="300"/>
        <v>-</v>
      </c>
      <c r="M3378" s="59">
        <f t="shared" si="295"/>
        <v>0</v>
      </c>
      <c r="N3378" s="59">
        <f t="shared" si="298"/>
        <v>0</v>
      </c>
      <c r="O3378" s="59">
        <f t="shared" si="296"/>
        <v>0</v>
      </c>
      <c r="P3378" s="59">
        <f t="shared" si="299"/>
        <v>0</v>
      </c>
    </row>
    <row r="3379" spans="12:16" ht="15" hidden="1" customHeight="1">
      <c r="L3379" s="58" t="str">
        <f t="shared" si="300"/>
        <v>-</v>
      </c>
      <c r="M3379" s="59">
        <f t="shared" si="295"/>
        <v>0</v>
      </c>
      <c r="N3379" s="59">
        <f t="shared" si="298"/>
        <v>0</v>
      </c>
      <c r="O3379" s="59">
        <f t="shared" si="296"/>
        <v>0</v>
      </c>
      <c r="P3379" s="59">
        <f t="shared" si="299"/>
        <v>0</v>
      </c>
    </row>
    <row r="3380" spans="12:16" ht="15" hidden="1" customHeight="1">
      <c r="L3380" s="58" t="str">
        <f t="shared" si="300"/>
        <v>-</v>
      </c>
      <c r="M3380" s="59">
        <f t="shared" si="295"/>
        <v>0</v>
      </c>
      <c r="N3380" s="59">
        <f t="shared" si="298"/>
        <v>0</v>
      </c>
      <c r="O3380" s="59">
        <f t="shared" si="296"/>
        <v>0</v>
      </c>
      <c r="P3380" s="59">
        <f t="shared" si="299"/>
        <v>0</v>
      </c>
    </row>
    <row r="3381" spans="12:16" ht="15" hidden="1" customHeight="1">
      <c r="L3381" s="58" t="str">
        <f t="shared" si="300"/>
        <v>-</v>
      </c>
      <c r="M3381" s="59">
        <f t="shared" si="295"/>
        <v>0</v>
      </c>
      <c r="N3381" s="59">
        <f t="shared" si="298"/>
        <v>0</v>
      </c>
      <c r="O3381" s="59">
        <f t="shared" si="296"/>
        <v>0</v>
      </c>
      <c r="P3381" s="59">
        <f t="shared" si="299"/>
        <v>0</v>
      </c>
    </row>
    <row r="3382" spans="12:16" ht="15" hidden="1" customHeight="1">
      <c r="L3382" s="58" t="str">
        <f t="shared" si="300"/>
        <v>-</v>
      </c>
      <c r="M3382" s="59">
        <f t="shared" si="295"/>
        <v>0</v>
      </c>
      <c r="N3382" s="59">
        <f t="shared" si="298"/>
        <v>0</v>
      </c>
      <c r="O3382" s="59">
        <f t="shared" si="296"/>
        <v>0</v>
      </c>
      <c r="P3382" s="59">
        <f t="shared" si="299"/>
        <v>0</v>
      </c>
    </row>
    <row r="3383" spans="12:16" ht="15" hidden="1" customHeight="1">
      <c r="L3383" s="58" t="str">
        <f t="shared" si="300"/>
        <v>-</v>
      </c>
      <c r="M3383" s="59">
        <f t="shared" si="295"/>
        <v>0</v>
      </c>
      <c r="N3383" s="59">
        <f t="shared" si="298"/>
        <v>0</v>
      </c>
      <c r="O3383" s="59">
        <f t="shared" si="296"/>
        <v>0</v>
      </c>
      <c r="P3383" s="59">
        <f t="shared" si="299"/>
        <v>0</v>
      </c>
    </row>
    <row r="3384" spans="12:16" ht="15" hidden="1" customHeight="1">
      <c r="L3384" s="58" t="str">
        <f t="shared" si="300"/>
        <v>-</v>
      </c>
      <c r="M3384" s="59">
        <f t="shared" si="295"/>
        <v>0</v>
      </c>
      <c r="N3384" s="59">
        <f t="shared" si="298"/>
        <v>0</v>
      </c>
      <c r="O3384" s="59">
        <f t="shared" si="296"/>
        <v>0</v>
      </c>
      <c r="P3384" s="59">
        <f t="shared" si="299"/>
        <v>0</v>
      </c>
    </row>
    <row r="3385" spans="12:16" ht="15" hidden="1" customHeight="1">
      <c r="L3385" s="58" t="str">
        <f t="shared" si="300"/>
        <v>-</v>
      </c>
      <c r="M3385" s="59">
        <f t="shared" si="295"/>
        <v>0</v>
      </c>
      <c r="N3385" s="59">
        <f t="shared" si="298"/>
        <v>0</v>
      </c>
      <c r="O3385" s="59">
        <f t="shared" si="296"/>
        <v>0</v>
      </c>
      <c r="P3385" s="59">
        <f t="shared" si="299"/>
        <v>0</v>
      </c>
    </row>
    <row r="3386" spans="12:16" ht="15" hidden="1" customHeight="1">
      <c r="L3386" s="58" t="str">
        <f t="shared" si="300"/>
        <v>-</v>
      </c>
      <c r="M3386" s="59">
        <f t="shared" si="295"/>
        <v>0</v>
      </c>
      <c r="N3386" s="59">
        <f t="shared" si="298"/>
        <v>0</v>
      </c>
      <c r="O3386" s="59">
        <f t="shared" si="296"/>
        <v>0</v>
      </c>
      <c r="P3386" s="59">
        <f t="shared" si="299"/>
        <v>0</v>
      </c>
    </row>
    <row r="3387" spans="12:16" ht="15" hidden="1" customHeight="1">
      <c r="L3387" s="58" t="str">
        <f t="shared" si="300"/>
        <v>-</v>
      </c>
      <c r="M3387" s="59">
        <f t="shared" si="295"/>
        <v>0</v>
      </c>
      <c r="N3387" s="59">
        <f t="shared" si="298"/>
        <v>0</v>
      </c>
      <c r="O3387" s="59">
        <f t="shared" si="296"/>
        <v>0</v>
      </c>
      <c r="P3387" s="59">
        <f t="shared" si="299"/>
        <v>0</v>
      </c>
    </row>
    <row r="3388" spans="12:16" ht="15" hidden="1" customHeight="1">
      <c r="L3388" s="58" t="str">
        <f t="shared" si="300"/>
        <v>-</v>
      </c>
      <c r="M3388" s="59">
        <f t="shared" si="295"/>
        <v>0</v>
      </c>
      <c r="N3388" s="59">
        <f t="shared" si="298"/>
        <v>0</v>
      </c>
      <c r="O3388" s="59">
        <f t="shared" si="296"/>
        <v>0</v>
      </c>
      <c r="P3388" s="59">
        <f t="shared" si="299"/>
        <v>0</v>
      </c>
    </row>
    <row r="3389" spans="12:16" ht="15" hidden="1" customHeight="1">
      <c r="L3389" s="58" t="str">
        <f t="shared" si="300"/>
        <v>-</v>
      </c>
      <c r="M3389" s="59">
        <f t="shared" si="295"/>
        <v>0</v>
      </c>
      <c r="N3389" s="59">
        <f t="shared" si="298"/>
        <v>0</v>
      </c>
      <c r="O3389" s="59">
        <f t="shared" si="296"/>
        <v>0</v>
      </c>
      <c r="P3389" s="59">
        <f t="shared" si="299"/>
        <v>0</v>
      </c>
    </row>
    <row r="3390" spans="12:16" ht="15" hidden="1" customHeight="1">
      <c r="L3390" s="58" t="str">
        <f t="shared" si="300"/>
        <v>-</v>
      </c>
      <c r="M3390" s="59">
        <f t="shared" si="295"/>
        <v>0</v>
      </c>
      <c r="N3390" s="59">
        <f t="shared" si="298"/>
        <v>0</v>
      </c>
      <c r="O3390" s="59">
        <f t="shared" si="296"/>
        <v>0</v>
      </c>
      <c r="P3390" s="59">
        <f t="shared" si="299"/>
        <v>0</v>
      </c>
    </row>
    <row r="3391" spans="12:16" ht="15" hidden="1" customHeight="1">
      <c r="L3391" s="58" t="str">
        <f t="shared" si="300"/>
        <v>-</v>
      </c>
      <c r="M3391" s="59">
        <f t="shared" si="295"/>
        <v>0</v>
      </c>
      <c r="N3391" s="59">
        <f t="shared" si="298"/>
        <v>0</v>
      </c>
      <c r="O3391" s="59">
        <f t="shared" si="296"/>
        <v>0</v>
      </c>
      <c r="P3391" s="59">
        <f t="shared" si="299"/>
        <v>0</v>
      </c>
    </row>
    <row r="3392" spans="12:16" ht="15" hidden="1" customHeight="1">
      <c r="L3392" s="58" t="str">
        <f t="shared" si="300"/>
        <v>-</v>
      </c>
      <c r="M3392" s="59">
        <f t="shared" si="295"/>
        <v>0</v>
      </c>
      <c r="N3392" s="59">
        <f t="shared" si="298"/>
        <v>0</v>
      </c>
      <c r="O3392" s="59">
        <f t="shared" si="296"/>
        <v>0</v>
      </c>
      <c r="P3392" s="59">
        <f t="shared" si="299"/>
        <v>0</v>
      </c>
    </row>
    <row r="3393" spans="12:16" ht="15" hidden="1" customHeight="1">
      <c r="L3393" s="58" t="str">
        <f t="shared" si="300"/>
        <v>-</v>
      </c>
      <c r="M3393" s="59">
        <f t="shared" si="295"/>
        <v>0</v>
      </c>
      <c r="N3393" s="59">
        <f t="shared" si="298"/>
        <v>0</v>
      </c>
      <c r="O3393" s="59">
        <f t="shared" si="296"/>
        <v>0</v>
      </c>
      <c r="P3393" s="59">
        <f t="shared" si="299"/>
        <v>0</v>
      </c>
    </row>
    <row r="3394" spans="12:16" ht="15" hidden="1" customHeight="1">
      <c r="L3394" s="58" t="str">
        <f t="shared" si="300"/>
        <v>-</v>
      </c>
      <c r="M3394" s="59">
        <f t="shared" si="295"/>
        <v>0</v>
      </c>
      <c r="N3394" s="59">
        <f t="shared" ref="N3394:N3451" si="301">IF(ISNUMBER(N3393),N3393-M3394,$E$8)</f>
        <v>0</v>
      </c>
      <c r="O3394" s="59">
        <f t="shared" si="296"/>
        <v>0</v>
      </c>
      <c r="P3394" s="59">
        <f t="shared" ref="P3394:P3451" si="302">IFERROR(IF(ISNUMBER(N3393),N3393,$E$8)*3%/IF(MOD(YEAR(L3394),4),365,366)*IF(ISBLANK(L3393),(L3394-$F$5),L3394-L3393),0)</f>
        <v>0</v>
      </c>
    </row>
    <row r="3395" spans="12:16" ht="15" hidden="1" customHeight="1">
      <c r="L3395" s="58" t="str">
        <f t="shared" si="300"/>
        <v>-</v>
      </c>
      <c r="M3395" s="59">
        <f t="shared" si="295"/>
        <v>0</v>
      </c>
      <c r="N3395" s="59">
        <f t="shared" si="301"/>
        <v>0</v>
      </c>
      <c r="O3395" s="59">
        <f t="shared" si="296"/>
        <v>0</v>
      </c>
      <c r="P3395" s="59">
        <f t="shared" si="302"/>
        <v>0</v>
      </c>
    </row>
    <row r="3396" spans="12:16" ht="15" hidden="1" customHeight="1">
      <c r="L3396" s="58" t="str">
        <f t="shared" si="300"/>
        <v>-</v>
      </c>
      <c r="M3396" s="59">
        <f t="shared" si="295"/>
        <v>0</v>
      </c>
      <c r="N3396" s="59">
        <f t="shared" si="301"/>
        <v>0</v>
      </c>
      <c r="O3396" s="59">
        <f t="shared" si="296"/>
        <v>0</v>
      </c>
      <c r="P3396" s="59">
        <f t="shared" si="302"/>
        <v>0</v>
      </c>
    </row>
    <row r="3397" spans="12:16" ht="15" hidden="1" customHeight="1">
      <c r="L3397" s="58" t="str">
        <f t="shared" si="300"/>
        <v>-</v>
      </c>
      <c r="M3397" s="59">
        <f t="shared" si="295"/>
        <v>0</v>
      </c>
      <c r="N3397" s="59">
        <f t="shared" si="301"/>
        <v>0</v>
      </c>
      <c r="O3397" s="59">
        <f t="shared" si="296"/>
        <v>0</v>
      </c>
      <c r="P3397" s="59">
        <f t="shared" si="302"/>
        <v>0</v>
      </c>
    </row>
    <row r="3398" spans="12:16" ht="15" hidden="1" customHeight="1">
      <c r="L3398" s="58" t="str">
        <f t="shared" si="300"/>
        <v>-</v>
      </c>
      <c r="M3398" s="59">
        <f t="shared" si="295"/>
        <v>0</v>
      </c>
      <c r="N3398" s="59">
        <f t="shared" si="301"/>
        <v>0</v>
      </c>
      <c r="O3398" s="59">
        <f t="shared" si="296"/>
        <v>0</v>
      </c>
      <c r="P3398" s="59">
        <f t="shared" si="302"/>
        <v>0</v>
      </c>
    </row>
    <row r="3399" spans="12:16" ht="15" hidden="1" customHeight="1">
      <c r="L3399" s="58" t="str">
        <f t="shared" si="300"/>
        <v>-</v>
      </c>
      <c r="M3399" s="59">
        <f t="shared" si="295"/>
        <v>0</v>
      </c>
      <c r="N3399" s="59">
        <f t="shared" si="301"/>
        <v>0</v>
      </c>
      <c r="O3399" s="59">
        <f t="shared" si="296"/>
        <v>0</v>
      </c>
      <c r="P3399" s="59">
        <f t="shared" si="302"/>
        <v>0</v>
      </c>
    </row>
    <row r="3400" spans="12:16" ht="15" hidden="1" customHeight="1">
      <c r="L3400" s="58" t="str">
        <f t="shared" si="300"/>
        <v>-</v>
      </c>
      <c r="M3400" s="59">
        <f t="shared" si="295"/>
        <v>0</v>
      </c>
      <c r="N3400" s="59">
        <f t="shared" si="301"/>
        <v>0</v>
      </c>
      <c r="O3400" s="59">
        <f t="shared" si="296"/>
        <v>0</v>
      </c>
      <c r="P3400" s="59">
        <f t="shared" si="302"/>
        <v>0</v>
      </c>
    </row>
    <row r="3401" spans="12:16" ht="15" hidden="1" customHeight="1">
      <c r="L3401" s="58" t="str">
        <f t="shared" si="300"/>
        <v>-</v>
      </c>
      <c r="M3401" s="59">
        <f t="shared" si="295"/>
        <v>0</v>
      </c>
      <c r="N3401" s="59">
        <f t="shared" si="301"/>
        <v>0</v>
      </c>
      <c r="O3401" s="59">
        <f t="shared" si="296"/>
        <v>0</v>
      </c>
      <c r="P3401" s="59">
        <f t="shared" si="302"/>
        <v>0</v>
      </c>
    </row>
    <row r="3402" spans="12:16" ht="15" hidden="1" customHeight="1">
      <c r="L3402" s="58" t="str">
        <f t="shared" si="300"/>
        <v>-</v>
      </c>
      <c r="M3402" s="59">
        <f t="shared" si="295"/>
        <v>0</v>
      </c>
      <c r="N3402" s="59">
        <f t="shared" si="301"/>
        <v>0</v>
      </c>
      <c r="O3402" s="59">
        <f t="shared" si="296"/>
        <v>0</v>
      </c>
      <c r="P3402" s="59">
        <f t="shared" si="302"/>
        <v>0</v>
      </c>
    </row>
    <row r="3403" spans="12:16" ht="15" hidden="1" customHeight="1">
      <c r="L3403" s="58" t="str">
        <f t="shared" si="300"/>
        <v>-</v>
      </c>
      <c r="M3403" s="59">
        <f t="shared" si="295"/>
        <v>0</v>
      </c>
      <c r="N3403" s="59">
        <f t="shared" si="301"/>
        <v>0</v>
      </c>
      <c r="O3403" s="59">
        <f t="shared" si="296"/>
        <v>0</v>
      </c>
      <c r="P3403" s="59">
        <f t="shared" si="302"/>
        <v>0</v>
      </c>
    </row>
    <row r="3404" spans="12:16" ht="15" hidden="1" customHeight="1">
      <c r="L3404" s="58" t="str">
        <f t="shared" si="300"/>
        <v>-</v>
      </c>
      <c r="M3404" s="59">
        <f t="shared" si="295"/>
        <v>0</v>
      </c>
      <c r="N3404" s="59">
        <f t="shared" si="301"/>
        <v>0</v>
      </c>
      <c r="O3404" s="59">
        <f t="shared" si="296"/>
        <v>0</v>
      </c>
      <c r="P3404" s="59">
        <f t="shared" si="302"/>
        <v>0</v>
      </c>
    </row>
    <row r="3405" spans="12:16" ht="15" hidden="1" customHeight="1">
      <c r="L3405" s="58" t="str">
        <f t="shared" si="300"/>
        <v>-</v>
      </c>
      <c r="M3405" s="59">
        <f t="shared" si="295"/>
        <v>0</v>
      </c>
      <c r="N3405" s="59">
        <f t="shared" si="301"/>
        <v>0</v>
      </c>
      <c r="O3405" s="59">
        <f t="shared" si="296"/>
        <v>0</v>
      </c>
      <c r="P3405" s="59">
        <f t="shared" si="302"/>
        <v>0</v>
      </c>
    </row>
    <row r="3406" spans="12:16" ht="15" hidden="1" customHeight="1">
      <c r="L3406" s="58" t="str">
        <f t="shared" si="300"/>
        <v>-</v>
      </c>
      <c r="M3406" s="59">
        <f t="shared" si="295"/>
        <v>0</v>
      </c>
      <c r="N3406" s="59">
        <f t="shared" si="301"/>
        <v>0</v>
      </c>
      <c r="O3406" s="59">
        <f t="shared" si="296"/>
        <v>0</v>
      </c>
      <c r="P3406" s="59">
        <f t="shared" si="302"/>
        <v>0</v>
      </c>
    </row>
    <row r="3407" spans="12:16" ht="15" hidden="1" customHeight="1">
      <c r="L3407" s="58" t="str">
        <f t="shared" si="300"/>
        <v>-</v>
      </c>
      <c r="M3407" s="59">
        <f t="shared" si="295"/>
        <v>0</v>
      </c>
      <c r="N3407" s="59">
        <f t="shared" si="301"/>
        <v>0</v>
      </c>
      <c r="O3407" s="59">
        <f t="shared" si="296"/>
        <v>0</v>
      </c>
      <c r="P3407" s="59">
        <f t="shared" si="302"/>
        <v>0</v>
      </c>
    </row>
    <row r="3408" spans="12:16" ht="15" hidden="1" customHeight="1">
      <c r="L3408" s="58" t="str">
        <f t="shared" si="300"/>
        <v>-</v>
      </c>
      <c r="M3408" s="59">
        <f t="shared" si="295"/>
        <v>0</v>
      </c>
      <c r="N3408" s="59">
        <f t="shared" si="301"/>
        <v>0</v>
      </c>
      <c r="O3408" s="59">
        <f t="shared" si="296"/>
        <v>0</v>
      </c>
      <c r="P3408" s="59">
        <f t="shared" si="302"/>
        <v>0</v>
      </c>
    </row>
    <row r="3409" spans="12:16" ht="15" hidden="1" customHeight="1">
      <c r="L3409" s="58" t="str">
        <f t="shared" si="300"/>
        <v>-</v>
      </c>
      <c r="M3409" s="59">
        <f t="shared" si="295"/>
        <v>0</v>
      </c>
      <c r="N3409" s="59">
        <f t="shared" si="301"/>
        <v>0</v>
      </c>
      <c r="O3409" s="59">
        <f t="shared" si="296"/>
        <v>0</v>
      </c>
      <c r="P3409" s="59">
        <f t="shared" si="302"/>
        <v>0</v>
      </c>
    </row>
    <row r="3410" spans="12:16" ht="15" hidden="1" customHeight="1">
      <c r="L3410" s="58" t="str">
        <f t="shared" si="300"/>
        <v>-</v>
      </c>
      <c r="M3410" s="59">
        <f t="shared" si="295"/>
        <v>0</v>
      </c>
      <c r="N3410" s="59">
        <f t="shared" si="301"/>
        <v>0</v>
      </c>
      <c r="O3410" s="59">
        <f t="shared" si="296"/>
        <v>0</v>
      </c>
      <c r="P3410" s="59">
        <f t="shared" si="302"/>
        <v>0</v>
      </c>
    </row>
    <row r="3411" spans="12:16" ht="15" hidden="1" customHeight="1">
      <c r="L3411" s="58" t="str">
        <f t="shared" si="300"/>
        <v>-</v>
      </c>
      <c r="M3411" s="59">
        <f t="shared" ref="M3411:M3474" si="303">IFERROR(VLOOKUP(L3411,$B$19:$E$80,4,FALSE),0)</f>
        <v>0</v>
      </c>
      <c r="N3411" s="59">
        <f t="shared" si="301"/>
        <v>0</v>
      </c>
      <c r="O3411" s="59">
        <f t="shared" ref="O3411:O3474" si="304">IFERROR(IF(ISNUMBER(N3410),N3410,$E$8)*IF(L3411&gt;=$J$8,$E$12,$E$12)/IF(MOD(YEAR(L3411),4),365,366)*IF(ISBLANK(L3410),L3411-$F$5,L3411-L3410),0)</f>
        <v>0</v>
      </c>
      <c r="P3411" s="59">
        <f t="shared" si="302"/>
        <v>0</v>
      </c>
    </row>
    <row r="3412" spans="12:16" ht="15" hidden="1" customHeight="1">
      <c r="L3412" s="58" t="str">
        <f t="shared" si="300"/>
        <v>-</v>
      </c>
      <c r="M3412" s="59">
        <f t="shared" si="303"/>
        <v>0</v>
      </c>
      <c r="N3412" s="59">
        <f t="shared" si="301"/>
        <v>0</v>
      </c>
      <c r="O3412" s="59">
        <f t="shared" si="304"/>
        <v>0</v>
      </c>
      <c r="P3412" s="59">
        <f t="shared" si="302"/>
        <v>0</v>
      </c>
    </row>
    <row r="3413" spans="12:16" ht="15" hidden="1" customHeight="1">
      <c r="L3413" s="58" t="str">
        <f t="shared" si="300"/>
        <v>-</v>
      </c>
      <c r="M3413" s="59">
        <f t="shared" si="303"/>
        <v>0</v>
      </c>
      <c r="N3413" s="59">
        <f t="shared" si="301"/>
        <v>0</v>
      </c>
      <c r="O3413" s="59">
        <f t="shared" si="304"/>
        <v>0</v>
      </c>
      <c r="P3413" s="59">
        <f t="shared" si="302"/>
        <v>0</v>
      </c>
    </row>
    <row r="3414" spans="12:16" ht="15" hidden="1" customHeight="1">
      <c r="L3414" s="58" t="str">
        <f t="shared" si="300"/>
        <v>-</v>
      </c>
      <c r="M3414" s="59">
        <f t="shared" si="303"/>
        <v>0</v>
      </c>
      <c r="N3414" s="59">
        <f t="shared" si="301"/>
        <v>0</v>
      </c>
      <c r="O3414" s="59">
        <f t="shared" si="304"/>
        <v>0</v>
      </c>
      <c r="P3414" s="59">
        <f t="shared" si="302"/>
        <v>0</v>
      </c>
    </row>
    <row r="3415" spans="12:16" ht="15" hidden="1" customHeight="1">
      <c r="L3415" s="58" t="str">
        <f t="shared" si="300"/>
        <v>-</v>
      </c>
      <c r="M3415" s="59">
        <f t="shared" si="303"/>
        <v>0</v>
      </c>
      <c r="N3415" s="59">
        <f t="shared" si="301"/>
        <v>0</v>
      </c>
      <c r="O3415" s="59">
        <f t="shared" si="304"/>
        <v>0</v>
      </c>
      <c r="P3415" s="59">
        <f t="shared" si="302"/>
        <v>0</v>
      </c>
    </row>
    <row r="3416" spans="12:16" ht="15" hidden="1" customHeight="1">
      <c r="L3416" s="58" t="str">
        <f t="shared" si="300"/>
        <v>-</v>
      </c>
      <c r="M3416" s="59">
        <f t="shared" si="303"/>
        <v>0</v>
      </c>
      <c r="N3416" s="59">
        <f t="shared" si="301"/>
        <v>0</v>
      </c>
      <c r="O3416" s="59">
        <f t="shared" si="304"/>
        <v>0</v>
      </c>
      <c r="P3416" s="59">
        <f t="shared" si="302"/>
        <v>0</v>
      </c>
    </row>
    <row r="3417" spans="12:16" ht="15" hidden="1" customHeight="1">
      <c r="L3417" s="58" t="str">
        <f t="shared" si="300"/>
        <v>-</v>
      </c>
      <c r="M3417" s="59">
        <f t="shared" si="303"/>
        <v>0</v>
      </c>
      <c r="N3417" s="59">
        <f t="shared" si="301"/>
        <v>0</v>
      </c>
      <c r="O3417" s="59">
        <f t="shared" si="304"/>
        <v>0</v>
      </c>
      <c r="P3417" s="59">
        <f t="shared" si="302"/>
        <v>0</v>
      </c>
    </row>
    <row r="3418" spans="12:16" ht="15" hidden="1" customHeight="1">
      <c r="L3418" s="58" t="str">
        <f t="shared" si="300"/>
        <v>-</v>
      </c>
      <c r="M3418" s="59">
        <f t="shared" si="303"/>
        <v>0</v>
      </c>
      <c r="N3418" s="59">
        <f t="shared" si="301"/>
        <v>0</v>
      </c>
      <c r="O3418" s="59">
        <f t="shared" si="304"/>
        <v>0</v>
      </c>
      <c r="P3418" s="59">
        <f t="shared" si="302"/>
        <v>0</v>
      </c>
    </row>
    <row r="3419" spans="12:16" ht="15" hidden="1" customHeight="1">
      <c r="L3419" s="58" t="str">
        <f t="shared" si="300"/>
        <v>-</v>
      </c>
      <c r="M3419" s="59">
        <f t="shared" si="303"/>
        <v>0</v>
      </c>
      <c r="N3419" s="59">
        <f t="shared" si="301"/>
        <v>0</v>
      </c>
      <c r="O3419" s="59">
        <f t="shared" si="304"/>
        <v>0</v>
      </c>
      <c r="P3419" s="59">
        <f t="shared" si="302"/>
        <v>0</v>
      </c>
    </row>
    <row r="3420" spans="12:16" ht="15" hidden="1" customHeight="1">
      <c r="L3420" s="58" t="str">
        <f t="shared" si="300"/>
        <v>-</v>
      </c>
      <c r="M3420" s="59">
        <f t="shared" si="303"/>
        <v>0</v>
      </c>
      <c r="N3420" s="59">
        <f t="shared" si="301"/>
        <v>0</v>
      </c>
      <c r="O3420" s="59">
        <f t="shared" si="304"/>
        <v>0</v>
      </c>
      <c r="P3420" s="59">
        <f t="shared" si="302"/>
        <v>0</v>
      </c>
    </row>
    <row r="3421" spans="12:16" ht="15" hidden="1" customHeight="1">
      <c r="L3421" s="58" t="str">
        <f t="shared" si="300"/>
        <v>-</v>
      </c>
      <c r="M3421" s="59">
        <f t="shared" si="303"/>
        <v>0</v>
      </c>
      <c r="N3421" s="59">
        <f t="shared" si="301"/>
        <v>0</v>
      </c>
      <c r="O3421" s="59">
        <f t="shared" si="304"/>
        <v>0</v>
      </c>
      <c r="P3421" s="59">
        <f t="shared" si="302"/>
        <v>0</v>
      </c>
    </row>
    <row r="3422" spans="12:16" ht="15" hidden="1" customHeight="1">
      <c r="L3422" s="58" t="str">
        <f t="shared" si="300"/>
        <v>-</v>
      </c>
      <c r="M3422" s="59">
        <f t="shared" si="303"/>
        <v>0</v>
      </c>
      <c r="N3422" s="59">
        <f t="shared" si="301"/>
        <v>0</v>
      </c>
      <c r="O3422" s="59">
        <f t="shared" si="304"/>
        <v>0</v>
      </c>
      <c r="P3422" s="59">
        <f t="shared" si="302"/>
        <v>0</v>
      </c>
    </row>
    <row r="3423" spans="12:16" ht="15" hidden="1" customHeight="1">
      <c r="L3423" s="58" t="str">
        <f t="shared" si="300"/>
        <v>-</v>
      </c>
      <c r="M3423" s="59">
        <f t="shared" si="303"/>
        <v>0</v>
      </c>
      <c r="N3423" s="59">
        <f t="shared" si="301"/>
        <v>0</v>
      </c>
      <c r="O3423" s="59">
        <f t="shared" si="304"/>
        <v>0</v>
      </c>
      <c r="P3423" s="59">
        <f t="shared" si="302"/>
        <v>0</v>
      </c>
    </row>
    <row r="3424" spans="12:16" ht="15" hidden="1" customHeight="1">
      <c r="L3424" s="58" t="str">
        <f t="shared" si="300"/>
        <v>-</v>
      </c>
      <c r="M3424" s="59">
        <f t="shared" si="303"/>
        <v>0</v>
      </c>
      <c r="N3424" s="59">
        <f t="shared" si="301"/>
        <v>0</v>
      </c>
      <c r="O3424" s="59">
        <f t="shared" si="304"/>
        <v>0</v>
      </c>
      <c r="P3424" s="59">
        <f t="shared" si="302"/>
        <v>0</v>
      </c>
    </row>
    <row r="3425" spans="12:16" ht="15" hidden="1" customHeight="1">
      <c r="L3425" s="58" t="str">
        <f t="shared" si="300"/>
        <v>-</v>
      </c>
      <c r="M3425" s="59">
        <f t="shared" si="303"/>
        <v>0</v>
      </c>
      <c r="N3425" s="59">
        <f t="shared" si="301"/>
        <v>0</v>
      </c>
      <c r="O3425" s="59">
        <f t="shared" si="304"/>
        <v>0</v>
      </c>
      <c r="P3425" s="59">
        <f t="shared" si="302"/>
        <v>0</v>
      </c>
    </row>
    <row r="3426" spans="12:16" ht="15" hidden="1" customHeight="1">
      <c r="L3426" s="58" t="str">
        <f t="shared" si="300"/>
        <v>-</v>
      </c>
      <c r="M3426" s="59">
        <f t="shared" si="303"/>
        <v>0</v>
      </c>
      <c r="N3426" s="59">
        <f t="shared" si="301"/>
        <v>0</v>
      </c>
      <c r="O3426" s="59">
        <f t="shared" si="304"/>
        <v>0</v>
      </c>
      <c r="P3426" s="59">
        <f t="shared" si="302"/>
        <v>0</v>
      </c>
    </row>
    <row r="3427" spans="12:16" ht="15" hidden="1" customHeight="1">
      <c r="L3427" s="58" t="str">
        <f t="shared" si="300"/>
        <v>-</v>
      </c>
      <c r="M3427" s="59">
        <f t="shared" si="303"/>
        <v>0</v>
      </c>
      <c r="N3427" s="59">
        <f t="shared" si="301"/>
        <v>0</v>
      </c>
      <c r="O3427" s="59">
        <f t="shared" si="304"/>
        <v>0</v>
      </c>
      <c r="P3427" s="59">
        <f t="shared" si="302"/>
        <v>0</v>
      </c>
    </row>
    <row r="3428" spans="12:16" ht="15" hidden="1" customHeight="1">
      <c r="L3428" s="58" t="str">
        <f t="shared" ref="L3428:L3491" si="305">IFERROR(IF(MAX(L3427+1,$F$5+1)&gt;Дата_погашения_Займа,"-",MAX(L3427+1,$F$5+1)),"-")</f>
        <v>-</v>
      </c>
      <c r="M3428" s="59">
        <f t="shared" si="303"/>
        <v>0</v>
      </c>
      <c r="N3428" s="59">
        <f t="shared" si="301"/>
        <v>0</v>
      </c>
      <c r="O3428" s="59">
        <f t="shared" si="304"/>
        <v>0</v>
      </c>
      <c r="P3428" s="59">
        <f t="shared" si="302"/>
        <v>0</v>
      </c>
    </row>
    <row r="3429" spans="12:16" ht="15" hidden="1" customHeight="1">
      <c r="L3429" s="58" t="str">
        <f t="shared" si="305"/>
        <v>-</v>
      </c>
      <c r="M3429" s="59">
        <f t="shared" si="303"/>
        <v>0</v>
      </c>
      <c r="N3429" s="59">
        <f t="shared" si="301"/>
        <v>0</v>
      </c>
      <c r="O3429" s="59">
        <f t="shared" si="304"/>
        <v>0</v>
      </c>
      <c r="P3429" s="59">
        <f t="shared" si="302"/>
        <v>0</v>
      </c>
    </row>
    <row r="3430" spans="12:16" ht="15" hidden="1" customHeight="1">
      <c r="L3430" s="58" t="str">
        <f t="shared" si="305"/>
        <v>-</v>
      </c>
      <c r="M3430" s="59">
        <f t="shared" si="303"/>
        <v>0</v>
      </c>
      <c r="N3430" s="59">
        <f t="shared" si="301"/>
        <v>0</v>
      </c>
      <c r="O3430" s="59">
        <f t="shared" si="304"/>
        <v>0</v>
      </c>
      <c r="P3430" s="59">
        <f t="shared" si="302"/>
        <v>0</v>
      </c>
    </row>
    <row r="3431" spans="12:16" ht="15" hidden="1" customHeight="1">
      <c r="L3431" s="58" t="str">
        <f t="shared" si="305"/>
        <v>-</v>
      </c>
      <c r="M3431" s="59">
        <f t="shared" si="303"/>
        <v>0</v>
      </c>
      <c r="N3431" s="59">
        <f t="shared" si="301"/>
        <v>0</v>
      </c>
      <c r="O3431" s="59">
        <f t="shared" si="304"/>
        <v>0</v>
      </c>
      <c r="P3431" s="59">
        <f t="shared" si="302"/>
        <v>0</v>
      </c>
    </row>
    <row r="3432" spans="12:16" ht="15" hidden="1" customHeight="1">
      <c r="L3432" s="58" t="str">
        <f t="shared" si="305"/>
        <v>-</v>
      </c>
      <c r="M3432" s="59">
        <f t="shared" si="303"/>
        <v>0</v>
      </c>
      <c r="N3432" s="59">
        <f t="shared" si="301"/>
        <v>0</v>
      </c>
      <c r="O3432" s="59">
        <f t="shared" si="304"/>
        <v>0</v>
      </c>
      <c r="P3432" s="59">
        <f t="shared" si="302"/>
        <v>0</v>
      </c>
    </row>
    <row r="3433" spans="12:16" ht="15" hidden="1" customHeight="1">
      <c r="L3433" s="58" t="str">
        <f t="shared" si="305"/>
        <v>-</v>
      </c>
      <c r="M3433" s="59">
        <f t="shared" si="303"/>
        <v>0</v>
      </c>
      <c r="N3433" s="59">
        <f t="shared" si="301"/>
        <v>0</v>
      </c>
      <c r="O3433" s="59">
        <f t="shared" si="304"/>
        <v>0</v>
      </c>
      <c r="P3433" s="59">
        <f t="shared" si="302"/>
        <v>0</v>
      </c>
    </row>
    <row r="3434" spans="12:16" ht="15" hidden="1" customHeight="1">
      <c r="L3434" s="58" t="str">
        <f t="shared" si="305"/>
        <v>-</v>
      </c>
      <c r="M3434" s="59">
        <f t="shared" si="303"/>
        <v>0</v>
      </c>
      <c r="N3434" s="59">
        <f t="shared" si="301"/>
        <v>0</v>
      </c>
      <c r="O3434" s="59">
        <f t="shared" si="304"/>
        <v>0</v>
      </c>
      <c r="P3434" s="59">
        <f t="shared" si="302"/>
        <v>0</v>
      </c>
    </row>
    <row r="3435" spans="12:16" ht="15" hidden="1" customHeight="1">
      <c r="L3435" s="58" t="str">
        <f t="shared" si="305"/>
        <v>-</v>
      </c>
      <c r="M3435" s="59">
        <f t="shared" si="303"/>
        <v>0</v>
      </c>
      <c r="N3435" s="59">
        <f t="shared" si="301"/>
        <v>0</v>
      </c>
      <c r="O3435" s="59">
        <f t="shared" si="304"/>
        <v>0</v>
      </c>
      <c r="P3435" s="59">
        <f t="shared" si="302"/>
        <v>0</v>
      </c>
    </row>
    <row r="3436" spans="12:16" ht="15" hidden="1" customHeight="1">
      <c r="L3436" s="58" t="str">
        <f t="shared" si="305"/>
        <v>-</v>
      </c>
      <c r="M3436" s="59">
        <f t="shared" si="303"/>
        <v>0</v>
      </c>
      <c r="N3436" s="59">
        <f t="shared" si="301"/>
        <v>0</v>
      </c>
      <c r="O3436" s="59">
        <f t="shared" si="304"/>
        <v>0</v>
      </c>
      <c r="P3436" s="59">
        <f t="shared" si="302"/>
        <v>0</v>
      </c>
    </row>
    <row r="3437" spans="12:16" ht="15" hidden="1" customHeight="1">
      <c r="L3437" s="58" t="str">
        <f t="shared" si="305"/>
        <v>-</v>
      </c>
      <c r="M3437" s="59">
        <f t="shared" si="303"/>
        <v>0</v>
      </c>
      <c r="N3437" s="59">
        <f t="shared" si="301"/>
        <v>0</v>
      </c>
      <c r="O3437" s="59">
        <f t="shared" si="304"/>
        <v>0</v>
      </c>
      <c r="P3437" s="59">
        <f t="shared" si="302"/>
        <v>0</v>
      </c>
    </row>
    <row r="3438" spans="12:16" ht="15" hidden="1" customHeight="1">
      <c r="L3438" s="58" t="str">
        <f t="shared" si="305"/>
        <v>-</v>
      </c>
      <c r="M3438" s="59">
        <f t="shared" si="303"/>
        <v>0</v>
      </c>
      <c r="N3438" s="59">
        <f t="shared" si="301"/>
        <v>0</v>
      </c>
      <c r="O3438" s="59">
        <f t="shared" si="304"/>
        <v>0</v>
      </c>
      <c r="P3438" s="59">
        <f t="shared" si="302"/>
        <v>0</v>
      </c>
    </row>
    <row r="3439" spans="12:16" ht="15" hidden="1" customHeight="1">
      <c r="L3439" s="58" t="str">
        <f t="shared" si="305"/>
        <v>-</v>
      </c>
      <c r="M3439" s="59">
        <f t="shared" si="303"/>
        <v>0</v>
      </c>
      <c r="N3439" s="59">
        <f t="shared" si="301"/>
        <v>0</v>
      </c>
      <c r="O3439" s="59">
        <f t="shared" si="304"/>
        <v>0</v>
      </c>
      <c r="P3439" s="59">
        <f t="shared" si="302"/>
        <v>0</v>
      </c>
    </row>
    <row r="3440" spans="12:16" ht="15" hidden="1" customHeight="1">
      <c r="L3440" s="58" t="str">
        <f t="shared" si="305"/>
        <v>-</v>
      </c>
      <c r="M3440" s="59">
        <f t="shared" si="303"/>
        <v>0</v>
      </c>
      <c r="N3440" s="59">
        <f t="shared" si="301"/>
        <v>0</v>
      </c>
      <c r="O3440" s="59">
        <f t="shared" si="304"/>
        <v>0</v>
      </c>
      <c r="P3440" s="59">
        <f t="shared" si="302"/>
        <v>0</v>
      </c>
    </row>
    <row r="3441" spans="12:16" ht="15" hidden="1" customHeight="1">
      <c r="L3441" s="58" t="str">
        <f t="shared" si="305"/>
        <v>-</v>
      </c>
      <c r="M3441" s="59">
        <f t="shared" si="303"/>
        <v>0</v>
      </c>
      <c r="N3441" s="59">
        <f t="shared" si="301"/>
        <v>0</v>
      </c>
      <c r="O3441" s="59">
        <f t="shared" si="304"/>
        <v>0</v>
      </c>
      <c r="P3441" s="59">
        <f t="shared" si="302"/>
        <v>0</v>
      </c>
    </row>
    <row r="3442" spans="12:16" ht="15" hidden="1" customHeight="1">
      <c r="L3442" s="58" t="str">
        <f t="shared" si="305"/>
        <v>-</v>
      </c>
      <c r="M3442" s="59">
        <f t="shared" si="303"/>
        <v>0</v>
      </c>
      <c r="N3442" s="59">
        <f t="shared" si="301"/>
        <v>0</v>
      </c>
      <c r="O3442" s="59">
        <f t="shared" si="304"/>
        <v>0</v>
      </c>
      <c r="P3442" s="59">
        <f t="shared" si="302"/>
        <v>0</v>
      </c>
    </row>
    <row r="3443" spans="12:16" ht="15" hidden="1" customHeight="1">
      <c r="L3443" s="58" t="str">
        <f t="shared" si="305"/>
        <v>-</v>
      </c>
      <c r="M3443" s="59">
        <f t="shared" si="303"/>
        <v>0</v>
      </c>
      <c r="N3443" s="59">
        <f t="shared" si="301"/>
        <v>0</v>
      </c>
      <c r="O3443" s="59">
        <f t="shared" si="304"/>
        <v>0</v>
      </c>
      <c r="P3443" s="59">
        <f t="shared" si="302"/>
        <v>0</v>
      </c>
    </row>
    <row r="3444" spans="12:16" ht="15" hidden="1" customHeight="1">
      <c r="L3444" s="58" t="str">
        <f t="shared" si="305"/>
        <v>-</v>
      </c>
      <c r="M3444" s="59">
        <f t="shared" si="303"/>
        <v>0</v>
      </c>
      <c r="N3444" s="59">
        <f t="shared" si="301"/>
        <v>0</v>
      </c>
      <c r="O3444" s="59">
        <f t="shared" si="304"/>
        <v>0</v>
      </c>
      <c r="P3444" s="59">
        <f t="shared" si="302"/>
        <v>0</v>
      </c>
    </row>
    <row r="3445" spans="12:16" ht="15" hidden="1" customHeight="1">
      <c r="L3445" s="58" t="str">
        <f t="shared" si="305"/>
        <v>-</v>
      </c>
      <c r="M3445" s="59">
        <f t="shared" si="303"/>
        <v>0</v>
      </c>
      <c r="N3445" s="59">
        <f t="shared" si="301"/>
        <v>0</v>
      </c>
      <c r="O3445" s="59">
        <f t="shared" si="304"/>
        <v>0</v>
      </c>
      <c r="P3445" s="59">
        <f t="shared" si="302"/>
        <v>0</v>
      </c>
    </row>
    <row r="3446" spans="12:16" ht="15" hidden="1" customHeight="1">
      <c r="L3446" s="58" t="str">
        <f t="shared" si="305"/>
        <v>-</v>
      </c>
      <c r="M3446" s="59">
        <f t="shared" si="303"/>
        <v>0</v>
      </c>
      <c r="N3446" s="59">
        <f t="shared" si="301"/>
        <v>0</v>
      </c>
      <c r="O3446" s="59">
        <f t="shared" si="304"/>
        <v>0</v>
      </c>
      <c r="P3446" s="59">
        <f t="shared" si="302"/>
        <v>0</v>
      </c>
    </row>
    <row r="3447" spans="12:16" ht="15" hidden="1" customHeight="1">
      <c r="L3447" s="58" t="str">
        <f t="shared" si="305"/>
        <v>-</v>
      </c>
      <c r="M3447" s="59">
        <f t="shared" si="303"/>
        <v>0</v>
      </c>
      <c r="N3447" s="59">
        <f t="shared" si="301"/>
        <v>0</v>
      </c>
      <c r="O3447" s="59">
        <f t="shared" si="304"/>
        <v>0</v>
      </c>
      <c r="P3447" s="59">
        <f t="shared" si="302"/>
        <v>0</v>
      </c>
    </row>
    <row r="3448" spans="12:16" ht="15" hidden="1" customHeight="1">
      <c r="L3448" s="58" t="str">
        <f t="shared" si="305"/>
        <v>-</v>
      </c>
      <c r="M3448" s="59">
        <f t="shared" si="303"/>
        <v>0</v>
      </c>
      <c r="N3448" s="59">
        <f t="shared" si="301"/>
        <v>0</v>
      </c>
      <c r="O3448" s="59">
        <f t="shared" si="304"/>
        <v>0</v>
      </c>
      <c r="P3448" s="59">
        <f t="shared" si="302"/>
        <v>0</v>
      </c>
    </row>
    <row r="3449" spans="12:16" ht="15" hidden="1" customHeight="1">
      <c r="L3449" s="58" t="str">
        <f t="shared" si="305"/>
        <v>-</v>
      </c>
      <c r="M3449" s="59">
        <f t="shared" si="303"/>
        <v>0</v>
      </c>
      <c r="N3449" s="59">
        <f t="shared" si="301"/>
        <v>0</v>
      </c>
      <c r="O3449" s="59">
        <f t="shared" si="304"/>
        <v>0</v>
      </c>
      <c r="P3449" s="59">
        <f t="shared" si="302"/>
        <v>0</v>
      </c>
    </row>
    <row r="3450" spans="12:16" ht="15" hidden="1" customHeight="1">
      <c r="L3450" s="58" t="str">
        <f t="shared" si="305"/>
        <v>-</v>
      </c>
      <c r="M3450" s="59">
        <f t="shared" si="303"/>
        <v>0</v>
      </c>
      <c r="N3450" s="59">
        <f t="shared" si="301"/>
        <v>0</v>
      </c>
      <c r="O3450" s="59">
        <f t="shared" si="304"/>
        <v>0</v>
      </c>
      <c r="P3450" s="59">
        <f t="shared" si="302"/>
        <v>0</v>
      </c>
    </row>
    <row r="3451" spans="12:16" ht="15" hidden="1" customHeight="1">
      <c r="L3451" s="58" t="str">
        <f t="shared" si="305"/>
        <v>-</v>
      </c>
      <c r="M3451" s="59">
        <f t="shared" si="303"/>
        <v>0</v>
      </c>
      <c r="N3451" s="59">
        <f t="shared" si="301"/>
        <v>0</v>
      </c>
      <c r="O3451" s="59">
        <f t="shared" si="304"/>
        <v>0</v>
      </c>
      <c r="P3451" s="59">
        <f t="shared" si="302"/>
        <v>0</v>
      </c>
    </row>
    <row r="3452" spans="12:16" ht="15" hidden="1" customHeight="1">
      <c r="L3452" s="58" t="str">
        <f t="shared" si="305"/>
        <v>-</v>
      </c>
      <c r="M3452" s="59">
        <f t="shared" si="303"/>
        <v>0</v>
      </c>
      <c r="N3452" s="59">
        <f t="shared" ref="N3452:N3515" si="306">IF(ISNUMBER(N3451),N3451-M3452,$E$8)</f>
        <v>0</v>
      </c>
      <c r="O3452" s="59">
        <f t="shared" si="304"/>
        <v>0</v>
      </c>
      <c r="P3452" s="59">
        <f t="shared" ref="P3452:P3515" si="307">IFERROR(IF(ISNUMBER(N3451),N3451,$E$8)*3%/IF(MOD(YEAR(L3452),4),365,366)*IF(ISBLANK(L3451),(L3452-$F$5),L3452-L3451),0)</f>
        <v>0</v>
      </c>
    </row>
    <row r="3453" spans="12:16" ht="15" hidden="1" customHeight="1">
      <c r="L3453" s="58" t="str">
        <f t="shared" si="305"/>
        <v>-</v>
      </c>
      <c r="M3453" s="59">
        <f t="shared" si="303"/>
        <v>0</v>
      </c>
      <c r="N3453" s="59">
        <f t="shared" si="306"/>
        <v>0</v>
      </c>
      <c r="O3453" s="59">
        <f t="shared" si="304"/>
        <v>0</v>
      </c>
      <c r="P3453" s="59">
        <f t="shared" si="307"/>
        <v>0</v>
      </c>
    </row>
    <row r="3454" spans="12:16" ht="15" hidden="1" customHeight="1">
      <c r="L3454" s="58" t="str">
        <f t="shared" si="305"/>
        <v>-</v>
      </c>
      <c r="M3454" s="59">
        <f t="shared" si="303"/>
        <v>0</v>
      </c>
      <c r="N3454" s="59">
        <f t="shared" si="306"/>
        <v>0</v>
      </c>
      <c r="O3454" s="59">
        <f t="shared" si="304"/>
        <v>0</v>
      </c>
      <c r="P3454" s="59">
        <f t="shared" si="307"/>
        <v>0</v>
      </c>
    </row>
    <row r="3455" spans="12:16" ht="15" hidden="1" customHeight="1">
      <c r="L3455" s="58" t="str">
        <f t="shared" si="305"/>
        <v>-</v>
      </c>
      <c r="M3455" s="59">
        <f t="shared" si="303"/>
        <v>0</v>
      </c>
      <c r="N3455" s="59">
        <f t="shared" si="306"/>
        <v>0</v>
      </c>
      <c r="O3455" s="59">
        <f t="shared" si="304"/>
        <v>0</v>
      </c>
      <c r="P3455" s="59">
        <f t="shared" si="307"/>
        <v>0</v>
      </c>
    </row>
    <row r="3456" spans="12:16" ht="15" hidden="1" customHeight="1">
      <c r="L3456" s="58" t="str">
        <f t="shared" si="305"/>
        <v>-</v>
      </c>
      <c r="M3456" s="59">
        <f t="shared" si="303"/>
        <v>0</v>
      </c>
      <c r="N3456" s="59">
        <f t="shared" si="306"/>
        <v>0</v>
      </c>
      <c r="O3456" s="59">
        <f t="shared" si="304"/>
        <v>0</v>
      </c>
      <c r="P3456" s="59">
        <f t="shared" si="307"/>
        <v>0</v>
      </c>
    </row>
    <row r="3457" spans="12:16" ht="15" hidden="1" customHeight="1">
      <c r="L3457" s="58" t="str">
        <f t="shared" si="305"/>
        <v>-</v>
      </c>
      <c r="M3457" s="59">
        <f t="shared" si="303"/>
        <v>0</v>
      </c>
      <c r="N3457" s="59">
        <f t="shared" si="306"/>
        <v>0</v>
      </c>
      <c r="O3457" s="59">
        <f t="shared" si="304"/>
        <v>0</v>
      </c>
      <c r="P3457" s="59">
        <f t="shared" si="307"/>
        <v>0</v>
      </c>
    </row>
    <row r="3458" spans="12:16" ht="15" hidden="1" customHeight="1">
      <c r="L3458" s="58" t="str">
        <f t="shared" si="305"/>
        <v>-</v>
      </c>
      <c r="M3458" s="59">
        <f t="shared" si="303"/>
        <v>0</v>
      </c>
      <c r="N3458" s="59">
        <f t="shared" si="306"/>
        <v>0</v>
      </c>
      <c r="O3458" s="59">
        <f t="shared" si="304"/>
        <v>0</v>
      </c>
      <c r="P3458" s="59">
        <f t="shared" si="307"/>
        <v>0</v>
      </c>
    </row>
    <row r="3459" spans="12:16" ht="15" hidden="1" customHeight="1">
      <c r="L3459" s="58" t="str">
        <f t="shared" si="305"/>
        <v>-</v>
      </c>
      <c r="M3459" s="59">
        <f t="shared" si="303"/>
        <v>0</v>
      </c>
      <c r="N3459" s="59">
        <f t="shared" si="306"/>
        <v>0</v>
      </c>
      <c r="O3459" s="59">
        <f t="shared" si="304"/>
        <v>0</v>
      </c>
      <c r="P3459" s="59">
        <f t="shared" si="307"/>
        <v>0</v>
      </c>
    </row>
    <row r="3460" spans="12:16" ht="15" hidden="1" customHeight="1">
      <c r="L3460" s="58" t="str">
        <f t="shared" si="305"/>
        <v>-</v>
      </c>
      <c r="M3460" s="59">
        <f t="shared" si="303"/>
        <v>0</v>
      </c>
      <c r="N3460" s="59">
        <f t="shared" si="306"/>
        <v>0</v>
      </c>
      <c r="O3460" s="59">
        <f t="shared" si="304"/>
        <v>0</v>
      </c>
      <c r="P3460" s="59">
        <f t="shared" si="307"/>
        <v>0</v>
      </c>
    </row>
    <row r="3461" spans="12:16" ht="15" hidden="1" customHeight="1">
      <c r="L3461" s="58" t="str">
        <f t="shared" si="305"/>
        <v>-</v>
      </c>
      <c r="M3461" s="59">
        <f t="shared" si="303"/>
        <v>0</v>
      </c>
      <c r="N3461" s="59">
        <f t="shared" si="306"/>
        <v>0</v>
      </c>
      <c r="O3461" s="59">
        <f t="shared" si="304"/>
        <v>0</v>
      </c>
      <c r="P3461" s="59">
        <f t="shared" si="307"/>
        <v>0</v>
      </c>
    </row>
    <row r="3462" spans="12:16" ht="15" hidden="1" customHeight="1">
      <c r="L3462" s="58" t="str">
        <f t="shared" si="305"/>
        <v>-</v>
      </c>
      <c r="M3462" s="59">
        <f t="shared" si="303"/>
        <v>0</v>
      </c>
      <c r="N3462" s="59">
        <f t="shared" si="306"/>
        <v>0</v>
      </c>
      <c r="O3462" s="59">
        <f t="shared" si="304"/>
        <v>0</v>
      </c>
      <c r="P3462" s="59">
        <f t="shared" si="307"/>
        <v>0</v>
      </c>
    </row>
    <row r="3463" spans="12:16" ht="15" hidden="1" customHeight="1">
      <c r="L3463" s="58" t="str">
        <f t="shared" si="305"/>
        <v>-</v>
      </c>
      <c r="M3463" s="59">
        <f t="shared" si="303"/>
        <v>0</v>
      </c>
      <c r="N3463" s="59">
        <f t="shared" si="306"/>
        <v>0</v>
      </c>
      <c r="O3463" s="59">
        <f t="shared" si="304"/>
        <v>0</v>
      </c>
      <c r="P3463" s="59">
        <f t="shared" si="307"/>
        <v>0</v>
      </c>
    </row>
    <row r="3464" spans="12:16" ht="15" hidden="1" customHeight="1">
      <c r="L3464" s="58" t="str">
        <f t="shared" si="305"/>
        <v>-</v>
      </c>
      <c r="M3464" s="59">
        <f t="shared" si="303"/>
        <v>0</v>
      </c>
      <c r="N3464" s="59">
        <f t="shared" si="306"/>
        <v>0</v>
      </c>
      <c r="O3464" s="59">
        <f t="shared" si="304"/>
        <v>0</v>
      </c>
      <c r="P3464" s="59">
        <f t="shared" si="307"/>
        <v>0</v>
      </c>
    </row>
    <row r="3465" spans="12:16" ht="15" hidden="1" customHeight="1">
      <c r="L3465" s="58" t="str">
        <f t="shared" si="305"/>
        <v>-</v>
      </c>
      <c r="M3465" s="59">
        <f t="shared" si="303"/>
        <v>0</v>
      </c>
      <c r="N3465" s="59">
        <f t="shared" si="306"/>
        <v>0</v>
      </c>
      <c r="O3465" s="59">
        <f t="shared" si="304"/>
        <v>0</v>
      </c>
      <c r="P3465" s="59">
        <f t="shared" si="307"/>
        <v>0</v>
      </c>
    </row>
    <row r="3466" spans="12:16" ht="15" hidden="1" customHeight="1">
      <c r="L3466" s="58" t="str">
        <f t="shared" si="305"/>
        <v>-</v>
      </c>
      <c r="M3466" s="59">
        <f t="shared" si="303"/>
        <v>0</v>
      </c>
      <c r="N3466" s="59">
        <f t="shared" si="306"/>
        <v>0</v>
      </c>
      <c r="O3466" s="59">
        <f t="shared" si="304"/>
        <v>0</v>
      </c>
      <c r="P3466" s="59">
        <f t="shared" si="307"/>
        <v>0</v>
      </c>
    </row>
    <row r="3467" spans="12:16" ht="15" hidden="1" customHeight="1">
      <c r="L3467" s="58" t="str">
        <f t="shared" si="305"/>
        <v>-</v>
      </c>
      <c r="M3467" s="59">
        <f t="shared" si="303"/>
        <v>0</v>
      </c>
      <c r="N3467" s="59">
        <f t="shared" si="306"/>
        <v>0</v>
      </c>
      <c r="O3467" s="59">
        <f t="shared" si="304"/>
        <v>0</v>
      </c>
      <c r="P3467" s="59">
        <f t="shared" si="307"/>
        <v>0</v>
      </c>
    </row>
    <row r="3468" spans="12:16" ht="15" hidden="1" customHeight="1">
      <c r="L3468" s="58" t="str">
        <f t="shared" si="305"/>
        <v>-</v>
      </c>
      <c r="M3468" s="59">
        <f t="shared" si="303"/>
        <v>0</v>
      </c>
      <c r="N3468" s="59">
        <f t="shared" si="306"/>
        <v>0</v>
      </c>
      <c r="O3468" s="59">
        <f t="shared" si="304"/>
        <v>0</v>
      </c>
      <c r="P3468" s="59">
        <f t="shared" si="307"/>
        <v>0</v>
      </c>
    </row>
    <row r="3469" spans="12:16" ht="15" hidden="1" customHeight="1">
      <c r="L3469" s="58" t="str">
        <f t="shared" si="305"/>
        <v>-</v>
      </c>
      <c r="M3469" s="59">
        <f t="shared" si="303"/>
        <v>0</v>
      </c>
      <c r="N3469" s="59">
        <f t="shared" si="306"/>
        <v>0</v>
      </c>
      <c r="O3469" s="59">
        <f t="shared" si="304"/>
        <v>0</v>
      </c>
      <c r="P3469" s="59">
        <f t="shared" si="307"/>
        <v>0</v>
      </c>
    </row>
    <row r="3470" spans="12:16" ht="15" hidden="1" customHeight="1">
      <c r="L3470" s="58" t="str">
        <f t="shared" si="305"/>
        <v>-</v>
      </c>
      <c r="M3470" s="59">
        <f t="shared" si="303"/>
        <v>0</v>
      </c>
      <c r="N3470" s="59">
        <f t="shared" si="306"/>
        <v>0</v>
      </c>
      <c r="O3470" s="59">
        <f t="shared" si="304"/>
        <v>0</v>
      </c>
      <c r="P3470" s="59">
        <f t="shared" si="307"/>
        <v>0</v>
      </c>
    </row>
    <row r="3471" spans="12:16" ht="15" hidden="1" customHeight="1">
      <c r="L3471" s="58" t="str">
        <f t="shared" si="305"/>
        <v>-</v>
      </c>
      <c r="M3471" s="59">
        <f t="shared" si="303"/>
        <v>0</v>
      </c>
      <c r="N3471" s="59">
        <f t="shared" si="306"/>
        <v>0</v>
      </c>
      <c r="O3471" s="59">
        <f t="shared" si="304"/>
        <v>0</v>
      </c>
      <c r="P3471" s="59">
        <f t="shared" si="307"/>
        <v>0</v>
      </c>
    </row>
    <row r="3472" spans="12:16" ht="15" hidden="1" customHeight="1">
      <c r="L3472" s="58" t="str">
        <f t="shared" si="305"/>
        <v>-</v>
      </c>
      <c r="M3472" s="59">
        <f t="shared" si="303"/>
        <v>0</v>
      </c>
      <c r="N3472" s="59">
        <f t="shared" si="306"/>
        <v>0</v>
      </c>
      <c r="O3472" s="59">
        <f t="shared" si="304"/>
        <v>0</v>
      </c>
      <c r="P3472" s="59">
        <f t="shared" si="307"/>
        <v>0</v>
      </c>
    </row>
    <row r="3473" spans="12:16" ht="15" hidden="1" customHeight="1">
      <c r="L3473" s="58" t="str">
        <f t="shared" si="305"/>
        <v>-</v>
      </c>
      <c r="M3473" s="59">
        <f t="shared" si="303"/>
        <v>0</v>
      </c>
      <c r="N3473" s="59">
        <f t="shared" si="306"/>
        <v>0</v>
      </c>
      <c r="O3473" s="59">
        <f t="shared" si="304"/>
        <v>0</v>
      </c>
      <c r="P3473" s="59">
        <f t="shared" si="307"/>
        <v>0</v>
      </c>
    </row>
    <row r="3474" spans="12:16" ht="15" hidden="1" customHeight="1">
      <c r="L3474" s="58" t="str">
        <f t="shared" si="305"/>
        <v>-</v>
      </c>
      <c r="M3474" s="59">
        <f t="shared" si="303"/>
        <v>0</v>
      </c>
      <c r="N3474" s="59">
        <f t="shared" si="306"/>
        <v>0</v>
      </c>
      <c r="O3474" s="59">
        <f t="shared" si="304"/>
        <v>0</v>
      </c>
      <c r="P3474" s="59">
        <f t="shared" si="307"/>
        <v>0</v>
      </c>
    </row>
    <row r="3475" spans="12:16" ht="15" hidden="1" customHeight="1">
      <c r="L3475" s="58" t="str">
        <f t="shared" si="305"/>
        <v>-</v>
      </c>
      <c r="M3475" s="59">
        <f t="shared" ref="M3475:M3538" si="308">IFERROR(VLOOKUP(L3475,$B$19:$E$80,4,FALSE),0)</f>
        <v>0</v>
      </c>
      <c r="N3475" s="59">
        <f t="shared" si="306"/>
        <v>0</v>
      </c>
      <c r="O3475" s="59">
        <f t="shared" ref="O3475:O3538" si="309">IFERROR(IF(ISNUMBER(N3474),N3474,$E$8)*IF(L3475&gt;=$J$8,$E$12,$E$12)/IF(MOD(YEAR(L3475),4),365,366)*IF(ISBLANK(L3474),L3475-$F$5,L3475-L3474),0)</f>
        <v>0</v>
      </c>
      <c r="P3475" s="59">
        <f t="shared" si="307"/>
        <v>0</v>
      </c>
    </row>
    <row r="3476" spans="12:16" ht="15" hidden="1" customHeight="1">
      <c r="L3476" s="58" t="str">
        <f t="shared" si="305"/>
        <v>-</v>
      </c>
      <c r="M3476" s="59">
        <f t="shared" si="308"/>
        <v>0</v>
      </c>
      <c r="N3476" s="59">
        <f t="shared" si="306"/>
        <v>0</v>
      </c>
      <c r="O3476" s="59">
        <f t="shared" si="309"/>
        <v>0</v>
      </c>
      <c r="P3476" s="59">
        <f t="shared" si="307"/>
        <v>0</v>
      </c>
    </row>
    <row r="3477" spans="12:16" ht="15" hidden="1" customHeight="1">
      <c r="L3477" s="58" t="str">
        <f t="shared" si="305"/>
        <v>-</v>
      </c>
      <c r="M3477" s="59">
        <f t="shared" si="308"/>
        <v>0</v>
      </c>
      <c r="N3477" s="59">
        <f t="shared" si="306"/>
        <v>0</v>
      </c>
      <c r="O3477" s="59">
        <f t="shared" si="309"/>
        <v>0</v>
      </c>
      <c r="P3477" s="59">
        <f t="shared" si="307"/>
        <v>0</v>
      </c>
    </row>
    <row r="3478" spans="12:16" ht="15" hidden="1" customHeight="1">
      <c r="L3478" s="58" t="str">
        <f t="shared" si="305"/>
        <v>-</v>
      </c>
      <c r="M3478" s="59">
        <f t="shared" si="308"/>
        <v>0</v>
      </c>
      <c r="N3478" s="59">
        <f t="shared" si="306"/>
        <v>0</v>
      </c>
      <c r="O3478" s="59">
        <f t="shared" si="309"/>
        <v>0</v>
      </c>
      <c r="P3478" s="59">
        <f t="shared" si="307"/>
        <v>0</v>
      </c>
    </row>
    <row r="3479" spans="12:16" ht="15" hidden="1" customHeight="1">
      <c r="L3479" s="58" t="str">
        <f t="shared" si="305"/>
        <v>-</v>
      </c>
      <c r="M3479" s="59">
        <f t="shared" si="308"/>
        <v>0</v>
      </c>
      <c r="N3479" s="59">
        <f t="shared" si="306"/>
        <v>0</v>
      </c>
      <c r="O3479" s="59">
        <f t="shared" si="309"/>
        <v>0</v>
      </c>
      <c r="P3479" s="59">
        <f t="shared" si="307"/>
        <v>0</v>
      </c>
    </row>
    <row r="3480" spans="12:16" ht="15" hidden="1" customHeight="1">
      <c r="L3480" s="58" t="str">
        <f t="shared" si="305"/>
        <v>-</v>
      </c>
      <c r="M3480" s="59">
        <f t="shared" si="308"/>
        <v>0</v>
      </c>
      <c r="N3480" s="59">
        <f t="shared" si="306"/>
        <v>0</v>
      </c>
      <c r="O3480" s="59">
        <f t="shared" si="309"/>
        <v>0</v>
      </c>
      <c r="P3480" s="59">
        <f t="shared" si="307"/>
        <v>0</v>
      </c>
    </row>
    <row r="3481" spans="12:16" ht="15" hidden="1" customHeight="1">
      <c r="L3481" s="58" t="str">
        <f t="shared" si="305"/>
        <v>-</v>
      </c>
      <c r="M3481" s="59">
        <f t="shared" si="308"/>
        <v>0</v>
      </c>
      <c r="N3481" s="59">
        <f t="shared" si="306"/>
        <v>0</v>
      </c>
      <c r="O3481" s="59">
        <f t="shared" si="309"/>
        <v>0</v>
      </c>
      <c r="P3481" s="59">
        <f t="shared" si="307"/>
        <v>0</v>
      </c>
    </row>
    <row r="3482" spans="12:16" ht="15" hidden="1" customHeight="1">
      <c r="L3482" s="58" t="str">
        <f t="shared" si="305"/>
        <v>-</v>
      </c>
      <c r="M3482" s="59">
        <f t="shared" si="308"/>
        <v>0</v>
      </c>
      <c r="N3482" s="59">
        <f t="shared" si="306"/>
        <v>0</v>
      </c>
      <c r="O3482" s="59">
        <f t="shared" si="309"/>
        <v>0</v>
      </c>
      <c r="P3482" s="59">
        <f t="shared" si="307"/>
        <v>0</v>
      </c>
    </row>
    <row r="3483" spans="12:16" ht="15" hidden="1" customHeight="1">
      <c r="L3483" s="58" t="str">
        <f t="shared" si="305"/>
        <v>-</v>
      </c>
      <c r="M3483" s="59">
        <f t="shared" si="308"/>
        <v>0</v>
      </c>
      <c r="N3483" s="59">
        <f t="shared" si="306"/>
        <v>0</v>
      </c>
      <c r="O3483" s="59">
        <f t="shared" si="309"/>
        <v>0</v>
      </c>
      <c r="P3483" s="59">
        <f t="shared" si="307"/>
        <v>0</v>
      </c>
    </row>
    <row r="3484" spans="12:16" ht="15" hidden="1" customHeight="1">
      <c r="L3484" s="58" t="str">
        <f t="shared" si="305"/>
        <v>-</v>
      </c>
      <c r="M3484" s="59">
        <f t="shared" si="308"/>
        <v>0</v>
      </c>
      <c r="N3484" s="59">
        <f t="shared" si="306"/>
        <v>0</v>
      </c>
      <c r="O3484" s="59">
        <f t="shared" si="309"/>
        <v>0</v>
      </c>
      <c r="P3484" s="59">
        <f t="shared" si="307"/>
        <v>0</v>
      </c>
    </row>
    <row r="3485" spans="12:16" ht="15" hidden="1" customHeight="1">
      <c r="L3485" s="58" t="str">
        <f t="shared" si="305"/>
        <v>-</v>
      </c>
      <c r="M3485" s="59">
        <f t="shared" si="308"/>
        <v>0</v>
      </c>
      <c r="N3485" s="59">
        <f t="shared" si="306"/>
        <v>0</v>
      </c>
      <c r="O3485" s="59">
        <f t="shared" si="309"/>
        <v>0</v>
      </c>
      <c r="P3485" s="59">
        <f t="shared" si="307"/>
        <v>0</v>
      </c>
    </row>
    <row r="3486" spans="12:16" ht="15" hidden="1" customHeight="1">
      <c r="L3486" s="58" t="str">
        <f t="shared" si="305"/>
        <v>-</v>
      </c>
      <c r="M3486" s="59">
        <f t="shared" si="308"/>
        <v>0</v>
      </c>
      <c r="N3486" s="59">
        <f t="shared" si="306"/>
        <v>0</v>
      </c>
      <c r="O3486" s="59">
        <f t="shared" si="309"/>
        <v>0</v>
      </c>
      <c r="P3486" s="59">
        <f t="shared" si="307"/>
        <v>0</v>
      </c>
    </row>
    <row r="3487" spans="12:16" ht="15" hidden="1" customHeight="1">
      <c r="L3487" s="58" t="str">
        <f t="shared" si="305"/>
        <v>-</v>
      </c>
      <c r="M3487" s="59">
        <f t="shared" si="308"/>
        <v>0</v>
      </c>
      <c r="N3487" s="59">
        <f t="shared" si="306"/>
        <v>0</v>
      </c>
      <c r="O3487" s="59">
        <f t="shared" si="309"/>
        <v>0</v>
      </c>
      <c r="P3487" s="59">
        <f t="shared" si="307"/>
        <v>0</v>
      </c>
    </row>
    <row r="3488" spans="12:16" ht="15" hidden="1" customHeight="1">
      <c r="L3488" s="58" t="str">
        <f t="shared" si="305"/>
        <v>-</v>
      </c>
      <c r="M3488" s="59">
        <f t="shared" si="308"/>
        <v>0</v>
      </c>
      <c r="N3488" s="59">
        <f t="shared" si="306"/>
        <v>0</v>
      </c>
      <c r="O3488" s="59">
        <f t="shared" si="309"/>
        <v>0</v>
      </c>
      <c r="P3488" s="59">
        <f t="shared" si="307"/>
        <v>0</v>
      </c>
    </row>
    <row r="3489" spans="12:16" ht="15" hidden="1" customHeight="1">
      <c r="L3489" s="58" t="str">
        <f t="shared" si="305"/>
        <v>-</v>
      </c>
      <c r="M3489" s="59">
        <f t="shared" si="308"/>
        <v>0</v>
      </c>
      <c r="N3489" s="59">
        <f t="shared" si="306"/>
        <v>0</v>
      </c>
      <c r="O3489" s="59">
        <f t="shared" si="309"/>
        <v>0</v>
      </c>
      <c r="P3489" s="59">
        <f t="shared" si="307"/>
        <v>0</v>
      </c>
    </row>
    <row r="3490" spans="12:16" ht="15" hidden="1" customHeight="1">
      <c r="L3490" s="58" t="str">
        <f t="shared" si="305"/>
        <v>-</v>
      </c>
      <c r="M3490" s="59">
        <f t="shared" si="308"/>
        <v>0</v>
      </c>
      <c r="N3490" s="59">
        <f t="shared" si="306"/>
        <v>0</v>
      </c>
      <c r="O3490" s="59">
        <f t="shared" si="309"/>
        <v>0</v>
      </c>
      <c r="P3490" s="59">
        <f t="shared" si="307"/>
        <v>0</v>
      </c>
    </row>
    <row r="3491" spans="12:16" ht="15" hidden="1" customHeight="1">
      <c r="L3491" s="58" t="str">
        <f t="shared" si="305"/>
        <v>-</v>
      </c>
      <c r="M3491" s="59">
        <f t="shared" si="308"/>
        <v>0</v>
      </c>
      <c r="N3491" s="59">
        <f t="shared" si="306"/>
        <v>0</v>
      </c>
      <c r="O3491" s="59">
        <f t="shared" si="309"/>
        <v>0</v>
      </c>
      <c r="P3491" s="59">
        <f t="shared" si="307"/>
        <v>0</v>
      </c>
    </row>
    <row r="3492" spans="12:16" ht="15" hidden="1" customHeight="1">
      <c r="L3492" s="58" t="str">
        <f t="shared" ref="L3492:L3555" si="310">IFERROR(IF(MAX(L3491+1,$F$5+1)&gt;Дата_погашения_Займа,"-",MAX(L3491+1,$F$5+1)),"-")</f>
        <v>-</v>
      </c>
      <c r="M3492" s="59">
        <f t="shared" si="308"/>
        <v>0</v>
      </c>
      <c r="N3492" s="59">
        <f t="shared" si="306"/>
        <v>0</v>
      </c>
      <c r="O3492" s="59">
        <f t="shared" si="309"/>
        <v>0</v>
      </c>
      <c r="P3492" s="59">
        <f t="shared" si="307"/>
        <v>0</v>
      </c>
    </row>
    <row r="3493" spans="12:16" ht="15" hidden="1" customHeight="1">
      <c r="L3493" s="58" t="str">
        <f t="shared" si="310"/>
        <v>-</v>
      </c>
      <c r="M3493" s="59">
        <f t="shared" si="308"/>
        <v>0</v>
      </c>
      <c r="N3493" s="59">
        <f t="shared" si="306"/>
        <v>0</v>
      </c>
      <c r="O3493" s="59">
        <f t="shared" si="309"/>
        <v>0</v>
      </c>
      <c r="P3493" s="59">
        <f t="shared" si="307"/>
        <v>0</v>
      </c>
    </row>
    <row r="3494" spans="12:16" ht="15" hidden="1" customHeight="1">
      <c r="L3494" s="58" t="str">
        <f t="shared" si="310"/>
        <v>-</v>
      </c>
      <c r="M3494" s="59">
        <f t="shared" si="308"/>
        <v>0</v>
      </c>
      <c r="N3494" s="59">
        <f t="shared" si="306"/>
        <v>0</v>
      </c>
      <c r="O3494" s="59">
        <f t="shared" si="309"/>
        <v>0</v>
      </c>
      <c r="P3494" s="59">
        <f t="shared" si="307"/>
        <v>0</v>
      </c>
    </row>
    <row r="3495" spans="12:16" ht="15" hidden="1" customHeight="1">
      <c r="L3495" s="58" t="str">
        <f t="shared" si="310"/>
        <v>-</v>
      </c>
      <c r="M3495" s="59">
        <f t="shared" si="308"/>
        <v>0</v>
      </c>
      <c r="N3495" s="59">
        <f t="shared" si="306"/>
        <v>0</v>
      </c>
      <c r="O3495" s="59">
        <f t="shared" si="309"/>
        <v>0</v>
      </c>
      <c r="P3495" s="59">
        <f t="shared" si="307"/>
        <v>0</v>
      </c>
    </row>
    <row r="3496" spans="12:16" ht="15" hidden="1" customHeight="1">
      <c r="L3496" s="58" t="str">
        <f t="shared" si="310"/>
        <v>-</v>
      </c>
      <c r="M3496" s="59">
        <f t="shared" si="308"/>
        <v>0</v>
      </c>
      <c r="N3496" s="59">
        <f t="shared" si="306"/>
        <v>0</v>
      </c>
      <c r="O3496" s="59">
        <f t="shared" si="309"/>
        <v>0</v>
      </c>
      <c r="P3496" s="59">
        <f t="shared" si="307"/>
        <v>0</v>
      </c>
    </row>
    <row r="3497" spans="12:16" ht="15" hidden="1" customHeight="1">
      <c r="L3497" s="58" t="str">
        <f t="shared" si="310"/>
        <v>-</v>
      </c>
      <c r="M3497" s="59">
        <f t="shared" si="308"/>
        <v>0</v>
      </c>
      <c r="N3497" s="59">
        <f t="shared" si="306"/>
        <v>0</v>
      </c>
      <c r="O3497" s="59">
        <f t="shared" si="309"/>
        <v>0</v>
      </c>
      <c r="P3497" s="59">
        <f t="shared" si="307"/>
        <v>0</v>
      </c>
    </row>
    <row r="3498" spans="12:16" ht="15" hidden="1" customHeight="1">
      <c r="L3498" s="58" t="str">
        <f t="shared" si="310"/>
        <v>-</v>
      </c>
      <c r="M3498" s="59">
        <f t="shared" si="308"/>
        <v>0</v>
      </c>
      <c r="N3498" s="59">
        <f t="shared" si="306"/>
        <v>0</v>
      </c>
      <c r="O3498" s="59">
        <f t="shared" si="309"/>
        <v>0</v>
      </c>
      <c r="P3498" s="59">
        <f t="shared" si="307"/>
        <v>0</v>
      </c>
    </row>
    <row r="3499" spans="12:16" ht="15" hidden="1" customHeight="1">
      <c r="L3499" s="58" t="str">
        <f t="shared" si="310"/>
        <v>-</v>
      </c>
      <c r="M3499" s="59">
        <f t="shared" si="308"/>
        <v>0</v>
      </c>
      <c r="N3499" s="59">
        <f t="shared" si="306"/>
        <v>0</v>
      </c>
      <c r="O3499" s="59">
        <f t="shared" si="309"/>
        <v>0</v>
      </c>
      <c r="P3499" s="59">
        <f t="shared" si="307"/>
        <v>0</v>
      </c>
    </row>
    <row r="3500" spans="12:16" ht="15" hidden="1" customHeight="1">
      <c r="L3500" s="58" t="str">
        <f t="shared" si="310"/>
        <v>-</v>
      </c>
      <c r="M3500" s="59">
        <f t="shared" si="308"/>
        <v>0</v>
      </c>
      <c r="N3500" s="59">
        <f t="shared" si="306"/>
        <v>0</v>
      </c>
      <c r="O3500" s="59">
        <f t="shared" si="309"/>
        <v>0</v>
      </c>
      <c r="P3500" s="59">
        <f t="shared" si="307"/>
        <v>0</v>
      </c>
    </row>
    <row r="3501" spans="12:16" ht="15" hidden="1" customHeight="1">
      <c r="L3501" s="58" t="str">
        <f t="shared" si="310"/>
        <v>-</v>
      </c>
      <c r="M3501" s="59">
        <f t="shared" si="308"/>
        <v>0</v>
      </c>
      <c r="N3501" s="59">
        <f t="shared" si="306"/>
        <v>0</v>
      </c>
      <c r="O3501" s="59">
        <f t="shared" si="309"/>
        <v>0</v>
      </c>
      <c r="P3501" s="59">
        <f t="shared" si="307"/>
        <v>0</v>
      </c>
    </row>
    <row r="3502" spans="12:16" ht="15" hidden="1" customHeight="1">
      <c r="L3502" s="58" t="str">
        <f t="shared" si="310"/>
        <v>-</v>
      </c>
      <c r="M3502" s="59">
        <f t="shared" si="308"/>
        <v>0</v>
      </c>
      <c r="N3502" s="59">
        <f t="shared" si="306"/>
        <v>0</v>
      </c>
      <c r="O3502" s="59">
        <f t="shared" si="309"/>
        <v>0</v>
      </c>
      <c r="P3502" s="59">
        <f t="shared" si="307"/>
        <v>0</v>
      </c>
    </row>
    <row r="3503" spans="12:16" ht="15" hidden="1" customHeight="1">
      <c r="L3503" s="58" t="str">
        <f t="shared" si="310"/>
        <v>-</v>
      </c>
      <c r="M3503" s="59">
        <f t="shared" si="308"/>
        <v>0</v>
      </c>
      <c r="N3503" s="59">
        <f t="shared" si="306"/>
        <v>0</v>
      </c>
      <c r="O3503" s="59">
        <f t="shared" si="309"/>
        <v>0</v>
      </c>
      <c r="P3503" s="59">
        <f t="shared" si="307"/>
        <v>0</v>
      </c>
    </row>
    <row r="3504" spans="12:16" ht="15" hidden="1" customHeight="1">
      <c r="L3504" s="58" t="str">
        <f t="shared" si="310"/>
        <v>-</v>
      </c>
      <c r="M3504" s="59">
        <f t="shared" si="308"/>
        <v>0</v>
      </c>
      <c r="N3504" s="59">
        <f t="shared" si="306"/>
        <v>0</v>
      </c>
      <c r="O3504" s="59">
        <f t="shared" si="309"/>
        <v>0</v>
      </c>
      <c r="P3504" s="59">
        <f t="shared" si="307"/>
        <v>0</v>
      </c>
    </row>
    <row r="3505" spans="12:16" ht="15" hidden="1" customHeight="1">
      <c r="L3505" s="58" t="str">
        <f t="shared" si="310"/>
        <v>-</v>
      </c>
      <c r="M3505" s="59">
        <f t="shared" si="308"/>
        <v>0</v>
      </c>
      <c r="N3505" s="59">
        <f t="shared" si="306"/>
        <v>0</v>
      </c>
      <c r="O3505" s="59">
        <f t="shared" si="309"/>
        <v>0</v>
      </c>
      <c r="P3505" s="59">
        <f t="shared" si="307"/>
        <v>0</v>
      </c>
    </row>
    <row r="3506" spans="12:16" ht="15" hidden="1" customHeight="1">
      <c r="L3506" s="58" t="str">
        <f t="shared" si="310"/>
        <v>-</v>
      </c>
      <c r="M3506" s="59">
        <f t="shared" si="308"/>
        <v>0</v>
      </c>
      <c r="N3506" s="59">
        <f t="shared" si="306"/>
        <v>0</v>
      </c>
      <c r="O3506" s="59">
        <f t="shared" si="309"/>
        <v>0</v>
      </c>
      <c r="P3506" s="59">
        <f t="shared" si="307"/>
        <v>0</v>
      </c>
    </row>
    <row r="3507" spans="12:16" ht="15" hidden="1" customHeight="1">
      <c r="L3507" s="58" t="str">
        <f t="shared" si="310"/>
        <v>-</v>
      </c>
      <c r="M3507" s="59">
        <f t="shared" si="308"/>
        <v>0</v>
      </c>
      <c r="N3507" s="59">
        <f t="shared" si="306"/>
        <v>0</v>
      </c>
      <c r="O3507" s="59">
        <f t="shared" si="309"/>
        <v>0</v>
      </c>
      <c r="P3507" s="59">
        <f t="shared" si="307"/>
        <v>0</v>
      </c>
    </row>
    <row r="3508" spans="12:16" ht="15" hidden="1" customHeight="1">
      <c r="L3508" s="58" t="str">
        <f t="shared" si="310"/>
        <v>-</v>
      </c>
      <c r="M3508" s="59">
        <f t="shared" si="308"/>
        <v>0</v>
      </c>
      <c r="N3508" s="59">
        <f t="shared" si="306"/>
        <v>0</v>
      </c>
      <c r="O3508" s="59">
        <f t="shared" si="309"/>
        <v>0</v>
      </c>
      <c r="P3508" s="59">
        <f t="shared" si="307"/>
        <v>0</v>
      </c>
    </row>
    <row r="3509" spans="12:16" ht="15" hidden="1" customHeight="1">
      <c r="L3509" s="58" t="str">
        <f t="shared" si="310"/>
        <v>-</v>
      </c>
      <c r="M3509" s="59">
        <f t="shared" si="308"/>
        <v>0</v>
      </c>
      <c r="N3509" s="59">
        <f t="shared" si="306"/>
        <v>0</v>
      </c>
      <c r="O3509" s="59">
        <f t="shared" si="309"/>
        <v>0</v>
      </c>
      <c r="P3509" s="59">
        <f t="shared" si="307"/>
        <v>0</v>
      </c>
    </row>
    <row r="3510" spans="12:16" ht="15" hidden="1" customHeight="1">
      <c r="L3510" s="58" t="str">
        <f t="shared" si="310"/>
        <v>-</v>
      </c>
      <c r="M3510" s="59">
        <f t="shared" si="308"/>
        <v>0</v>
      </c>
      <c r="N3510" s="59">
        <f t="shared" si="306"/>
        <v>0</v>
      </c>
      <c r="O3510" s="59">
        <f t="shared" si="309"/>
        <v>0</v>
      </c>
      <c r="P3510" s="59">
        <f t="shared" si="307"/>
        <v>0</v>
      </c>
    </row>
    <row r="3511" spans="12:16" ht="15" hidden="1" customHeight="1">
      <c r="L3511" s="58" t="str">
        <f t="shared" si="310"/>
        <v>-</v>
      </c>
      <c r="M3511" s="59">
        <f t="shared" si="308"/>
        <v>0</v>
      </c>
      <c r="N3511" s="59">
        <f t="shared" si="306"/>
        <v>0</v>
      </c>
      <c r="O3511" s="59">
        <f t="shared" si="309"/>
        <v>0</v>
      </c>
      <c r="P3511" s="59">
        <f t="shared" si="307"/>
        <v>0</v>
      </c>
    </row>
    <row r="3512" spans="12:16" ht="15" hidden="1" customHeight="1">
      <c r="L3512" s="58" t="str">
        <f t="shared" si="310"/>
        <v>-</v>
      </c>
      <c r="M3512" s="59">
        <f t="shared" si="308"/>
        <v>0</v>
      </c>
      <c r="N3512" s="59">
        <f t="shared" si="306"/>
        <v>0</v>
      </c>
      <c r="O3512" s="59">
        <f t="shared" si="309"/>
        <v>0</v>
      </c>
      <c r="P3512" s="59">
        <f t="shared" si="307"/>
        <v>0</v>
      </c>
    </row>
    <row r="3513" spans="12:16" ht="15" hidden="1" customHeight="1">
      <c r="L3513" s="58" t="str">
        <f t="shared" si="310"/>
        <v>-</v>
      </c>
      <c r="M3513" s="59">
        <f t="shared" si="308"/>
        <v>0</v>
      </c>
      <c r="N3513" s="59">
        <f t="shared" si="306"/>
        <v>0</v>
      </c>
      <c r="O3513" s="59">
        <f t="shared" si="309"/>
        <v>0</v>
      </c>
      <c r="P3513" s="59">
        <f t="shared" si="307"/>
        <v>0</v>
      </c>
    </row>
    <row r="3514" spans="12:16" ht="15" hidden="1" customHeight="1">
      <c r="L3514" s="58" t="str">
        <f t="shared" si="310"/>
        <v>-</v>
      </c>
      <c r="M3514" s="59">
        <f t="shared" si="308"/>
        <v>0</v>
      </c>
      <c r="N3514" s="59">
        <f t="shared" si="306"/>
        <v>0</v>
      </c>
      <c r="O3514" s="59">
        <f t="shared" si="309"/>
        <v>0</v>
      </c>
      <c r="P3514" s="59">
        <f t="shared" si="307"/>
        <v>0</v>
      </c>
    </row>
    <row r="3515" spans="12:16" ht="15" hidden="1" customHeight="1">
      <c r="L3515" s="58" t="str">
        <f t="shared" si="310"/>
        <v>-</v>
      </c>
      <c r="M3515" s="59">
        <f t="shared" si="308"/>
        <v>0</v>
      </c>
      <c r="N3515" s="59">
        <f t="shared" si="306"/>
        <v>0</v>
      </c>
      <c r="O3515" s="59">
        <f t="shared" si="309"/>
        <v>0</v>
      </c>
      <c r="P3515" s="59">
        <f t="shared" si="307"/>
        <v>0</v>
      </c>
    </row>
    <row r="3516" spans="12:16" ht="15" hidden="1" customHeight="1">
      <c r="L3516" s="58" t="str">
        <f t="shared" si="310"/>
        <v>-</v>
      </c>
      <c r="M3516" s="59">
        <f t="shared" si="308"/>
        <v>0</v>
      </c>
      <c r="N3516" s="59">
        <f t="shared" ref="N3516:N3579" si="311">IF(ISNUMBER(N3515),N3515-M3516,$E$8)</f>
        <v>0</v>
      </c>
      <c r="O3516" s="59">
        <f t="shared" si="309"/>
        <v>0</v>
      </c>
      <c r="P3516" s="59">
        <f t="shared" ref="P3516:P3579" si="312">IFERROR(IF(ISNUMBER(N3515),N3515,$E$8)*3%/IF(MOD(YEAR(L3516),4),365,366)*IF(ISBLANK(L3515),(L3516-$F$5),L3516-L3515),0)</f>
        <v>0</v>
      </c>
    </row>
    <row r="3517" spans="12:16" ht="15" hidden="1" customHeight="1">
      <c r="L3517" s="58" t="str">
        <f t="shared" si="310"/>
        <v>-</v>
      </c>
      <c r="M3517" s="59">
        <f t="shared" si="308"/>
        <v>0</v>
      </c>
      <c r="N3517" s="59">
        <f t="shared" si="311"/>
        <v>0</v>
      </c>
      <c r="O3517" s="59">
        <f t="shared" si="309"/>
        <v>0</v>
      </c>
      <c r="P3517" s="59">
        <f t="shared" si="312"/>
        <v>0</v>
      </c>
    </row>
    <row r="3518" spans="12:16" ht="15" hidden="1" customHeight="1">
      <c r="L3518" s="58" t="str">
        <f t="shared" si="310"/>
        <v>-</v>
      </c>
      <c r="M3518" s="59">
        <f t="shared" si="308"/>
        <v>0</v>
      </c>
      <c r="N3518" s="59">
        <f t="shared" si="311"/>
        <v>0</v>
      </c>
      <c r="O3518" s="59">
        <f t="shared" si="309"/>
        <v>0</v>
      </c>
      <c r="P3518" s="59">
        <f t="shared" si="312"/>
        <v>0</v>
      </c>
    </row>
    <row r="3519" spans="12:16" ht="15" hidden="1" customHeight="1">
      <c r="L3519" s="58" t="str">
        <f t="shared" si="310"/>
        <v>-</v>
      </c>
      <c r="M3519" s="59">
        <f t="shared" si="308"/>
        <v>0</v>
      </c>
      <c r="N3519" s="59">
        <f t="shared" si="311"/>
        <v>0</v>
      </c>
      <c r="O3519" s="59">
        <f t="shared" si="309"/>
        <v>0</v>
      </c>
      <c r="P3519" s="59">
        <f t="shared" si="312"/>
        <v>0</v>
      </c>
    </row>
    <row r="3520" spans="12:16" ht="15" hidden="1" customHeight="1">
      <c r="L3520" s="58" t="str">
        <f t="shared" si="310"/>
        <v>-</v>
      </c>
      <c r="M3520" s="59">
        <f t="shared" si="308"/>
        <v>0</v>
      </c>
      <c r="N3520" s="59">
        <f t="shared" si="311"/>
        <v>0</v>
      </c>
      <c r="O3520" s="59">
        <f t="shared" si="309"/>
        <v>0</v>
      </c>
      <c r="P3520" s="59">
        <f t="shared" si="312"/>
        <v>0</v>
      </c>
    </row>
    <row r="3521" spans="12:16" ht="15" hidden="1" customHeight="1">
      <c r="L3521" s="58" t="str">
        <f t="shared" si="310"/>
        <v>-</v>
      </c>
      <c r="M3521" s="59">
        <f t="shared" si="308"/>
        <v>0</v>
      </c>
      <c r="N3521" s="59">
        <f t="shared" si="311"/>
        <v>0</v>
      </c>
      <c r="O3521" s="59">
        <f t="shared" si="309"/>
        <v>0</v>
      </c>
      <c r="P3521" s="59">
        <f t="shared" si="312"/>
        <v>0</v>
      </c>
    </row>
    <row r="3522" spans="12:16" ht="15" hidden="1" customHeight="1">
      <c r="L3522" s="58" t="str">
        <f t="shared" si="310"/>
        <v>-</v>
      </c>
      <c r="M3522" s="59">
        <f t="shared" si="308"/>
        <v>0</v>
      </c>
      <c r="N3522" s="59">
        <f t="shared" si="311"/>
        <v>0</v>
      </c>
      <c r="O3522" s="59">
        <f t="shared" si="309"/>
        <v>0</v>
      </c>
      <c r="P3522" s="59">
        <f t="shared" si="312"/>
        <v>0</v>
      </c>
    </row>
    <row r="3523" spans="12:16" ht="15" hidden="1" customHeight="1">
      <c r="L3523" s="58" t="str">
        <f t="shared" si="310"/>
        <v>-</v>
      </c>
      <c r="M3523" s="59">
        <f t="shared" si="308"/>
        <v>0</v>
      </c>
      <c r="N3523" s="59">
        <f t="shared" si="311"/>
        <v>0</v>
      </c>
      <c r="O3523" s="59">
        <f t="shared" si="309"/>
        <v>0</v>
      </c>
      <c r="P3523" s="59">
        <f t="shared" si="312"/>
        <v>0</v>
      </c>
    </row>
    <row r="3524" spans="12:16" ht="15" hidden="1" customHeight="1">
      <c r="L3524" s="58" t="str">
        <f t="shared" si="310"/>
        <v>-</v>
      </c>
      <c r="M3524" s="59">
        <f t="shared" si="308"/>
        <v>0</v>
      </c>
      <c r="N3524" s="59">
        <f t="shared" si="311"/>
        <v>0</v>
      </c>
      <c r="O3524" s="59">
        <f t="shared" si="309"/>
        <v>0</v>
      </c>
      <c r="P3524" s="59">
        <f t="shared" si="312"/>
        <v>0</v>
      </c>
    </row>
    <row r="3525" spans="12:16" ht="15" hidden="1" customHeight="1">
      <c r="L3525" s="58" t="str">
        <f t="shared" si="310"/>
        <v>-</v>
      </c>
      <c r="M3525" s="59">
        <f t="shared" si="308"/>
        <v>0</v>
      </c>
      <c r="N3525" s="59">
        <f t="shared" si="311"/>
        <v>0</v>
      </c>
      <c r="O3525" s="59">
        <f t="shared" si="309"/>
        <v>0</v>
      </c>
      <c r="P3525" s="59">
        <f t="shared" si="312"/>
        <v>0</v>
      </c>
    </row>
    <row r="3526" spans="12:16" ht="15" hidden="1" customHeight="1">
      <c r="L3526" s="58" t="str">
        <f t="shared" si="310"/>
        <v>-</v>
      </c>
      <c r="M3526" s="59">
        <f t="shared" si="308"/>
        <v>0</v>
      </c>
      <c r="N3526" s="59">
        <f t="shared" si="311"/>
        <v>0</v>
      </c>
      <c r="O3526" s="59">
        <f t="shared" si="309"/>
        <v>0</v>
      </c>
      <c r="P3526" s="59">
        <f t="shared" si="312"/>
        <v>0</v>
      </c>
    </row>
    <row r="3527" spans="12:16" ht="15" hidden="1" customHeight="1">
      <c r="L3527" s="58" t="str">
        <f t="shared" si="310"/>
        <v>-</v>
      </c>
      <c r="M3527" s="59">
        <f t="shared" si="308"/>
        <v>0</v>
      </c>
      <c r="N3527" s="59">
        <f t="shared" si="311"/>
        <v>0</v>
      </c>
      <c r="O3527" s="59">
        <f t="shared" si="309"/>
        <v>0</v>
      </c>
      <c r="P3527" s="59">
        <f t="shared" si="312"/>
        <v>0</v>
      </c>
    </row>
    <row r="3528" spans="12:16" ht="15" hidden="1" customHeight="1">
      <c r="L3528" s="58" t="str">
        <f t="shared" si="310"/>
        <v>-</v>
      </c>
      <c r="M3528" s="59">
        <f t="shared" si="308"/>
        <v>0</v>
      </c>
      <c r="N3528" s="59">
        <f t="shared" si="311"/>
        <v>0</v>
      </c>
      <c r="O3528" s="59">
        <f t="shared" si="309"/>
        <v>0</v>
      </c>
      <c r="P3528" s="59">
        <f t="shared" si="312"/>
        <v>0</v>
      </c>
    </row>
    <row r="3529" spans="12:16" ht="15" hidden="1" customHeight="1">
      <c r="L3529" s="58" t="str">
        <f t="shared" si="310"/>
        <v>-</v>
      </c>
      <c r="M3529" s="59">
        <f t="shared" si="308"/>
        <v>0</v>
      </c>
      <c r="N3529" s="59">
        <f t="shared" si="311"/>
        <v>0</v>
      </c>
      <c r="O3529" s="59">
        <f t="shared" si="309"/>
        <v>0</v>
      </c>
      <c r="P3529" s="59">
        <f t="shared" si="312"/>
        <v>0</v>
      </c>
    </row>
    <row r="3530" spans="12:16" ht="15" hidden="1" customHeight="1">
      <c r="L3530" s="58" t="str">
        <f t="shared" si="310"/>
        <v>-</v>
      </c>
      <c r="M3530" s="59">
        <f t="shared" si="308"/>
        <v>0</v>
      </c>
      <c r="N3530" s="59">
        <f t="shared" si="311"/>
        <v>0</v>
      </c>
      <c r="O3530" s="59">
        <f t="shared" si="309"/>
        <v>0</v>
      </c>
      <c r="P3530" s="59">
        <f t="shared" si="312"/>
        <v>0</v>
      </c>
    </row>
    <row r="3531" spans="12:16" ht="15" hidden="1" customHeight="1">
      <c r="L3531" s="58" t="str">
        <f t="shared" si="310"/>
        <v>-</v>
      </c>
      <c r="M3531" s="59">
        <f t="shared" si="308"/>
        <v>0</v>
      </c>
      <c r="N3531" s="59">
        <f t="shared" si="311"/>
        <v>0</v>
      </c>
      <c r="O3531" s="59">
        <f t="shared" si="309"/>
        <v>0</v>
      </c>
      <c r="P3531" s="59">
        <f t="shared" si="312"/>
        <v>0</v>
      </c>
    </row>
    <row r="3532" spans="12:16" ht="15" hidden="1" customHeight="1">
      <c r="L3532" s="58" t="str">
        <f t="shared" si="310"/>
        <v>-</v>
      </c>
      <c r="M3532" s="59">
        <f t="shared" si="308"/>
        <v>0</v>
      </c>
      <c r="N3532" s="59">
        <f t="shared" si="311"/>
        <v>0</v>
      </c>
      <c r="O3532" s="59">
        <f t="shared" si="309"/>
        <v>0</v>
      </c>
      <c r="P3532" s="59">
        <f t="shared" si="312"/>
        <v>0</v>
      </c>
    </row>
    <row r="3533" spans="12:16" ht="15" hidden="1" customHeight="1">
      <c r="L3533" s="58" t="str">
        <f t="shared" si="310"/>
        <v>-</v>
      </c>
      <c r="M3533" s="59">
        <f t="shared" si="308"/>
        <v>0</v>
      </c>
      <c r="N3533" s="59">
        <f t="shared" si="311"/>
        <v>0</v>
      </c>
      <c r="O3533" s="59">
        <f t="shared" si="309"/>
        <v>0</v>
      </c>
      <c r="P3533" s="59">
        <f t="shared" si="312"/>
        <v>0</v>
      </c>
    </row>
    <row r="3534" spans="12:16" ht="15" hidden="1" customHeight="1">
      <c r="L3534" s="58" t="str">
        <f t="shared" si="310"/>
        <v>-</v>
      </c>
      <c r="M3534" s="59">
        <f t="shared" si="308"/>
        <v>0</v>
      </c>
      <c r="N3534" s="59">
        <f t="shared" si="311"/>
        <v>0</v>
      </c>
      <c r="O3534" s="59">
        <f t="shared" si="309"/>
        <v>0</v>
      </c>
      <c r="P3534" s="59">
        <f t="shared" si="312"/>
        <v>0</v>
      </c>
    </row>
    <row r="3535" spans="12:16" ht="15" hidden="1" customHeight="1">
      <c r="L3535" s="58" t="str">
        <f t="shared" si="310"/>
        <v>-</v>
      </c>
      <c r="M3535" s="59">
        <f t="shared" si="308"/>
        <v>0</v>
      </c>
      <c r="N3535" s="59">
        <f t="shared" si="311"/>
        <v>0</v>
      </c>
      <c r="O3535" s="59">
        <f t="shared" si="309"/>
        <v>0</v>
      </c>
      <c r="P3535" s="59">
        <f t="shared" si="312"/>
        <v>0</v>
      </c>
    </row>
    <row r="3536" spans="12:16" ht="15" hidden="1" customHeight="1">
      <c r="L3536" s="58" t="str">
        <f t="shared" si="310"/>
        <v>-</v>
      </c>
      <c r="M3536" s="59">
        <f t="shared" si="308"/>
        <v>0</v>
      </c>
      <c r="N3536" s="59">
        <f t="shared" si="311"/>
        <v>0</v>
      </c>
      <c r="O3536" s="59">
        <f t="shared" si="309"/>
        <v>0</v>
      </c>
      <c r="P3536" s="59">
        <f t="shared" si="312"/>
        <v>0</v>
      </c>
    </row>
    <row r="3537" spans="12:16" ht="15" hidden="1" customHeight="1">
      <c r="L3537" s="58" t="str">
        <f t="shared" si="310"/>
        <v>-</v>
      </c>
      <c r="M3537" s="59">
        <f t="shared" si="308"/>
        <v>0</v>
      </c>
      <c r="N3537" s="59">
        <f t="shared" si="311"/>
        <v>0</v>
      </c>
      <c r="O3537" s="59">
        <f t="shared" si="309"/>
        <v>0</v>
      </c>
      <c r="P3537" s="59">
        <f t="shared" si="312"/>
        <v>0</v>
      </c>
    </row>
    <row r="3538" spans="12:16" ht="15" hidden="1" customHeight="1">
      <c r="L3538" s="58" t="str">
        <f t="shared" si="310"/>
        <v>-</v>
      </c>
      <c r="M3538" s="59">
        <f t="shared" si="308"/>
        <v>0</v>
      </c>
      <c r="N3538" s="59">
        <f t="shared" si="311"/>
        <v>0</v>
      </c>
      <c r="O3538" s="59">
        <f t="shared" si="309"/>
        <v>0</v>
      </c>
      <c r="P3538" s="59">
        <f t="shared" si="312"/>
        <v>0</v>
      </c>
    </row>
    <row r="3539" spans="12:16" ht="15" hidden="1" customHeight="1">
      <c r="L3539" s="58" t="str">
        <f t="shared" si="310"/>
        <v>-</v>
      </c>
      <c r="M3539" s="59">
        <f t="shared" ref="M3539:M3602" si="313">IFERROR(VLOOKUP(L3539,$B$19:$E$80,4,FALSE),0)</f>
        <v>0</v>
      </c>
      <c r="N3539" s="59">
        <f t="shared" si="311"/>
        <v>0</v>
      </c>
      <c r="O3539" s="59">
        <f t="shared" ref="O3539:O3602" si="314">IFERROR(IF(ISNUMBER(N3538),N3538,$E$8)*IF(L3539&gt;=$J$8,$E$12,$E$12)/IF(MOD(YEAR(L3539),4),365,366)*IF(ISBLANK(L3538),L3539-$F$5,L3539-L3538),0)</f>
        <v>0</v>
      </c>
      <c r="P3539" s="59">
        <f t="shared" si="312"/>
        <v>0</v>
      </c>
    </row>
    <row r="3540" spans="12:16" ht="15" hidden="1" customHeight="1">
      <c r="L3540" s="58" t="str">
        <f t="shared" si="310"/>
        <v>-</v>
      </c>
      <c r="M3540" s="59">
        <f t="shared" si="313"/>
        <v>0</v>
      </c>
      <c r="N3540" s="59">
        <f t="shared" si="311"/>
        <v>0</v>
      </c>
      <c r="O3540" s="59">
        <f t="shared" si="314"/>
        <v>0</v>
      </c>
      <c r="P3540" s="59">
        <f t="shared" si="312"/>
        <v>0</v>
      </c>
    </row>
    <row r="3541" spans="12:16" ht="15" hidden="1" customHeight="1">
      <c r="L3541" s="58" t="str">
        <f t="shared" si="310"/>
        <v>-</v>
      </c>
      <c r="M3541" s="59">
        <f t="shared" si="313"/>
        <v>0</v>
      </c>
      <c r="N3541" s="59">
        <f t="shared" si="311"/>
        <v>0</v>
      </c>
      <c r="O3541" s="59">
        <f t="shared" si="314"/>
        <v>0</v>
      </c>
      <c r="P3541" s="59">
        <f t="shared" si="312"/>
        <v>0</v>
      </c>
    </row>
    <row r="3542" spans="12:16" ht="15" hidden="1" customHeight="1">
      <c r="L3542" s="58" t="str">
        <f t="shared" si="310"/>
        <v>-</v>
      </c>
      <c r="M3542" s="59">
        <f t="shared" si="313"/>
        <v>0</v>
      </c>
      <c r="N3542" s="59">
        <f t="shared" si="311"/>
        <v>0</v>
      </c>
      <c r="O3542" s="59">
        <f t="shared" si="314"/>
        <v>0</v>
      </c>
      <c r="P3542" s="59">
        <f t="shared" si="312"/>
        <v>0</v>
      </c>
    </row>
    <row r="3543" spans="12:16" ht="15" hidden="1" customHeight="1">
      <c r="L3543" s="58" t="str">
        <f t="shared" si="310"/>
        <v>-</v>
      </c>
      <c r="M3543" s="59">
        <f t="shared" si="313"/>
        <v>0</v>
      </c>
      <c r="N3543" s="59">
        <f t="shared" si="311"/>
        <v>0</v>
      </c>
      <c r="O3543" s="59">
        <f t="shared" si="314"/>
        <v>0</v>
      </c>
      <c r="P3543" s="59">
        <f t="shared" si="312"/>
        <v>0</v>
      </c>
    </row>
    <row r="3544" spans="12:16" ht="15" hidden="1" customHeight="1">
      <c r="L3544" s="58" t="str">
        <f t="shared" si="310"/>
        <v>-</v>
      </c>
      <c r="M3544" s="59">
        <f t="shared" si="313"/>
        <v>0</v>
      </c>
      <c r="N3544" s="59">
        <f t="shared" si="311"/>
        <v>0</v>
      </c>
      <c r="O3544" s="59">
        <f t="shared" si="314"/>
        <v>0</v>
      </c>
      <c r="P3544" s="59">
        <f t="shared" si="312"/>
        <v>0</v>
      </c>
    </row>
    <row r="3545" spans="12:16" ht="15" hidden="1" customHeight="1">
      <c r="L3545" s="58" t="str">
        <f t="shared" si="310"/>
        <v>-</v>
      </c>
      <c r="M3545" s="59">
        <f t="shared" si="313"/>
        <v>0</v>
      </c>
      <c r="N3545" s="59">
        <f t="shared" si="311"/>
        <v>0</v>
      </c>
      <c r="O3545" s="59">
        <f t="shared" si="314"/>
        <v>0</v>
      </c>
      <c r="P3545" s="59">
        <f t="shared" si="312"/>
        <v>0</v>
      </c>
    </row>
    <row r="3546" spans="12:16" ht="15" hidden="1" customHeight="1">
      <c r="L3546" s="58" t="str">
        <f t="shared" si="310"/>
        <v>-</v>
      </c>
      <c r="M3546" s="59">
        <f t="shared" si="313"/>
        <v>0</v>
      </c>
      <c r="N3546" s="59">
        <f t="shared" si="311"/>
        <v>0</v>
      </c>
      <c r="O3546" s="59">
        <f t="shared" si="314"/>
        <v>0</v>
      </c>
      <c r="P3546" s="59">
        <f t="shared" si="312"/>
        <v>0</v>
      </c>
    </row>
    <row r="3547" spans="12:16" ht="15" hidden="1" customHeight="1">
      <c r="L3547" s="58" t="str">
        <f t="shared" si="310"/>
        <v>-</v>
      </c>
      <c r="M3547" s="59">
        <f t="shared" si="313"/>
        <v>0</v>
      </c>
      <c r="N3547" s="59">
        <f t="shared" si="311"/>
        <v>0</v>
      </c>
      <c r="O3547" s="59">
        <f t="shared" si="314"/>
        <v>0</v>
      </c>
      <c r="P3547" s="59">
        <f t="shared" si="312"/>
        <v>0</v>
      </c>
    </row>
    <row r="3548" spans="12:16" ht="15" hidden="1" customHeight="1">
      <c r="L3548" s="58" t="str">
        <f t="shared" si="310"/>
        <v>-</v>
      </c>
      <c r="M3548" s="59">
        <f t="shared" si="313"/>
        <v>0</v>
      </c>
      <c r="N3548" s="59">
        <f t="shared" si="311"/>
        <v>0</v>
      </c>
      <c r="O3548" s="59">
        <f t="shared" si="314"/>
        <v>0</v>
      </c>
      <c r="P3548" s="59">
        <f t="shared" si="312"/>
        <v>0</v>
      </c>
    </row>
    <row r="3549" spans="12:16" ht="15" hidden="1" customHeight="1">
      <c r="L3549" s="58" t="str">
        <f t="shared" si="310"/>
        <v>-</v>
      </c>
      <c r="M3549" s="59">
        <f t="shared" si="313"/>
        <v>0</v>
      </c>
      <c r="N3549" s="59">
        <f t="shared" si="311"/>
        <v>0</v>
      </c>
      <c r="O3549" s="59">
        <f t="shared" si="314"/>
        <v>0</v>
      </c>
      <c r="P3549" s="59">
        <f t="shared" si="312"/>
        <v>0</v>
      </c>
    </row>
    <row r="3550" spans="12:16" ht="15" hidden="1" customHeight="1">
      <c r="L3550" s="58" t="str">
        <f t="shared" si="310"/>
        <v>-</v>
      </c>
      <c r="M3550" s="59">
        <f t="shared" si="313"/>
        <v>0</v>
      </c>
      <c r="N3550" s="59">
        <f t="shared" si="311"/>
        <v>0</v>
      </c>
      <c r="O3550" s="59">
        <f t="shared" si="314"/>
        <v>0</v>
      </c>
      <c r="P3550" s="59">
        <f t="shared" si="312"/>
        <v>0</v>
      </c>
    </row>
    <row r="3551" spans="12:16" ht="15" hidden="1" customHeight="1">
      <c r="L3551" s="58" t="str">
        <f t="shared" si="310"/>
        <v>-</v>
      </c>
      <c r="M3551" s="59">
        <f t="shared" si="313"/>
        <v>0</v>
      </c>
      <c r="N3551" s="59">
        <f t="shared" si="311"/>
        <v>0</v>
      </c>
      <c r="O3551" s="59">
        <f t="shared" si="314"/>
        <v>0</v>
      </c>
      <c r="P3551" s="59">
        <f t="shared" si="312"/>
        <v>0</v>
      </c>
    </row>
    <row r="3552" spans="12:16" ht="15" hidden="1" customHeight="1">
      <c r="L3552" s="58" t="str">
        <f t="shared" si="310"/>
        <v>-</v>
      </c>
      <c r="M3552" s="59">
        <f t="shared" si="313"/>
        <v>0</v>
      </c>
      <c r="N3552" s="59">
        <f t="shared" si="311"/>
        <v>0</v>
      </c>
      <c r="O3552" s="59">
        <f t="shared" si="314"/>
        <v>0</v>
      </c>
      <c r="P3552" s="59">
        <f t="shared" si="312"/>
        <v>0</v>
      </c>
    </row>
    <row r="3553" spans="12:16" ht="15" hidden="1" customHeight="1">
      <c r="L3553" s="58" t="str">
        <f t="shared" si="310"/>
        <v>-</v>
      </c>
      <c r="M3553" s="59">
        <f t="shared" si="313"/>
        <v>0</v>
      </c>
      <c r="N3553" s="59">
        <f t="shared" si="311"/>
        <v>0</v>
      </c>
      <c r="O3553" s="59">
        <f t="shared" si="314"/>
        <v>0</v>
      </c>
      <c r="P3553" s="59">
        <f t="shared" si="312"/>
        <v>0</v>
      </c>
    </row>
    <row r="3554" spans="12:16" ht="15" hidden="1" customHeight="1">
      <c r="L3554" s="58" t="str">
        <f t="shared" si="310"/>
        <v>-</v>
      </c>
      <c r="M3554" s="59">
        <f t="shared" si="313"/>
        <v>0</v>
      </c>
      <c r="N3554" s="59">
        <f t="shared" si="311"/>
        <v>0</v>
      </c>
      <c r="O3554" s="59">
        <f t="shared" si="314"/>
        <v>0</v>
      </c>
      <c r="P3554" s="59">
        <f t="shared" si="312"/>
        <v>0</v>
      </c>
    </row>
    <row r="3555" spans="12:16" ht="15" hidden="1" customHeight="1">
      <c r="L3555" s="58" t="str">
        <f t="shared" si="310"/>
        <v>-</v>
      </c>
      <c r="M3555" s="59">
        <f t="shared" si="313"/>
        <v>0</v>
      </c>
      <c r="N3555" s="59">
        <f t="shared" si="311"/>
        <v>0</v>
      </c>
      <c r="O3555" s="59">
        <f t="shared" si="314"/>
        <v>0</v>
      </c>
      <c r="P3555" s="59">
        <f t="shared" si="312"/>
        <v>0</v>
      </c>
    </row>
    <row r="3556" spans="12:16" ht="15" hidden="1" customHeight="1">
      <c r="L3556" s="58" t="str">
        <f t="shared" ref="L3556:L3619" si="315">IFERROR(IF(MAX(L3555+1,$F$5+1)&gt;Дата_погашения_Займа,"-",MAX(L3555+1,$F$5+1)),"-")</f>
        <v>-</v>
      </c>
      <c r="M3556" s="59">
        <f t="shared" si="313"/>
        <v>0</v>
      </c>
      <c r="N3556" s="59">
        <f t="shared" si="311"/>
        <v>0</v>
      </c>
      <c r="O3556" s="59">
        <f t="shared" si="314"/>
        <v>0</v>
      </c>
      <c r="P3556" s="59">
        <f t="shared" si="312"/>
        <v>0</v>
      </c>
    </row>
    <row r="3557" spans="12:16" ht="15" hidden="1" customHeight="1">
      <c r="L3557" s="58" t="str">
        <f t="shared" si="315"/>
        <v>-</v>
      </c>
      <c r="M3557" s="59">
        <f t="shared" si="313"/>
        <v>0</v>
      </c>
      <c r="N3557" s="59">
        <f t="shared" si="311"/>
        <v>0</v>
      </c>
      <c r="O3557" s="59">
        <f t="shared" si="314"/>
        <v>0</v>
      </c>
      <c r="P3557" s="59">
        <f t="shared" si="312"/>
        <v>0</v>
      </c>
    </row>
    <row r="3558" spans="12:16" ht="15" hidden="1" customHeight="1">
      <c r="L3558" s="58" t="str">
        <f t="shared" si="315"/>
        <v>-</v>
      </c>
      <c r="M3558" s="59">
        <f t="shared" si="313"/>
        <v>0</v>
      </c>
      <c r="N3558" s="59">
        <f t="shared" si="311"/>
        <v>0</v>
      </c>
      <c r="O3558" s="59">
        <f t="shared" si="314"/>
        <v>0</v>
      </c>
      <c r="P3558" s="59">
        <f t="shared" si="312"/>
        <v>0</v>
      </c>
    </row>
    <row r="3559" spans="12:16" ht="15" hidden="1" customHeight="1">
      <c r="L3559" s="58" t="str">
        <f t="shared" si="315"/>
        <v>-</v>
      </c>
      <c r="M3559" s="59">
        <f t="shared" si="313"/>
        <v>0</v>
      </c>
      <c r="N3559" s="59">
        <f t="shared" si="311"/>
        <v>0</v>
      </c>
      <c r="O3559" s="59">
        <f t="shared" si="314"/>
        <v>0</v>
      </c>
      <c r="P3559" s="59">
        <f t="shared" si="312"/>
        <v>0</v>
      </c>
    </row>
    <row r="3560" spans="12:16" ht="15" hidden="1" customHeight="1">
      <c r="L3560" s="58" t="str">
        <f t="shared" si="315"/>
        <v>-</v>
      </c>
      <c r="M3560" s="59">
        <f t="shared" si="313"/>
        <v>0</v>
      </c>
      <c r="N3560" s="59">
        <f t="shared" si="311"/>
        <v>0</v>
      </c>
      <c r="O3560" s="59">
        <f t="shared" si="314"/>
        <v>0</v>
      </c>
      <c r="P3560" s="59">
        <f t="shared" si="312"/>
        <v>0</v>
      </c>
    </row>
    <row r="3561" spans="12:16" ht="15" hidden="1" customHeight="1">
      <c r="L3561" s="58" t="str">
        <f t="shared" si="315"/>
        <v>-</v>
      </c>
      <c r="M3561" s="59">
        <f t="shared" si="313"/>
        <v>0</v>
      </c>
      <c r="N3561" s="59">
        <f t="shared" si="311"/>
        <v>0</v>
      </c>
      <c r="O3561" s="59">
        <f t="shared" si="314"/>
        <v>0</v>
      </c>
      <c r="P3561" s="59">
        <f t="shared" si="312"/>
        <v>0</v>
      </c>
    </row>
    <row r="3562" spans="12:16" ht="15" hidden="1" customHeight="1">
      <c r="L3562" s="58" t="str">
        <f t="shared" si="315"/>
        <v>-</v>
      </c>
      <c r="M3562" s="59">
        <f t="shared" si="313"/>
        <v>0</v>
      </c>
      <c r="N3562" s="59">
        <f t="shared" si="311"/>
        <v>0</v>
      </c>
      <c r="O3562" s="59">
        <f t="shared" si="314"/>
        <v>0</v>
      </c>
      <c r="P3562" s="59">
        <f t="shared" si="312"/>
        <v>0</v>
      </c>
    </row>
    <row r="3563" spans="12:16" ht="15" hidden="1" customHeight="1">
      <c r="L3563" s="58" t="str">
        <f t="shared" si="315"/>
        <v>-</v>
      </c>
      <c r="M3563" s="59">
        <f t="shared" si="313"/>
        <v>0</v>
      </c>
      <c r="N3563" s="59">
        <f t="shared" si="311"/>
        <v>0</v>
      </c>
      <c r="O3563" s="59">
        <f t="shared" si="314"/>
        <v>0</v>
      </c>
      <c r="P3563" s="59">
        <f t="shared" si="312"/>
        <v>0</v>
      </c>
    </row>
    <row r="3564" spans="12:16" ht="15" hidden="1" customHeight="1">
      <c r="L3564" s="58" t="str">
        <f t="shared" si="315"/>
        <v>-</v>
      </c>
      <c r="M3564" s="59">
        <f t="shared" si="313"/>
        <v>0</v>
      </c>
      <c r="N3564" s="59">
        <f t="shared" si="311"/>
        <v>0</v>
      </c>
      <c r="O3564" s="59">
        <f t="shared" si="314"/>
        <v>0</v>
      </c>
      <c r="P3564" s="59">
        <f t="shared" si="312"/>
        <v>0</v>
      </c>
    </row>
    <row r="3565" spans="12:16" ht="15" hidden="1" customHeight="1">
      <c r="L3565" s="58" t="str">
        <f t="shared" si="315"/>
        <v>-</v>
      </c>
      <c r="M3565" s="59">
        <f t="shared" si="313"/>
        <v>0</v>
      </c>
      <c r="N3565" s="59">
        <f t="shared" si="311"/>
        <v>0</v>
      </c>
      <c r="O3565" s="59">
        <f t="shared" si="314"/>
        <v>0</v>
      </c>
      <c r="P3565" s="59">
        <f t="shared" si="312"/>
        <v>0</v>
      </c>
    </row>
    <row r="3566" spans="12:16" ht="15" hidden="1" customHeight="1">
      <c r="L3566" s="58" t="str">
        <f t="shared" si="315"/>
        <v>-</v>
      </c>
      <c r="M3566" s="59">
        <f t="shared" si="313"/>
        <v>0</v>
      </c>
      <c r="N3566" s="59">
        <f t="shared" si="311"/>
        <v>0</v>
      </c>
      <c r="O3566" s="59">
        <f t="shared" si="314"/>
        <v>0</v>
      </c>
      <c r="P3566" s="59">
        <f t="shared" si="312"/>
        <v>0</v>
      </c>
    </row>
    <row r="3567" spans="12:16" ht="15" hidden="1" customHeight="1">
      <c r="L3567" s="58" t="str">
        <f t="shared" si="315"/>
        <v>-</v>
      </c>
      <c r="M3567" s="59">
        <f t="shared" si="313"/>
        <v>0</v>
      </c>
      <c r="N3567" s="59">
        <f t="shared" si="311"/>
        <v>0</v>
      </c>
      <c r="O3567" s="59">
        <f t="shared" si="314"/>
        <v>0</v>
      </c>
      <c r="P3567" s="59">
        <f t="shared" si="312"/>
        <v>0</v>
      </c>
    </row>
    <row r="3568" spans="12:16" ht="15" hidden="1" customHeight="1">
      <c r="L3568" s="58" t="str">
        <f t="shared" si="315"/>
        <v>-</v>
      </c>
      <c r="M3568" s="59">
        <f t="shared" si="313"/>
        <v>0</v>
      </c>
      <c r="N3568" s="59">
        <f t="shared" si="311"/>
        <v>0</v>
      </c>
      <c r="O3568" s="59">
        <f t="shared" si="314"/>
        <v>0</v>
      </c>
      <c r="P3568" s="59">
        <f t="shared" si="312"/>
        <v>0</v>
      </c>
    </row>
    <row r="3569" spans="12:16" ht="15" hidden="1" customHeight="1">
      <c r="L3569" s="58" t="str">
        <f t="shared" si="315"/>
        <v>-</v>
      </c>
      <c r="M3569" s="59">
        <f t="shared" si="313"/>
        <v>0</v>
      </c>
      <c r="N3569" s="59">
        <f t="shared" si="311"/>
        <v>0</v>
      </c>
      <c r="O3569" s="59">
        <f t="shared" si="314"/>
        <v>0</v>
      </c>
      <c r="P3569" s="59">
        <f t="shared" si="312"/>
        <v>0</v>
      </c>
    </row>
    <row r="3570" spans="12:16" ht="15" hidden="1" customHeight="1">
      <c r="L3570" s="58" t="str">
        <f t="shared" si="315"/>
        <v>-</v>
      </c>
      <c r="M3570" s="59">
        <f t="shared" si="313"/>
        <v>0</v>
      </c>
      <c r="N3570" s="59">
        <f t="shared" si="311"/>
        <v>0</v>
      </c>
      <c r="O3570" s="59">
        <f t="shared" si="314"/>
        <v>0</v>
      </c>
      <c r="P3570" s="59">
        <f t="shared" si="312"/>
        <v>0</v>
      </c>
    </row>
    <row r="3571" spans="12:16" ht="15" hidden="1" customHeight="1">
      <c r="L3571" s="58" t="str">
        <f t="shared" si="315"/>
        <v>-</v>
      </c>
      <c r="M3571" s="59">
        <f t="shared" si="313"/>
        <v>0</v>
      </c>
      <c r="N3571" s="59">
        <f t="shared" si="311"/>
        <v>0</v>
      </c>
      <c r="O3571" s="59">
        <f t="shared" si="314"/>
        <v>0</v>
      </c>
      <c r="P3571" s="59">
        <f t="shared" si="312"/>
        <v>0</v>
      </c>
    </row>
    <row r="3572" spans="12:16" ht="15" hidden="1" customHeight="1">
      <c r="L3572" s="58" t="str">
        <f t="shared" si="315"/>
        <v>-</v>
      </c>
      <c r="M3572" s="59">
        <f t="shared" si="313"/>
        <v>0</v>
      </c>
      <c r="N3572" s="59">
        <f t="shared" si="311"/>
        <v>0</v>
      </c>
      <c r="O3572" s="59">
        <f t="shared" si="314"/>
        <v>0</v>
      </c>
      <c r="P3572" s="59">
        <f t="shared" si="312"/>
        <v>0</v>
      </c>
    </row>
    <row r="3573" spans="12:16" ht="15" hidden="1" customHeight="1">
      <c r="L3573" s="58" t="str">
        <f t="shared" si="315"/>
        <v>-</v>
      </c>
      <c r="M3573" s="59">
        <f t="shared" si="313"/>
        <v>0</v>
      </c>
      <c r="N3573" s="59">
        <f t="shared" si="311"/>
        <v>0</v>
      </c>
      <c r="O3573" s="59">
        <f t="shared" si="314"/>
        <v>0</v>
      </c>
      <c r="P3573" s="59">
        <f t="shared" si="312"/>
        <v>0</v>
      </c>
    </row>
    <row r="3574" spans="12:16" ht="15" hidden="1" customHeight="1">
      <c r="L3574" s="58" t="str">
        <f t="shared" si="315"/>
        <v>-</v>
      </c>
      <c r="M3574" s="59">
        <f t="shared" si="313"/>
        <v>0</v>
      </c>
      <c r="N3574" s="59">
        <f t="shared" si="311"/>
        <v>0</v>
      </c>
      <c r="O3574" s="59">
        <f t="shared" si="314"/>
        <v>0</v>
      </c>
      <c r="P3574" s="59">
        <f t="shared" si="312"/>
        <v>0</v>
      </c>
    </row>
    <row r="3575" spans="12:16" ht="15" hidden="1" customHeight="1">
      <c r="L3575" s="58" t="str">
        <f t="shared" si="315"/>
        <v>-</v>
      </c>
      <c r="M3575" s="59">
        <f t="shared" si="313"/>
        <v>0</v>
      </c>
      <c r="N3575" s="59">
        <f t="shared" si="311"/>
        <v>0</v>
      </c>
      <c r="O3575" s="59">
        <f t="shared" si="314"/>
        <v>0</v>
      </c>
      <c r="P3575" s="59">
        <f t="shared" si="312"/>
        <v>0</v>
      </c>
    </row>
    <row r="3576" spans="12:16" ht="15" hidden="1" customHeight="1">
      <c r="L3576" s="58" t="str">
        <f t="shared" si="315"/>
        <v>-</v>
      </c>
      <c r="M3576" s="59">
        <f t="shared" si="313"/>
        <v>0</v>
      </c>
      <c r="N3576" s="59">
        <f t="shared" si="311"/>
        <v>0</v>
      </c>
      <c r="O3576" s="59">
        <f t="shared" si="314"/>
        <v>0</v>
      </c>
      <c r="P3576" s="59">
        <f t="shared" si="312"/>
        <v>0</v>
      </c>
    </row>
    <row r="3577" spans="12:16" ht="15" hidden="1" customHeight="1">
      <c r="L3577" s="58" t="str">
        <f t="shared" si="315"/>
        <v>-</v>
      </c>
      <c r="M3577" s="59">
        <f t="shared" si="313"/>
        <v>0</v>
      </c>
      <c r="N3577" s="59">
        <f t="shared" si="311"/>
        <v>0</v>
      </c>
      <c r="O3577" s="59">
        <f t="shared" si="314"/>
        <v>0</v>
      </c>
      <c r="P3577" s="59">
        <f t="shared" si="312"/>
        <v>0</v>
      </c>
    </row>
    <row r="3578" spans="12:16" ht="15" hidden="1" customHeight="1">
      <c r="L3578" s="58" t="str">
        <f t="shared" si="315"/>
        <v>-</v>
      </c>
      <c r="M3578" s="59">
        <f t="shared" si="313"/>
        <v>0</v>
      </c>
      <c r="N3578" s="59">
        <f t="shared" si="311"/>
        <v>0</v>
      </c>
      <c r="O3578" s="59">
        <f t="shared" si="314"/>
        <v>0</v>
      </c>
      <c r="P3578" s="59">
        <f t="shared" si="312"/>
        <v>0</v>
      </c>
    </row>
    <row r="3579" spans="12:16" ht="15" hidden="1" customHeight="1">
      <c r="L3579" s="58" t="str">
        <f t="shared" si="315"/>
        <v>-</v>
      </c>
      <c r="M3579" s="59">
        <f t="shared" si="313"/>
        <v>0</v>
      </c>
      <c r="N3579" s="59">
        <f t="shared" si="311"/>
        <v>0</v>
      </c>
      <c r="O3579" s="59">
        <f t="shared" si="314"/>
        <v>0</v>
      </c>
      <c r="P3579" s="59">
        <f t="shared" si="312"/>
        <v>0</v>
      </c>
    </row>
    <row r="3580" spans="12:16" ht="15" hidden="1" customHeight="1">
      <c r="L3580" s="58" t="str">
        <f t="shared" si="315"/>
        <v>-</v>
      </c>
      <c r="M3580" s="59">
        <f t="shared" si="313"/>
        <v>0</v>
      </c>
      <c r="N3580" s="59">
        <f t="shared" ref="N3580:N3643" si="316">IF(ISNUMBER(N3579),N3579-M3580,$E$8)</f>
        <v>0</v>
      </c>
      <c r="O3580" s="59">
        <f t="shared" si="314"/>
        <v>0</v>
      </c>
      <c r="P3580" s="59">
        <f t="shared" ref="P3580:P3643" si="317">IFERROR(IF(ISNUMBER(N3579),N3579,$E$8)*3%/IF(MOD(YEAR(L3580),4),365,366)*IF(ISBLANK(L3579),(L3580-$F$5),L3580-L3579),0)</f>
        <v>0</v>
      </c>
    </row>
    <row r="3581" spans="12:16" ht="15" hidden="1" customHeight="1">
      <c r="L3581" s="58" t="str">
        <f t="shared" si="315"/>
        <v>-</v>
      </c>
      <c r="M3581" s="59">
        <f t="shared" si="313"/>
        <v>0</v>
      </c>
      <c r="N3581" s="59">
        <f t="shared" si="316"/>
        <v>0</v>
      </c>
      <c r="O3581" s="59">
        <f t="shared" si="314"/>
        <v>0</v>
      </c>
      <c r="P3581" s="59">
        <f t="shared" si="317"/>
        <v>0</v>
      </c>
    </row>
    <row r="3582" spans="12:16" ht="15" hidden="1" customHeight="1">
      <c r="L3582" s="58" t="str">
        <f t="shared" si="315"/>
        <v>-</v>
      </c>
      <c r="M3582" s="59">
        <f t="shared" si="313"/>
        <v>0</v>
      </c>
      <c r="N3582" s="59">
        <f t="shared" si="316"/>
        <v>0</v>
      </c>
      <c r="O3582" s="59">
        <f t="shared" si="314"/>
        <v>0</v>
      </c>
      <c r="P3582" s="59">
        <f t="shared" si="317"/>
        <v>0</v>
      </c>
    </row>
    <row r="3583" spans="12:16" ht="15" hidden="1" customHeight="1">
      <c r="L3583" s="58" t="str">
        <f t="shared" si="315"/>
        <v>-</v>
      </c>
      <c r="M3583" s="59">
        <f t="shared" si="313"/>
        <v>0</v>
      </c>
      <c r="N3583" s="59">
        <f t="shared" si="316"/>
        <v>0</v>
      </c>
      <c r="O3583" s="59">
        <f t="shared" si="314"/>
        <v>0</v>
      </c>
      <c r="P3583" s="59">
        <f t="shared" si="317"/>
        <v>0</v>
      </c>
    </row>
    <row r="3584" spans="12:16" ht="15" hidden="1" customHeight="1">
      <c r="L3584" s="58" t="str">
        <f t="shared" si="315"/>
        <v>-</v>
      </c>
      <c r="M3584" s="59">
        <f t="shared" si="313"/>
        <v>0</v>
      </c>
      <c r="N3584" s="59">
        <f t="shared" si="316"/>
        <v>0</v>
      </c>
      <c r="O3584" s="59">
        <f t="shared" si="314"/>
        <v>0</v>
      </c>
      <c r="P3584" s="59">
        <f t="shared" si="317"/>
        <v>0</v>
      </c>
    </row>
    <row r="3585" spans="12:16" ht="15" hidden="1" customHeight="1">
      <c r="L3585" s="58" t="str">
        <f t="shared" si="315"/>
        <v>-</v>
      </c>
      <c r="M3585" s="59">
        <f t="shared" si="313"/>
        <v>0</v>
      </c>
      <c r="N3585" s="59">
        <f t="shared" si="316"/>
        <v>0</v>
      </c>
      <c r="O3585" s="59">
        <f t="shared" si="314"/>
        <v>0</v>
      </c>
      <c r="P3585" s="59">
        <f t="shared" si="317"/>
        <v>0</v>
      </c>
    </row>
    <row r="3586" spans="12:16" ht="15" hidden="1" customHeight="1">
      <c r="L3586" s="58" t="str">
        <f t="shared" si="315"/>
        <v>-</v>
      </c>
      <c r="M3586" s="59">
        <f t="shared" si="313"/>
        <v>0</v>
      </c>
      <c r="N3586" s="59">
        <f t="shared" si="316"/>
        <v>0</v>
      </c>
      <c r="O3586" s="59">
        <f t="shared" si="314"/>
        <v>0</v>
      </c>
      <c r="P3586" s="59">
        <f t="shared" si="317"/>
        <v>0</v>
      </c>
    </row>
    <row r="3587" spans="12:16" ht="15" hidden="1" customHeight="1">
      <c r="L3587" s="58" t="str">
        <f t="shared" si="315"/>
        <v>-</v>
      </c>
      <c r="M3587" s="59">
        <f t="shared" si="313"/>
        <v>0</v>
      </c>
      <c r="N3587" s="59">
        <f t="shared" si="316"/>
        <v>0</v>
      </c>
      <c r="O3587" s="59">
        <f t="shared" si="314"/>
        <v>0</v>
      </c>
      <c r="P3587" s="59">
        <f t="shared" si="317"/>
        <v>0</v>
      </c>
    </row>
    <row r="3588" spans="12:16" ht="15" hidden="1" customHeight="1">
      <c r="L3588" s="58" t="str">
        <f t="shared" si="315"/>
        <v>-</v>
      </c>
      <c r="M3588" s="59">
        <f t="shared" si="313"/>
        <v>0</v>
      </c>
      <c r="N3588" s="59">
        <f t="shared" si="316"/>
        <v>0</v>
      </c>
      <c r="O3588" s="59">
        <f t="shared" si="314"/>
        <v>0</v>
      </c>
      <c r="P3588" s="59">
        <f t="shared" si="317"/>
        <v>0</v>
      </c>
    </row>
    <row r="3589" spans="12:16" ht="15" hidden="1" customHeight="1">
      <c r="L3589" s="58" t="str">
        <f t="shared" si="315"/>
        <v>-</v>
      </c>
      <c r="M3589" s="59">
        <f t="shared" si="313"/>
        <v>0</v>
      </c>
      <c r="N3589" s="59">
        <f t="shared" si="316"/>
        <v>0</v>
      </c>
      <c r="O3589" s="59">
        <f t="shared" si="314"/>
        <v>0</v>
      </c>
      <c r="P3589" s="59">
        <f t="shared" si="317"/>
        <v>0</v>
      </c>
    </row>
    <row r="3590" spans="12:16" ht="15" hidden="1" customHeight="1">
      <c r="L3590" s="58" t="str">
        <f t="shared" si="315"/>
        <v>-</v>
      </c>
      <c r="M3590" s="59">
        <f t="shared" si="313"/>
        <v>0</v>
      </c>
      <c r="N3590" s="59">
        <f t="shared" si="316"/>
        <v>0</v>
      </c>
      <c r="O3590" s="59">
        <f t="shared" si="314"/>
        <v>0</v>
      </c>
      <c r="P3590" s="59">
        <f t="shared" si="317"/>
        <v>0</v>
      </c>
    </row>
    <row r="3591" spans="12:16" ht="15" hidden="1" customHeight="1">
      <c r="L3591" s="58" t="str">
        <f t="shared" si="315"/>
        <v>-</v>
      </c>
      <c r="M3591" s="59">
        <f t="shared" si="313"/>
        <v>0</v>
      </c>
      <c r="N3591" s="59">
        <f t="shared" si="316"/>
        <v>0</v>
      </c>
      <c r="O3591" s="59">
        <f t="shared" si="314"/>
        <v>0</v>
      </c>
      <c r="P3591" s="59">
        <f t="shared" si="317"/>
        <v>0</v>
      </c>
    </row>
    <row r="3592" spans="12:16" ht="15" hidden="1" customHeight="1">
      <c r="L3592" s="58" t="str">
        <f t="shared" si="315"/>
        <v>-</v>
      </c>
      <c r="M3592" s="59">
        <f t="shared" si="313"/>
        <v>0</v>
      </c>
      <c r="N3592" s="59">
        <f t="shared" si="316"/>
        <v>0</v>
      </c>
      <c r="O3592" s="59">
        <f t="shared" si="314"/>
        <v>0</v>
      </c>
      <c r="P3592" s="59">
        <f t="shared" si="317"/>
        <v>0</v>
      </c>
    </row>
    <row r="3593" spans="12:16" ht="15" hidden="1" customHeight="1">
      <c r="L3593" s="58" t="str">
        <f t="shared" si="315"/>
        <v>-</v>
      </c>
      <c r="M3593" s="59">
        <f t="shared" si="313"/>
        <v>0</v>
      </c>
      <c r="N3593" s="59">
        <f t="shared" si="316"/>
        <v>0</v>
      </c>
      <c r="O3593" s="59">
        <f t="shared" si="314"/>
        <v>0</v>
      </c>
      <c r="P3593" s="59">
        <f t="shared" si="317"/>
        <v>0</v>
      </c>
    </row>
    <row r="3594" spans="12:16" ht="15" hidden="1" customHeight="1">
      <c r="L3594" s="58" t="str">
        <f t="shared" si="315"/>
        <v>-</v>
      </c>
      <c r="M3594" s="59">
        <f t="shared" si="313"/>
        <v>0</v>
      </c>
      <c r="N3594" s="59">
        <f t="shared" si="316"/>
        <v>0</v>
      </c>
      <c r="O3594" s="59">
        <f t="shared" si="314"/>
        <v>0</v>
      </c>
      <c r="P3594" s="59">
        <f t="shared" si="317"/>
        <v>0</v>
      </c>
    </row>
    <row r="3595" spans="12:16" ht="15" hidden="1" customHeight="1">
      <c r="L3595" s="58" t="str">
        <f t="shared" si="315"/>
        <v>-</v>
      </c>
      <c r="M3595" s="59">
        <f t="shared" si="313"/>
        <v>0</v>
      </c>
      <c r="N3595" s="59">
        <f t="shared" si="316"/>
        <v>0</v>
      </c>
      <c r="O3595" s="59">
        <f t="shared" si="314"/>
        <v>0</v>
      </c>
      <c r="P3595" s="59">
        <f t="shared" si="317"/>
        <v>0</v>
      </c>
    </row>
    <row r="3596" spans="12:16" ht="15" hidden="1" customHeight="1">
      <c r="L3596" s="58" t="str">
        <f t="shared" si="315"/>
        <v>-</v>
      </c>
      <c r="M3596" s="59">
        <f t="shared" si="313"/>
        <v>0</v>
      </c>
      <c r="N3596" s="59">
        <f t="shared" si="316"/>
        <v>0</v>
      </c>
      <c r="O3596" s="59">
        <f t="shared" si="314"/>
        <v>0</v>
      </c>
      <c r="P3596" s="59">
        <f t="shared" si="317"/>
        <v>0</v>
      </c>
    </row>
    <row r="3597" spans="12:16" ht="15" hidden="1" customHeight="1">
      <c r="L3597" s="58" t="str">
        <f t="shared" si="315"/>
        <v>-</v>
      </c>
      <c r="M3597" s="59">
        <f t="shared" si="313"/>
        <v>0</v>
      </c>
      <c r="N3597" s="59">
        <f t="shared" si="316"/>
        <v>0</v>
      </c>
      <c r="O3597" s="59">
        <f t="shared" si="314"/>
        <v>0</v>
      </c>
      <c r="P3597" s="59">
        <f t="shared" si="317"/>
        <v>0</v>
      </c>
    </row>
    <row r="3598" spans="12:16" ht="15" hidden="1" customHeight="1">
      <c r="L3598" s="58" t="str">
        <f t="shared" si="315"/>
        <v>-</v>
      </c>
      <c r="M3598" s="59">
        <f t="shared" si="313"/>
        <v>0</v>
      </c>
      <c r="N3598" s="59">
        <f t="shared" si="316"/>
        <v>0</v>
      </c>
      <c r="O3598" s="59">
        <f t="shared" si="314"/>
        <v>0</v>
      </c>
      <c r="P3598" s="59">
        <f t="shared" si="317"/>
        <v>0</v>
      </c>
    </row>
    <row r="3599" spans="12:16" ht="15" hidden="1" customHeight="1">
      <c r="L3599" s="58" t="str">
        <f t="shared" si="315"/>
        <v>-</v>
      </c>
      <c r="M3599" s="59">
        <f t="shared" si="313"/>
        <v>0</v>
      </c>
      <c r="N3599" s="59">
        <f t="shared" si="316"/>
        <v>0</v>
      </c>
      <c r="O3599" s="59">
        <f t="shared" si="314"/>
        <v>0</v>
      </c>
      <c r="P3599" s="59">
        <f t="shared" si="317"/>
        <v>0</v>
      </c>
    </row>
    <row r="3600" spans="12:16" ht="15" hidden="1" customHeight="1">
      <c r="L3600" s="58" t="str">
        <f t="shared" si="315"/>
        <v>-</v>
      </c>
      <c r="M3600" s="59">
        <f t="shared" si="313"/>
        <v>0</v>
      </c>
      <c r="N3600" s="59">
        <f t="shared" si="316"/>
        <v>0</v>
      </c>
      <c r="O3600" s="59">
        <f t="shared" si="314"/>
        <v>0</v>
      </c>
      <c r="P3600" s="59">
        <f t="shared" si="317"/>
        <v>0</v>
      </c>
    </row>
    <row r="3601" spans="12:16" ht="15" hidden="1" customHeight="1">
      <c r="L3601" s="58" t="str">
        <f t="shared" si="315"/>
        <v>-</v>
      </c>
      <c r="M3601" s="59">
        <f t="shared" si="313"/>
        <v>0</v>
      </c>
      <c r="N3601" s="59">
        <f t="shared" si="316"/>
        <v>0</v>
      </c>
      <c r="O3601" s="59">
        <f t="shared" si="314"/>
        <v>0</v>
      </c>
      <c r="P3601" s="59">
        <f t="shared" si="317"/>
        <v>0</v>
      </c>
    </row>
    <row r="3602" spans="12:16" ht="15" hidden="1" customHeight="1">
      <c r="L3602" s="58" t="str">
        <f t="shared" si="315"/>
        <v>-</v>
      </c>
      <c r="M3602" s="59">
        <f t="shared" si="313"/>
        <v>0</v>
      </c>
      <c r="N3602" s="59">
        <f t="shared" si="316"/>
        <v>0</v>
      </c>
      <c r="O3602" s="59">
        <f t="shared" si="314"/>
        <v>0</v>
      </c>
      <c r="P3602" s="59">
        <f t="shared" si="317"/>
        <v>0</v>
      </c>
    </row>
    <row r="3603" spans="12:16" ht="15" hidden="1" customHeight="1">
      <c r="L3603" s="58" t="str">
        <f t="shared" si="315"/>
        <v>-</v>
      </c>
      <c r="M3603" s="59">
        <f t="shared" ref="M3603:M3666" si="318">IFERROR(VLOOKUP(L3603,$B$19:$E$80,4,FALSE),0)</f>
        <v>0</v>
      </c>
      <c r="N3603" s="59">
        <f t="shared" si="316"/>
        <v>0</v>
      </c>
      <c r="O3603" s="59">
        <f t="shared" ref="O3603:O3666" si="319">IFERROR(IF(ISNUMBER(N3602),N3602,$E$8)*IF(L3603&gt;=$J$8,$E$12,$E$12)/IF(MOD(YEAR(L3603),4),365,366)*IF(ISBLANK(L3602),L3603-$F$5,L3603-L3602),0)</f>
        <v>0</v>
      </c>
      <c r="P3603" s="59">
        <f t="shared" si="317"/>
        <v>0</v>
      </c>
    </row>
    <row r="3604" spans="12:16" ht="15" hidden="1" customHeight="1">
      <c r="L3604" s="58" t="str">
        <f t="shared" si="315"/>
        <v>-</v>
      </c>
      <c r="M3604" s="59">
        <f t="shared" si="318"/>
        <v>0</v>
      </c>
      <c r="N3604" s="59">
        <f t="shared" si="316"/>
        <v>0</v>
      </c>
      <c r="O3604" s="59">
        <f t="shared" si="319"/>
        <v>0</v>
      </c>
      <c r="P3604" s="59">
        <f t="shared" si="317"/>
        <v>0</v>
      </c>
    </row>
    <row r="3605" spans="12:16" ht="15" hidden="1" customHeight="1">
      <c r="L3605" s="58" t="str">
        <f t="shared" si="315"/>
        <v>-</v>
      </c>
      <c r="M3605" s="59">
        <f t="shared" si="318"/>
        <v>0</v>
      </c>
      <c r="N3605" s="59">
        <f t="shared" si="316"/>
        <v>0</v>
      </c>
      <c r="O3605" s="59">
        <f t="shared" si="319"/>
        <v>0</v>
      </c>
      <c r="P3605" s="59">
        <f t="shared" si="317"/>
        <v>0</v>
      </c>
    </row>
    <row r="3606" spans="12:16" ht="15" hidden="1" customHeight="1">
      <c r="L3606" s="58" t="str">
        <f t="shared" si="315"/>
        <v>-</v>
      </c>
      <c r="M3606" s="59">
        <f t="shared" si="318"/>
        <v>0</v>
      </c>
      <c r="N3606" s="59">
        <f t="shared" si="316"/>
        <v>0</v>
      </c>
      <c r="O3606" s="59">
        <f t="shared" si="319"/>
        <v>0</v>
      </c>
      <c r="P3606" s="59">
        <f t="shared" si="317"/>
        <v>0</v>
      </c>
    </row>
    <row r="3607" spans="12:16" ht="15" hidden="1" customHeight="1">
      <c r="L3607" s="58" t="str">
        <f t="shared" si="315"/>
        <v>-</v>
      </c>
      <c r="M3607" s="59">
        <f t="shared" si="318"/>
        <v>0</v>
      </c>
      <c r="N3607" s="59">
        <f t="shared" si="316"/>
        <v>0</v>
      </c>
      <c r="O3607" s="59">
        <f t="shared" si="319"/>
        <v>0</v>
      </c>
      <c r="P3607" s="59">
        <f t="shared" si="317"/>
        <v>0</v>
      </c>
    </row>
    <row r="3608" spans="12:16" ht="15" hidden="1" customHeight="1">
      <c r="L3608" s="58" t="str">
        <f t="shared" si="315"/>
        <v>-</v>
      </c>
      <c r="M3608" s="59">
        <f t="shared" si="318"/>
        <v>0</v>
      </c>
      <c r="N3608" s="59">
        <f t="shared" si="316"/>
        <v>0</v>
      </c>
      <c r="O3608" s="59">
        <f t="shared" si="319"/>
        <v>0</v>
      </c>
      <c r="P3608" s="59">
        <f t="shared" si="317"/>
        <v>0</v>
      </c>
    </row>
    <row r="3609" spans="12:16" ht="15" hidden="1" customHeight="1">
      <c r="L3609" s="58" t="str">
        <f t="shared" si="315"/>
        <v>-</v>
      </c>
      <c r="M3609" s="59">
        <f t="shared" si="318"/>
        <v>0</v>
      </c>
      <c r="N3609" s="59">
        <f t="shared" si="316"/>
        <v>0</v>
      </c>
      <c r="O3609" s="59">
        <f t="shared" si="319"/>
        <v>0</v>
      </c>
      <c r="P3609" s="59">
        <f t="shared" si="317"/>
        <v>0</v>
      </c>
    </row>
    <row r="3610" spans="12:16" ht="15" hidden="1" customHeight="1">
      <c r="L3610" s="58" t="str">
        <f t="shared" si="315"/>
        <v>-</v>
      </c>
      <c r="M3610" s="59">
        <f t="shared" si="318"/>
        <v>0</v>
      </c>
      <c r="N3610" s="59">
        <f t="shared" si="316"/>
        <v>0</v>
      </c>
      <c r="O3610" s="59">
        <f t="shared" si="319"/>
        <v>0</v>
      </c>
      <c r="P3610" s="59">
        <f t="shared" si="317"/>
        <v>0</v>
      </c>
    </row>
    <row r="3611" spans="12:16" ht="15" hidden="1" customHeight="1">
      <c r="L3611" s="58" t="str">
        <f t="shared" si="315"/>
        <v>-</v>
      </c>
      <c r="M3611" s="59">
        <f t="shared" si="318"/>
        <v>0</v>
      </c>
      <c r="N3611" s="59">
        <f t="shared" si="316"/>
        <v>0</v>
      </c>
      <c r="O3611" s="59">
        <f t="shared" si="319"/>
        <v>0</v>
      </c>
      <c r="P3611" s="59">
        <f t="shared" si="317"/>
        <v>0</v>
      </c>
    </row>
    <row r="3612" spans="12:16" ht="15" hidden="1" customHeight="1">
      <c r="L3612" s="58" t="str">
        <f t="shared" si="315"/>
        <v>-</v>
      </c>
      <c r="M3612" s="59">
        <f t="shared" si="318"/>
        <v>0</v>
      </c>
      <c r="N3612" s="59">
        <f t="shared" si="316"/>
        <v>0</v>
      </c>
      <c r="O3612" s="59">
        <f t="shared" si="319"/>
        <v>0</v>
      </c>
      <c r="P3612" s="59">
        <f t="shared" si="317"/>
        <v>0</v>
      </c>
    </row>
    <row r="3613" spans="12:16" ht="15" hidden="1" customHeight="1">
      <c r="L3613" s="58" t="str">
        <f t="shared" si="315"/>
        <v>-</v>
      </c>
      <c r="M3613" s="59">
        <f t="shared" si="318"/>
        <v>0</v>
      </c>
      <c r="N3613" s="59">
        <f t="shared" si="316"/>
        <v>0</v>
      </c>
      <c r="O3613" s="59">
        <f t="shared" si="319"/>
        <v>0</v>
      </c>
      <c r="P3613" s="59">
        <f t="shared" si="317"/>
        <v>0</v>
      </c>
    </row>
    <row r="3614" spans="12:16" ht="15" hidden="1" customHeight="1">
      <c r="L3614" s="58" t="str">
        <f t="shared" si="315"/>
        <v>-</v>
      </c>
      <c r="M3614" s="59">
        <f t="shared" si="318"/>
        <v>0</v>
      </c>
      <c r="N3614" s="59">
        <f t="shared" si="316"/>
        <v>0</v>
      </c>
      <c r="O3614" s="59">
        <f t="shared" si="319"/>
        <v>0</v>
      </c>
      <c r="P3614" s="59">
        <f t="shared" si="317"/>
        <v>0</v>
      </c>
    </row>
    <row r="3615" spans="12:16" ht="15" hidden="1" customHeight="1">
      <c r="L3615" s="58" t="str">
        <f t="shared" si="315"/>
        <v>-</v>
      </c>
      <c r="M3615" s="59">
        <f t="shared" si="318"/>
        <v>0</v>
      </c>
      <c r="N3615" s="59">
        <f t="shared" si="316"/>
        <v>0</v>
      </c>
      <c r="O3615" s="59">
        <f t="shared" si="319"/>
        <v>0</v>
      </c>
      <c r="P3615" s="59">
        <f t="shared" si="317"/>
        <v>0</v>
      </c>
    </row>
    <row r="3616" spans="12:16" ht="15" hidden="1" customHeight="1">
      <c r="L3616" s="58" t="str">
        <f t="shared" si="315"/>
        <v>-</v>
      </c>
      <c r="M3616" s="59">
        <f t="shared" si="318"/>
        <v>0</v>
      </c>
      <c r="N3616" s="59">
        <f t="shared" si="316"/>
        <v>0</v>
      </c>
      <c r="O3616" s="59">
        <f t="shared" si="319"/>
        <v>0</v>
      </c>
      <c r="P3616" s="59">
        <f t="shared" si="317"/>
        <v>0</v>
      </c>
    </row>
    <row r="3617" spans="12:16" ht="15" hidden="1" customHeight="1">
      <c r="L3617" s="58" t="str">
        <f t="shared" si="315"/>
        <v>-</v>
      </c>
      <c r="M3617" s="59">
        <f t="shared" si="318"/>
        <v>0</v>
      </c>
      <c r="N3617" s="59">
        <f t="shared" si="316"/>
        <v>0</v>
      </c>
      <c r="O3617" s="59">
        <f t="shared" si="319"/>
        <v>0</v>
      </c>
      <c r="P3617" s="59">
        <f t="shared" si="317"/>
        <v>0</v>
      </c>
    </row>
    <row r="3618" spans="12:16" ht="15" hidden="1" customHeight="1">
      <c r="L3618" s="58" t="str">
        <f t="shared" si="315"/>
        <v>-</v>
      </c>
      <c r="M3618" s="59">
        <f t="shared" si="318"/>
        <v>0</v>
      </c>
      <c r="N3618" s="59">
        <f t="shared" si="316"/>
        <v>0</v>
      </c>
      <c r="O3618" s="59">
        <f t="shared" si="319"/>
        <v>0</v>
      </c>
      <c r="P3618" s="59">
        <f t="shared" si="317"/>
        <v>0</v>
      </c>
    </row>
    <row r="3619" spans="12:16" ht="15" hidden="1" customHeight="1">
      <c r="L3619" s="58" t="str">
        <f t="shared" si="315"/>
        <v>-</v>
      </c>
      <c r="M3619" s="59">
        <f t="shared" si="318"/>
        <v>0</v>
      </c>
      <c r="N3619" s="59">
        <f t="shared" si="316"/>
        <v>0</v>
      </c>
      <c r="O3619" s="59">
        <f t="shared" si="319"/>
        <v>0</v>
      </c>
      <c r="P3619" s="59">
        <f t="shared" si="317"/>
        <v>0</v>
      </c>
    </row>
    <row r="3620" spans="12:16" ht="15" hidden="1" customHeight="1">
      <c r="L3620" s="58" t="str">
        <f t="shared" ref="L3620:L3683" si="320">IFERROR(IF(MAX(L3619+1,$F$5+1)&gt;Дата_погашения_Займа,"-",MAX(L3619+1,$F$5+1)),"-")</f>
        <v>-</v>
      </c>
      <c r="M3620" s="59">
        <f t="shared" si="318"/>
        <v>0</v>
      </c>
      <c r="N3620" s="59">
        <f t="shared" si="316"/>
        <v>0</v>
      </c>
      <c r="O3620" s="59">
        <f t="shared" si="319"/>
        <v>0</v>
      </c>
      <c r="P3620" s="59">
        <f t="shared" si="317"/>
        <v>0</v>
      </c>
    </row>
    <row r="3621" spans="12:16" ht="15" hidden="1" customHeight="1">
      <c r="L3621" s="58" t="str">
        <f t="shared" si="320"/>
        <v>-</v>
      </c>
      <c r="M3621" s="59">
        <f t="shared" si="318"/>
        <v>0</v>
      </c>
      <c r="N3621" s="59">
        <f t="shared" si="316"/>
        <v>0</v>
      </c>
      <c r="O3621" s="59">
        <f t="shared" si="319"/>
        <v>0</v>
      </c>
      <c r="P3621" s="59">
        <f t="shared" si="317"/>
        <v>0</v>
      </c>
    </row>
    <row r="3622" spans="12:16" ht="15" hidden="1" customHeight="1">
      <c r="L3622" s="58" t="str">
        <f t="shared" si="320"/>
        <v>-</v>
      </c>
      <c r="M3622" s="59">
        <f t="shared" si="318"/>
        <v>0</v>
      </c>
      <c r="N3622" s="59">
        <f t="shared" si="316"/>
        <v>0</v>
      </c>
      <c r="O3622" s="59">
        <f t="shared" si="319"/>
        <v>0</v>
      </c>
      <c r="P3622" s="59">
        <f t="shared" si="317"/>
        <v>0</v>
      </c>
    </row>
    <row r="3623" spans="12:16" ht="15" hidden="1" customHeight="1">
      <c r="L3623" s="58" t="str">
        <f t="shared" si="320"/>
        <v>-</v>
      </c>
      <c r="M3623" s="59">
        <f t="shared" si="318"/>
        <v>0</v>
      </c>
      <c r="N3623" s="59">
        <f t="shared" si="316"/>
        <v>0</v>
      </c>
      <c r="O3623" s="59">
        <f t="shared" si="319"/>
        <v>0</v>
      </c>
      <c r="P3623" s="59">
        <f t="shared" si="317"/>
        <v>0</v>
      </c>
    </row>
    <row r="3624" spans="12:16" ht="15" hidden="1" customHeight="1">
      <c r="L3624" s="58" t="str">
        <f t="shared" si="320"/>
        <v>-</v>
      </c>
      <c r="M3624" s="59">
        <f t="shared" si="318"/>
        <v>0</v>
      </c>
      <c r="N3624" s="59">
        <f t="shared" si="316"/>
        <v>0</v>
      </c>
      <c r="O3624" s="59">
        <f t="shared" si="319"/>
        <v>0</v>
      </c>
      <c r="P3624" s="59">
        <f t="shared" si="317"/>
        <v>0</v>
      </c>
    </row>
    <row r="3625" spans="12:16" ht="15" hidden="1" customHeight="1">
      <c r="L3625" s="58" t="str">
        <f t="shared" si="320"/>
        <v>-</v>
      </c>
      <c r="M3625" s="59">
        <f t="shared" si="318"/>
        <v>0</v>
      </c>
      <c r="N3625" s="59">
        <f t="shared" si="316"/>
        <v>0</v>
      </c>
      <c r="O3625" s="59">
        <f t="shared" si="319"/>
        <v>0</v>
      </c>
      <c r="P3625" s="59">
        <f t="shared" si="317"/>
        <v>0</v>
      </c>
    </row>
    <row r="3626" spans="12:16" ht="15" hidden="1" customHeight="1">
      <c r="L3626" s="58" t="str">
        <f t="shared" si="320"/>
        <v>-</v>
      </c>
      <c r="M3626" s="59">
        <f t="shared" si="318"/>
        <v>0</v>
      </c>
      <c r="N3626" s="59">
        <f t="shared" si="316"/>
        <v>0</v>
      </c>
      <c r="O3626" s="59">
        <f t="shared" si="319"/>
        <v>0</v>
      </c>
      <c r="P3626" s="59">
        <f t="shared" si="317"/>
        <v>0</v>
      </c>
    </row>
    <row r="3627" spans="12:16" ht="15" hidden="1" customHeight="1">
      <c r="L3627" s="58" t="str">
        <f t="shared" si="320"/>
        <v>-</v>
      </c>
      <c r="M3627" s="59">
        <f t="shared" si="318"/>
        <v>0</v>
      </c>
      <c r="N3627" s="59">
        <f t="shared" si="316"/>
        <v>0</v>
      </c>
      <c r="O3627" s="59">
        <f t="shared" si="319"/>
        <v>0</v>
      </c>
      <c r="P3627" s="59">
        <f t="shared" si="317"/>
        <v>0</v>
      </c>
    </row>
    <row r="3628" spans="12:16" ht="15" hidden="1" customHeight="1">
      <c r="L3628" s="58" t="str">
        <f t="shared" si="320"/>
        <v>-</v>
      </c>
      <c r="M3628" s="59">
        <f t="shared" si="318"/>
        <v>0</v>
      </c>
      <c r="N3628" s="59">
        <f t="shared" si="316"/>
        <v>0</v>
      </c>
      <c r="O3628" s="59">
        <f t="shared" si="319"/>
        <v>0</v>
      </c>
      <c r="P3628" s="59">
        <f t="shared" si="317"/>
        <v>0</v>
      </c>
    </row>
    <row r="3629" spans="12:16" ht="15" hidden="1" customHeight="1">
      <c r="L3629" s="58" t="str">
        <f t="shared" si="320"/>
        <v>-</v>
      </c>
      <c r="M3629" s="59">
        <f t="shared" si="318"/>
        <v>0</v>
      </c>
      <c r="N3629" s="59">
        <f t="shared" si="316"/>
        <v>0</v>
      </c>
      <c r="O3629" s="59">
        <f t="shared" si="319"/>
        <v>0</v>
      </c>
      <c r="P3629" s="59">
        <f t="shared" si="317"/>
        <v>0</v>
      </c>
    </row>
    <row r="3630" spans="12:16" ht="15" hidden="1" customHeight="1">
      <c r="L3630" s="58" t="str">
        <f t="shared" si="320"/>
        <v>-</v>
      </c>
      <c r="M3630" s="59">
        <f t="shared" si="318"/>
        <v>0</v>
      </c>
      <c r="N3630" s="59">
        <f t="shared" si="316"/>
        <v>0</v>
      </c>
      <c r="O3630" s="59">
        <f t="shared" si="319"/>
        <v>0</v>
      </c>
      <c r="P3630" s="59">
        <f t="shared" si="317"/>
        <v>0</v>
      </c>
    </row>
    <row r="3631" spans="12:16" ht="15" hidden="1" customHeight="1">
      <c r="L3631" s="58" t="str">
        <f t="shared" si="320"/>
        <v>-</v>
      </c>
      <c r="M3631" s="59">
        <f t="shared" si="318"/>
        <v>0</v>
      </c>
      <c r="N3631" s="59">
        <f t="shared" si="316"/>
        <v>0</v>
      </c>
      <c r="O3631" s="59">
        <f t="shared" si="319"/>
        <v>0</v>
      </c>
      <c r="P3631" s="59">
        <f t="shared" si="317"/>
        <v>0</v>
      </c>
    </row>
    <row r="3632" spans="12:16" ht="15" hidden="1" customHeight="1">
      <c r="L3632" s="58" t="str">
        <f t="shared" si="320"/>
        <v>-</v>
      </c>
      <c r="M3632" s="59">
        <f t="shared" si="318"/>
        <v>0</v>
      </c>
      <c r="N3632" s="59">
        <f t="shared" si="316"/>
        <v>0</v>
      </c>
      <c r="O3632" s="59">
        <f t="shared" si="319"/>
        <v>0</v>
      </c>
      <c r="P3632" s="59">
        <f t="shared" si="317"/>
        <v>0</v>
      </c>
    </row>
    <row r="3633" spans="12:16" ht="15" hidden="1" customHeight="1">
      <c r="L3633" s="58" t="str">
        <f t="shared" si="320"/>
        <v>-</v>
      </c>
      <c r="M3633" s="59">
        <f t="shared" si="318"/>
        <v>0</v>
      </c>
      <c r="N3633" s="59">
        <f t="shared" si="316"/>
        <v>0</v>
      </c>
      <c r="O3633" s="59">
        <f t="shared" si="319"/>
        <v>0</v>
      </c>
      <c r="P3633" s="59">
        <f t="shared" si="317"/>
        <v>0</v>
      </c>
    </row>
    <row r="3634" spans="12:16" ht="15" hidden="1" customHeight="1">
      <c r="L3634" s="58" t="str">
        <f t="shared" si="320"/>
        <v>-</v>
      </c>
      <c r="M3634" s="59">
        <f t="shared" si="318"/>
        <v>0</v>
      </c>
      <c r="N3634" s="59">
        <f t="shared" si="316"/>
        <v>0</v>
      </c>
      <c r="O3634" s="59">
        <f t="shared" si="319"/>
        <v>0</v>
      </c>
      <c r="P3634" s="59">
        <f t="shared" si="317"/>
        <v>0</v>
      </c>
    </row>
    <row r="3635" spans="12:16" ht="15" hidden="1" customHeight="1">
      <c r="L3635" s="58" t="str">
        <f t="shared" si="320"/>
        <v>-</v>
      </c>
      <c r="M3635" s="59">
        <f t="shared" si="318"/>
        <v>0</v>
      </c>
      <c r="N3635" s="59">
        <f t="shared" si="316"/>
        <v>0</v>
      </c>
      <c r="O3635" s="59">
        <f t="shared" si="319"/>
        <v>0</v>
      </c>
      <c r="P3635" s="59">
        <f t="shared" si="317"/>
        <v>0</v>
      </c>
    </row>
    <row r="3636" spans="12:16" ht="15" hidden="1" customHeight="1">
      <c r="L3636" s="58" t="str">
        <f t="shared" si="320"/>
        <v>-</v>
      </c>
      <c r="M3636" s="59">
        <f t="shared" si="318"/>
        <v>0</v>
      </c>
      <c r="N3636" s="59">
        <f t="shared" si="316"/>
        <v>0</v>
      </c>
      <c r="O3636" s="59">
        <f t="shared" si="319"/>
        <v>0</v>
      </c>
      <c r="P3636" s="59">
        <f t="shared" si="317"/>
        <v>0</v>
      </c>
    </row>
    <row r="3637" spans="12:16" ht="15" hidden="1" customHeight="1">
      <c r="L3637" s="58" t="str">
        <f t="shared" si="320"/>
        <v>-</v>
      </c>
      <c r="M3637" s="59">
        <f t="shared" si="318"/>
        <v>0</v>
      </c>
      <c r="N3637" s="59">
        <f t="shared" si="316"/>
        <v>0</v>
      </c>
      <c r="O3637" s="59">
        <f t="shared" si="319"/>
        <v>0</v>
      </c>
      <c r="P3637" s="59">
        <f t="shared" si="317"/>
        <v>0</v>
      </c>
    </row>
    <row r="3638" spans="12:16" ht="15" hidden="1" customHeight="1">
      <c r="L3638" s="58" t="str">
        <f t="shared" si="320"/>
        <v>-</v>
      </c>
      <c r="M3638" s="59">
        <f t="shared" si="318"/>
        <v>0</v>
      </c>
      <c r="N3638" s="59">
        <f t="shared" si="316"/>
        <v>0</v>
      </c>
      <c r="O3638" s="59">
        <f t="shared" si="319"/>
        <v>0</v>
      </c>
      <c r="P3638" s="59">
        <f t="shared" si="317"/>
        <v>0</v>
      </c>
    </row>
    <row r="3639" spans="12:16" ht="15" hidden="1" customHeight="1">
      <c r="L3639" s="58" t="str">
        <f t="shared" si="320"/>
        <v>-</v>
      </c>
      <c r="M3639" s="59">
        <f t="shared" si="318"/>
        <v>0</v>
      </c>
      <c r="N3639" s="59">
        <f t="shared" si="316"/>
        <v>0</v>
      </c>
      <c r="O3639" s="59">
        <f t="shared" si="319"/>
        <v>0</v>
      </c>
      <c r="P3639" s="59">
        <f t="shared" si="317"/>
        <v>0</v>
      </c>
    </row>
    <row r="3640" spans="12:16" ht="15" hidden="1" customHeight="1">
      <c r="L3640" s="58" t="str">
        <f t="shared" si="320"/>
        <v>-</v>
      </c>
      <c r="M3640" s="59">
        <f t="shared" si="318"/>
        <v>0</v>
      </c>
      <c r="N3640" s="59">
        <f t="shared" si="316"/>
        <v>0</v>
      </c>
      <c r="O3640" s="59">
        <f t="shared" si="319"/>
        <v>0</v>
      </c>
      <c r="P3640" s="59">
        <f t="shared" si="317"/>
        <v>0</v>
      </c>
    </row>
    <row r="3641" spans="12:16" ht="15" hidden="1" customHeight="1">
      <c r="L3641" s="58" t="str">
        <f t="shared" si="320"/>
        <v>-</v>
      </c>
      <c r="M3641" s="59">
        <f t="shared" si="318"/>
        <v>0</v>
      </c>
      <c r="N3641" s="59">
        <f t="shared" si="316"/>
        <v>0</v>
      </c>
      <c r="O3641" s="59">
        <f t="shared" si="319"/>
        <v>0</v>
      </c>
      <c r="P3641" s="59">
        <f t="shared" si="317"/>
        <v>0</v>
      </c>
    </row>
    <row r="3642" spans="12:16" ht="15" hidden="1" customHeight="1">
      <c r="L3642" s="58" t="str">
        <f t="shared" si="320"/>
        <v>-</v>
      </c>
      <c r="M3642" s="59">
        <f t="shared" si="318"/>
        <v>0</v>
      </c>
      <c r="N3642" s="59">
        <f t="shared" si="316"/>
        <v>0</v>
      </c>
      <c r="O3642" s="59">
        <f t="shared" si="319"/>
        <v>0</v>
      </c>
      <c r="P3642" s="59">
        <f t="shared" si="317"/>
        <v>0</v>
      </c>
    </row>
    <row r="3643" spans="12:16" ht="15" hidden="1" customHeight="1">
      <c r="L3643" s="58" t="str">
        <f t="shared" si="320"/>
        <v>-</v>
      </c>
      <c r="M3643" s="59">
        <f t="shared" si="318"/>
        <v>0</v>
      </c>
      <c r="N3643" s="59">
        <f t="shared" si="316"/>
        <v>0</v>
      </c>
      <c r="O3643" s="59">
        <f t="shared" si="319"/>
        <v>0</v>
      </c>
      <c r="P3643" s="59">
        <f t="shared" si="317"/>
        <v>0</v>
      </c>
    </row>
    <row r="3644" spans="12:16" ht="15" hidden="1" customHeight="1">
      <c r="L3644" s="58" t="str">
        <f t="shared" si="320"/>
        <v>-</v>
      </c>
      <c r="M3644" s="59">
        <f t="shared" si="318"/>
        <v>0</v>
      </c>
      <c r="N3644" s="59">
        <f t="shared" ref="N3644:N3688" si="321">IF(ISNUMBER(N3643),N3643-M3644,$E$8)</f>
        <v>0</v>
      </c>
      <c r="O3644" s="59">
        <f t="shared" si="319"/>
        <v>0</v>
      </c>
      <c r="P3644" s="59">
        <f t="shared" ref="P3644:P3688" si="322">IFERROR(IF(ISNUMBER(N3643),N3643,$E$8)*3%/IF(MOD(YEAR(L3644),4),365,366)*IF(ISBLANK(L3643),(L3644-$F$5),L3644-L3643),0)</f>
        <v>0</v>
      </c>
    </row>
    <row r="3645" spans="12:16" ht="15" hidden="1" customHeight="1">
      <c r="L3645" s="58" t="str">
        <f t="shared" si="320"/>
        <v>-</v>
      </c>
      <c r="M3645" s="59">
        <f t="shared" si="318"/>
        <v>0</v>
      </c>
      <c r="N3645" s="59">
        <f t="shared" si="321"/>
        <v>0</v>
      </c>
      <c r="O3645" s="59">
        <f t="shared" si="319"/>
        <v>0</v>
      </c>
      <c r="P3645" s="59">
        <f t="shared" si="322"/>
        <v>0</v>
      </c>
    </row>
    <row r="3646" spans="12:16" ht="15" hidden="1" customHeight="1">
      <c r="L3646" s="58" t="str">
        <f t="shared" si="320"/>
        <v>-</v>
      </c>
      <c r="M3646" s="59">
        <f t="shared" si="318"/>
        <v>0</v>
      </c>
      <c r="N3646" s="59">
        <f t="shared" si="321"/>
        <v>0</v>
      </c>
      <c r="O3646" s="59">
        <f t="shared" si="319"/>
        <v>0</v>
      </c>
      <c r="P3646" s="59">
        <f t="shared" si="322"/>
        <v>0</v>
      </c>
    </row>
    <row r="3647" spans="12:16" ht="15" hidden="1" customHeight="1">
      <c r="L3647" s="58" t="str">
        <f t="shared" si="320"/>
        <v>-</v>
      </c>
      <c r="M3647" s="59">
        <f t="shared" si="318"/>
        <v>0</v>
      </c>
      <c r="N3647" s="59">
        <f t="shared" si="321"/>
        <v>0</v>
      </c>
      <c r="O3647" s="59">
        <f t="shared" si="319"/>
        <v>0</v>
      </c>
      <c r="P3647" s="59">
        <f t="shared" si="322"/>
        <v>0</v>
      </c>
    </row>
    <row r="3648" spans="12:16" ht="15" hidden="1" customHeight="1">
      <c r="L3648" s="58" t="str">
        <f t="shared" si="320"/>
        <v>-</v>
      </c>
      <c r="M3648" s="59">
        <f t="shared" si="318"/>
        <v>0</v>
      </c>
      <c r="N3648" s="59">
        <f t="shared" si="321"/>
        <v>0</v>
      </c>
      <c r="O3648" s="59">
        <f t="shared" si="319"/>
        <v>0</v>
      </c>
      <c r="P3648" s="59">
        <f t="shared" si="322"/>
        <v>0</v>
      </c>
    </row>
    <row r="3649" spans="12:16" ht="15" hidden="1" customHeight="1">
      <c r="L3649" s="58" t="str">
        <f t="shared" si="320"/>
        <v>-</v>
      </c>
      <c r="M3649" s="59">
        <f t="shared" si="318"/>
        <v>0</v>
      </c>
      <c r="N3649" s="59">
        <f t="shared" si="321"/>
        <v>0</v>
      </c>
      <c r="O3649" s="59">
        <f t="shared" si="319"/>
        <v>0</v>
      </c>
      <c r="P3649" s="59">
        <f t="shared" si="322"/>
        <v>0</v>
      </c>
    </row>
    <row r="3650" spans="12:16" ht="15" hidden="1" customHeight="1">
      <c r="L3650" s="58" t="str">
        <f t="shared" si="320"/>
        <v>-</v>
      </c>
      <c r="M3650" s="59">
        <f t="shared" si="318"/>
        <v>0</v>
      </c>
      <c r="N3650" s="59">
        <f t="shared" si="321"/>
        <v>0</v>
      </c>
      <c r="O3650" s="59">
        <f t="shared" si="319"/>
        <v>0</v>
      </c>
      <c r="P3650" s="59">
        <f t="shared" si="322"/>
        <v>0</v>
      </c>
    </row>
    <row r="3651" spans="12:16" ht="15" hidden="1" customHeight="1">
      <c r="L3651" s="58" t="str">
        <f t="shared" si="320"/>
        <v>-</v>
      </c>
      <c r="M3651" s="59">
        <f t="shared" si="318"/>
        <v>0</v>
      </c>
      <c r="N3651" s="59">
        <f t="shared" si="321"/>
        <v>0</v>
      </c>
      <c r="O3651" s="59">
        <f t="shared" si="319"/>
        <v>0</v>
      </c>
      <c r="P3651" s="59">
        <f t="shared" si="322"/>
        <v>0</v>
      </c>
    </row>
    <row r="3652" spans="12:16" ht="15" hidden="1" customHeight="1">
      <c r="L3652" s="58" t="str">
        <f t="shared" si="320"/>
        <v>-</v>
      </c>
      <c r="M3652" s="59">
        <f t="shared" si="318"/>
        <v>0</v>
      </c>
      <c r="N3652" s="59">
        <f t="shared" si="321"/>
        <v>0</v>
      </c>
      <c r="O3652" s="59">
        <f t="shared" si="319"/>
        <v>0</v>
      </c>
      <c r="P3652" s="59">
        <f t="shared" si="322"/>
        <v>0</v>
      </c>
    </row>
    <row r="3653" spans="12:16" ht="15" hidden="1" customHeight="1">
      <c r="L3653" s="58" t="str">
        <f t="shared" si="320"/>
        <v>-</v>
      </c>
      <c r="M3653" s="59">
        <f t="shared" si="318"/>
        <v>0</v>
      </c>
      <c r="N3653" s="59">
        <f t="shared" si="321"/>
        <v>0</v>
      </c>
      <c r="O3653" s="59">
        <f t="shared" si="319"/>
        <v>0</v>
      </c>
      <c r="P3653" s="59">
        <f t="shared" si="322"/>
        <v>0</v>
      </c>
    </row>
    <row r="3654" spans="12:16" ht="15" hidden="1" customHeight="1">
      <c r="L3654" s="58" t="str">
        <f t="shared" si="320"/>
        <v>-</v>
      </c>
      <c r="M3654" s="59">
        <f t="shared" si="318"/>
        <v>0</v>
      </c>
      <c r="N3654" s="59">
        <f t="shared" si="321"/>
        <v>0</v>
      </c>
      <c r="O3654" s="59">
        <f t="shared" si="319"/>
        <v>0</v>
      </c>
      <c r="P3654" s="59">
        <f t="shared" si="322"/>
        <v>0</v>
      </c>
    </row>
    <row r="3655" spans="12:16" ht="15" hidden="1" customHeight="1">
      <c r="L3655" s="58" t="str">
        <f t="shared" si="320"/>
        <v>-</v>
      </c>
      <c r="M3655" s="59">
        <f t="shared" si="318"/>
        <v>0</v>
      </c>
      <c r="N3655" s="59">
        <f t="shared" si="321"/>
        <v>0</v>
      </c>
      <c r="O3655" s="59">
        <f t="shared" si="319"/>
        <v>0</v>
      </c>
      <c r="P3655" s="59">
        <f t="shared" si="322"/>
        <v>0</v>
      </c>
    </row>
    <row r="3656" spans="12:16" ht="15" hidden="1" customHeight="1">
      <c r="L3656" s="58" t="str">
        <f t="shared" si="320"/>
        <v>-</v>
      </c>
      <c r="M3656" s="59">
        <f t="shared" si="318"/>
        <v>0</v>
      </c>
      <c r="N3656" s="59">
        <f t="shared" si="321"/>
        <v>0</v>
      </c>
      <c r="O3656" s="59">
        <f t="shared" si="319"/>
        <v>0</v>
      </c>
      <c r="P3656" s="59">
        <f t="shared" si="322"/>
        <v>0</v>
      </c>
    </row>
    <row r="3657" spans="12:16" ht="15" hidden="1" customHeight="1">
      <c r="L3657" s="58" t="str">
        <f t="shared" si="320"/>
        <v>-</v>
      </c>
      <c r="M3657" s="59">
        <f t="shared" si="318"/>
        <v>0</v>
      </c>
      <c r="N3657" s="59">
        <f t="shared" si="321"/>
        <v>0</v>
      </c>
      <c r="O3657" s="59">
        <f t="shared" si="319"/>
        <v>0</v>
      </c>
      <c r="P3657" s="59">
        <f t="shared" si="322"/>
        <v>0</v>
      </c>
    </row>
    <row r="3658" spans="12:16" ht="15" hidden="1" customHeight="1">
      <c r="L3658" s="58" t="str">
        <f t="shared" si="320"/>
        <v>-</v>
      </c>
      <c r="M3658" s="59">
        <f t="shared" si="318"/>
        <v>0</v>
      </c>
      <c r="N3658" s="59">
        <f t="shared" si="321"/>
        <v>0</v>
      </c>
      <c r="O3658" s="59">
        <f t="shared" si="319"/>
        <v>0</v>
      </c>
      <c r="P3658" s="59">
        <f t="shared" si="322"/>
        <v>0</v>
      </c>
    </row>
    <row r="3659" spans="12:16" ht="15" hidden="1" customHeight="1">
      <c r="L3659" s="58" t="str">
        <f t="shared" si="320"/>
        <v>-</v>
      </c>
      <c r="M3659" s="59">
        <f t="shared" si="318"/>
        <v>0</v>
      </c>
      <c r="N3659" s="59">
        <f t="shared" si="321"/>
        <v>0</v>
      </c>
      <c r="O3659" s="59">
        <f t="shared" si="319"/>
        <v>0</v>
      </c>
      <c r="P3659" s="59">
        <f t="shared" si="322"/>
        <v>0</v>
      </c>
    </row>
    <row r="3660" spans="12:16" ht="15" hidden="1" customHeight="1">
      <c r="L3660" s="58" t="str">
        <f t="shared" si="320"/>
        <v>-</v>
      </c>
      <c r="M3660" s="59">
        <f t="shared" si="318"/>
        <v>0</v>
      </c>
      <c r="N3660" s="59">
        <f t="shared" si="321"/>
        <v>0</v>
      </c>
      <c r="O3660" s="59">
        <f t="shared" si="319"/>
        <v>0</v>
      </c>
      <c r="P3660" s="59">
        <f t="shared" si="322"/>
        <v>0</v>
      </c>
    </row>
    <row r="3661" spans="12:16" ht="15" hidden="1" customHeight="1">
      <c r="L3661" s="58" t="str">
        <f t="shared" si="320"/>
        <v>-</v>
      </c>
      <c r="M3661" s="59">
        <f t="shared" si="318"/>
        <v>0</v>
      </c>
      <c r="N3661" s="59">
        <f t="shared" si="321"/>
        <v>0</v>
      </c>
      <c r="O3661" s="59">
        <f t="shared" si="319"/>
        <v>0</v>
      </c>
      <c r="P3661" s="59">
        <f t="shared" si="322"/>
        <v>0</v>
      </c>
    </row>
    <row r="3662" spans="12:16" ht="15" hidden="1" customHeight="1">
      <c r="L3662" s="58" t="str">
        <f t="shared" si="320"/>
        <v>-</v>
      </c>
      <c r="M3662" s="59">
        <f t="shared" si="318"/>
        <v>0</v>
      </c>
      <c r="N3662" s="59">
        <f t="shared" si="321"/>
        <v>0</v>
      </c>
      <c r="O3662" s="59">
        <f t="shared" si="319"/>
        <v>0</v>
      </c>
      <c r="P3662" s="59">
        <f t="shared" si="322"/>
        <v>0</v>
      </c>
    </row>
    <row r="3663" spans="12:16" ht="15" hidden="1" customHeight="1">
      <c r="L3663" s="58" t="str">
        <f t="shared" si="320"/>
        <v>-</v>
      </c>
      <c r="M3663" s="59">
        <f t="shared" si="318"/>
        <v>0</v>
      </c>
      <c r="N3663" s="59">
        <f t="shared" si="321"/>
        <v>0</v>
      </c>
      <c r="O3663" s="59">
        <f t="shared" si="319"/>
        <v>0</v>
      </c>
      <c r="P3663" s="59">
        <f t="shared" si="322"/>
        <v>0</v>
      </c>
    </row>
    <row r="3664" spans="12:16" ht="15" hidden="1" customHeight="1">
      <c r="L3664" s="58" t="str">
        <f t="shared" si="320"/>
        <v>-</v>
      </c>
      <c r="M3664" s="59">
        <f t="shared" si="318"/>
        <v>0</v>
      </c>
      <c r="N3664" s="59">
        <f t="shared" si="321"/>
        <v>0</v>
      </c>
      <c r="O3664" s="59">
        <f t="shared" si="319"/>
        <v>0</v>
      </c>
      <c r="P3664" s="59">
        <f t="shared" si="322"/>
        <v>0</v>
      </c>
    </row>
    <row r="3665" spans="12:16" ht="15" hidden="1" customHeight="1">
      <c r="L3665" s="58" t="str">
        <f t="shared" si="320"/>
        <v>-</v>
      </c>
      <c r="M3665" s="59">
        <f t="shared" si="318"/>
        <v>0</v>
      </c>
      <c r="N3665" s="59">
        <f t="shared" si="321"/>
        <v>0</v>
      </c>
      <c r="O3665" s="59">
        <f t="shared" si="319"/>
        <v>0</v>
      </c>
      <c r="P3665" s="59">
        <f t="shared" si="322"/>
        <v>0</v>
      </c>
    </row>
    <row r="3666" spans="12:16" ht="15" hidden="1" customHeight="1">
      <c r="L3666" s="58" t="str">
        <f t="shared" si="320"/>
        <v>-</v>
      </c>
      <c r="M3666" s="59">
        <f t="shared" si="318"/>
        <v>0</v>
      </c>
      <c r="N3666" s="59">
        <f t="shared" si="321"/>
        <v>0</v>
      </c>
      <c r="O3666" s="59">
        <f t="shared" si="319"/>
        <v>0</v>
      </c>
      <c r="P3666" s="59">
        <f t="shared" si="322"/>
        <v>0</v>
      </c>
    </row>
    <row r="3667" spans="12:16" ht="15" hidden="1" customHeight="1">
      <c r="L3667" s="58" t="str">
        <f t="shared" si="320"/>
        <v>-</v>
      </c>
      <c r="M3667" s="59">
        <f t="shared" ref="M3667:M3730" si="323">IFERROR(VLOOKUP(L3667,$B$19:$E$80,4,FALSE),0)</f>
        <v>0</v>
      </c>
      <c r="N3667" s="59">
        <f t="shared" si="321"/>
        <v>0</v>
      </c>
      <c r="O3667" s="59">
        <f t="shared" ref="O3667:O3730" si="324">IFERROR(IF(ISNUMBER(N3666),N3666,$E$8)*IF(L3667&gt;=$J$8,$E$12,$E$12)/IF(MOD(YEAR(L3667),4),365,366)*IF(ISBLANK(L3666),L3667-$F$5,L3667-L3666),0)</f>
        <v>0</v>
      </c>
      <c r="P3667" s="59">
        <f t="shared" si="322"/>
        <v>0</v>
      </c>
    </row>
    <row r="3668" spans="12:16" ht="15" hidden="1" customHeight="1">
      <c r="L3668" s="58" t="str">
        <f t="shared" si="320"/>
        <v>-</v>
      </c>
      <c r="M3668" s="59">
        <f t="shared" si="323"/>
        <v>0</v>
      </c>
      <c r="N3668" s="59">
        <f t="shared" si="321"/>
        <v>0</v>
      </c>
      <c r="O3668" s="59">
        <f t="shared" si="324"/>
        <v>0</v>
      </c>
      <c r="P3668" s="59">
        <f t="shared" si="322"/>
        <v>0</v>
      </c>
    </row>
    <row r="3669" spans="12:16" ht="15" hidden="1" customHeight="1">
      <c r="L3669" s="58" t="str">
        <f t="shared" si="320"/>
        <v>-</v>
      </c>
      <c r="M3669" s="59">
        <f t="shared" si="323"/>
        <v>0</v>
      </c>
      <c r="N3669" s="59">
        <f t="shared" si="321"/>
        <v>0</v>
      </c>
      <c r="O3669" s="59">
        <f t="shared" si="324"/>
        <v>0</v>
      </c>
      <c r="P3669" s="59">
        <f t="shared" si="322"/>
        <v>0</v>
      </c>
    </row>
    <row r="3670" spans="12:16" ht="15" hidden="1" customHeight="1">
      <c r="L3670" s="58" t="str">
        <f t="shared" si="320"/>
        <v>-</v>
      </c>
      <c r="M3670" s="59">
        <f t="shared" si="323"/>
        <v>0</v>
      </c>
      <c r="N3670" s="59">
        <f t="shared" si="321"/>
        <v>0</v>
      </c>
      <c r="O3670" s="59">
        <f t="shared" si="324"/>
        <v>0</v>
      </c>
      <c r="P3670" s="59">
        <f t="shared" si="322"/>
        <v>0</v>
      </c>
    </row>
    <row r="3671" spans="12:16" ht="15" hidden="1" customHeight="1">
      <c r="L3671" s="58" t="str">
        <f t="shared" si="320"/>
        <v>-</v>
      </c>
      <c r="M3671" s="59">
        <f t="shared" si="323"/>
        <v>0</v>
      </c>
      <c r="N3671" s="59">
        <f t="shared" si="321"/>
        <v>0</v>
      </c>
      <c r="O3671" s="59">
        <f t="shared" si="324"/>
        <v>0</v>
      </c>
      <c r="P3671" s="59">
        <f t="shared" si="322"/>
        <v>0</v>
      </c>
    </row>
    <row r="3672" spans="12:16" ht="15" hidden="1" customHeight="1">
      <c r="L3672" s="58" t="str">
        <f t="shared" si="320"/>
        <v>-</v>
      </c>
      <c r="M3672" s="59">
        <f t="shared" si="323"/>
        <v>0</v>
      </c>
      <c r="N3672" s="59">
        <f t="shared" si="321"/>
        <v>0</v>
      </c>
      <c r="O3672" s="59">
        <f t="shared" si="324"/>
        <v>0</v>
      </c>
      <c r="P3672" s="59">
        <f t="shared" si="322"/>
        <v>0</v>
      </c>
    </row>
    <row r="3673" spans="12:16" ht="15" hidden="1" customHeight="1">
      <c r="L3673" s="58" t="str">
        <f t="shared" si="320"/>
        <v>-</v>
      </c>
      <c r="M3673" s="59">
        <f t="shared" si="323"/>
        <v>0</v>
      </c>
      <c r="N3673" s="59">
        <f t="shared" si="321"/>
        <v>0</v>
      </c>
      <c r="O3673" s="59">
        <f t="shared" si="324"/>
        <v>0</v>
      </c>
      <c r="P3673" s="59">
        <f t="shared" si="322"/>
        <v>0</v>
      </c>
    </row>
    <row r="3674" spans="12:16" ht="15" hidden="1" customHeight="1">
      <c r="L3674" s="58" t="str">
        <f t="shared" si="320"/>
        <v>-</v>
      </c>
      <c r="M3674" s="59">
        <f t="shared" si="323"/>
        <v>0</v>
      </c>
      <c r="N3674" s="59">
        <f t="shared" si="321"/>
        <v>0</v>
      </c>
      <c r="O3674" s="59">
        <f t="shared" si="324"/>
        <v>0</v>
      </c>
      <c r="P3674" s="59">
        <f t="shared" si="322"/>
        <v>0</v>
      </c>
    </row>
    <row r="3675" spans="12:16" ht="15" hidden="1" customHeight="1">
      <c r="L3675" s="58" t="str">
        <f t="shared" si="320"/>
        <v>-</v>
      </c>
      <c r="M3675" s="59">
        <f t="shared" si="323"/>
        <v>0</v>
      </c>
      <c r="N3675" s="59">
        <f t="shared" si="321"/>
        <v>0</v>
      </c>
      <c r="O3675" s="59">
        <f t="shared" si="324"/>
        <v>0</v>
      </c>
      <c r="P3675" s="59">
        <f t="shared" si="322"/>
        <v>0</v>
      </c>
    </row>
    <row r="3676" spans="12:16" ht="15" hidden="1" customHeight="1">
      <c r="L3676" s="58" t="str">
        <f t="shared" si="320"/>
        <v>-</v>
      </c>
      <c r="M3676" s="59">
        <f t="shared" si="323"/>
        <v>0</v>
      </c>
      <c r="N3676" s="59">
        <f t="shared" si="321"/>
        <v>0</v>
      </c>
      <c r="O3676" s="59">
        <f t="shared" si="324"/>
        <v>0</v>
      </c>
      <c r="P3676" s="59">
        <f t="shared" si="322"/>
        <v>0</v>
      </c>
    </row>
    <row r="3677" spans="12:16" ht="15" hidden="1" customHeight="1">
      <c r="L3677" s="58" t="str">
        <f t="shared" si="320"/>
        <v>-</v>
      </c>
      <c r="M3677" s="59">
        <f t="shared" si="323"/>
        <v>0</v>
      </c>
      <c r="N3677" s="59">
        <f t="shared" si="321"/>
        <v>0</v>
      </c>
      <c r="O3677" s="59">
        <f t="shared" si="324"/>
        <v>0</v>
      </c>
      <c r="P3677" s="59">
        <f t="shared" si="322"/>
        <v>0</v>
      </c>
    </row>
    <row r="3678" spans="12:16" ht="15" hidden="1" customHeight="1">
      <c r="L3678" s="58" t="str">
        <f t="shared" si="320"/>
        <v>-</v>
      </c>
      <c r="M3678" s="59">
        <f t="shared" si="323"/>
        <v>0</v>
      </c>
      <c r="N3678" s="59">
        <f t="shared" si="321"/>
        <v>0</v>
      </c>
      <c r="O3678" s="59">
        <f t="shared" si="324"/>
        <v>0</v>
      </c>
      <c r="P3678" s="59">
        <f t="shared" si="322"/>
        <v>0</v>
      </c>
    </row>
    <row r="3679" spans="12:16" ht="15" hidden="1" customHeight="1">
      <c r="L3679" s="58" t="str">
        <f t="shared" si="320"/>
        <v>-</v>
      </c>
      <c r="M3679" s="59">
        <f t="shared" si="323"/>
        <v>0</v>
      </c>
      <c r="N3679" s="59">
        <f t="shared" si="321"/>
        <v>0</v>
      </c>
      <c r="O3679" s="59">
        <f t="shared" si="324"/>
        <v>0</v>
      </c>
      <c r="P3679" s="59">
        <f t="shared" si="322"/>
        <v>0</v>
      </c>
    </row>
    <row r="3680" spans="12:16" ht="15" hidden="1" customHeight="1">
      <c r="L3680" s="58" t="str">
        <f t="shared" si="320"/>
        <v>-</v>
      </c>
      <c r="M3680" s="59">
        <f t="shared" si="323"/>
        <v>0</v>
      </c>
      <c r="N3680" s="59">
        <f t="shared" si="321"/>
        <v>0</v>
      </c>
      <c r="O3680" s="59">
        <f t="shared" si="324"/>
        <v>0</v>
      </c>
      <c r="P3680" s="59">
        <f t="shared" si="322"/>
        <v>0</v>
      </c>
    </row>
    <row r="3681" spans="12:16" ht="15" hidden="1" customHeight="1">
      <c r="L3681" s="58" t="str">
        <f t="shared" si="320"/>
        <v>-</v>
      </c>
      <c r="M3681" s="59">
        <f t="shared" si="323"/>
        <v>0</v>
      </c>
      <c r="N3681" s="59">
        <f t="shared" si="321"/>
        <v>0</v>
      </c>
      <c r="O3681" s="59">
        <f t="shared" si="324"/>
        <v>0</v>
      </c>
      <c r="P3681" s="59">
        <f t="shared" si="322"/>
        <v>0</v>
      </c>
    </row>
    <row r="3682" spans="12:16" ht="15" hidden="1" customHeight="1">
      <c r="L3682" s="58" t="str">
        <f t="shared" si="320"/>
        <v>-</v>
      </c>
      <c r="M3682" s="59">
        <f t="shared" si="323"/>
        <v>0</v>
      </c>
      <c r="N3682" s="59">
        <f t="shared" si="321"/>
        <v>0</v>
      </c>
      <c r="O3682" s="59">
        <f t="shared" si="324"/>
        <v>0</v>
      </c>
      <c r="P3682" s="59">
        <f t="shared" si="322"/>
        <v>0</v>
      </c>
    </row>
    <row r="3683" spans="12:16" ht="15" hidden="1" customHeight="1">
      <c r="L3683" s="58" t="str">
        <f t="shared" si="320"/>
        <v>-</v>
      </c>
      <c r="M3683" s="59">
        <f t="shared" si="323"/>
        <v>0</v>
      </c>
      <c r="N3683" s="59">
        <f t="shared" si="321"/>
        <v>0</v>
      </c>
      <c r="O3683" s="59">
        <f t="shared" si="324"/>
        <v>0</v>
      </c>
      <c r="P3683" s="59">
        <f t="shared" si="322"/>
        <v>0</v>
      </c>
    </row>
    <row r="3684" spans="12:16" ht="15" hidden="1" customHeight="1">
      <c r="L3684" s="58" t="str">
        <f t="shared" ref="L3684:L3936" si="325">IFERROR(IF(MAX(L3683+1,$F$5+1)&gt;Дата_погашения_Займа,"-",MAX(L3683+1,$F$5+1)),"-")</f>
        <v>-</v>
      </c>
      <c r="M3684" s="59">
        <f t="shared" si="323"/>
        <v>0</v>
      </c>
      <c r="N3684" s="59">
        <f t="shared" si="321"/>
        <v>0</v>
      </c>
      <c r="O3684" s="59">
        <f t="shared" si="324"/>
        <v>0</v>
      </c>
      <c r="P3684" s="59">
        <f t="shared" si="322"/>
        <v>0</v>
      </c>
    </row>
    <row r="3685" spans="12:16" ht="15" hidden="1" customHeight="1">
      <c r="L3685" s="58" t="str">
        <f t="shared" si="325"/>
        <v>-</v>
      </c>
      <c r="M3685" s="59">
        <f t="shared" si="323"/>
        <v>0</v>
      </c>
      <c r="N3685" s="59">
        <f t="shared" si="321"/>
        <v>0</v>
      </c>
      <c r="O3685" s="59">
        <f t="shared" si="324"/>
        <v>0</v>
      </c>
      <c r="P3685" s="59">
        <f t="shared" si="322"/>
        <v>0</v>
      </c>
    </row>
    <row r="3686" spans="12:16" ht="15" hidden="1" customHeight="1">
      <c r="L3686" s="58" t="str">
        <f t="shared" si="325"/>
        <v>-</v>
      </c>
      <c r="M3686" s="59">
        <f t="shared" si="323"/>
        <v>0</v>
      </c>
      <c r="N3686" s="59">
        <f t="shared" si="321"/>
        <v>0</v>
      </c>
      <c r="O3686" s="59">
        <f t="shared" si="324"/>
        <v>0</v>
      </c>
      <c r="P3686" s="59">
        <f t="shared" si="322"/>
        <v>0</v>
      </c>
    </row>
    <row r="3687" spans="12:16" ht="15" hidden="1" customHeight="1">
      <c r="L3687" s="58" t="str">
        <f t="shared" si="325"/>
        <v>-</v>
      </c>
      <c r="M3687" s="59">
        <f t="shared" si="323"/>
        <v>0</v>
      </c>
      <c r="N3687" s="59">
        <f t="shared" si="321"/>
        <v>0</v>
      </c>
      <c r="O3687" s="59">
        <f t="shared" si="324"/>
        <v>0</v>
      </c>
      <c r="P3687" s="59">
        <f t="shared" si="322"/>
        <v>0</v>
      </c>
    </row>
    <row r="3688" spans="12:16" ht="15" hidden="1" customHeight="1">
      <c r="L3688" s="58" t="str">
        <f t="shared" si="325"/>
        <v>-</v>
      </c>
      <c r="M3688" s="59">
        <f t="shared" si="323"/>
        <v>0</v>
      </c>
      <c r="N3688" s="59">
        <f t="shared" si="321"/>
        <v>0</v>
      </c>
      <c r="O3688" s="59">
        <f t="shared" si="324"/>
        <v>0</v>
      </c>
      <c r="P3688" s="59">
        <f t="shared" si="322"/>
        <v>0</v>
      </c>
    </row>
    <row r="3689" spans="12:16" ht="15" hidden="1" customHeight="1">
      <c r="L3689" s="58" t="str">
        <f t="shared" si="325"/>
        <v>-</v>
      </c>
      <c r="M3689" s="59">
        <f t="shared" si="323"/>
        <v>0</v>
      </c>
      <c r="N3689" s="59">
        <f t="shared" ref="N3689:N3752" si="326">IF(ISNUMBER(N3688),N3688-M3689,$E$8)</f>
        <v>0</v>
      </c>
      <c r="O3689" s="59">
        <f t="shared" si="324"/>
        <v>0</v>
      </c>
      <c r="P3689" s="59">
        <f t="shared" ref="P3689:P3752" si="327">IFERROR(IF(ISNUMBER(N3688),N3688,$E$8)*3%/IF(MOD(YEAR(L3689),4),365,366)*IF(ISBLANK(L3688),(L3689-$F$5),L3689-L3688),0)</f>
        <v>0</v>
      </c>
    </row>
    <row r="3690" spans="12:16" ht="15" hidden="1" customHeight="1">
      <c r="L3690" s="58" t="str">
        <f t="shared" si="325"/>
        <v>-</v>
      </c>
      <c r="M3690" s="59">
        <f t="shared" si="323"/>
        <v>0</v>
      </c>
      <c r="N3690" s="59">
        <f t="shared" si="326"/>
        <v>0</v>
      </c>
      <c r="O3690" s="59">
        <f t="shared" si="324"/>
        <v>0</v>
      </c>
      <c r="P3690" s="59">
        <f t="shared" si="327"/>
        <v>0</v>
      </c>
    </row>
    <row r="3691" spans="12:16" ht="15" hidden="1" customHeight="1">
      <c r="L3691" s="58" t="str">
        <f t="shared" si="325"/>
        <v>-</v>
      </c>
      <c r="M3691" s="59">
        <f t="shared" si="323"/>
        <v>0</v>
      </c>
      <c r="N3691" s="59">
        <f t="shared" si="326"/>
        <v>0</v>
      </c>
      <c r="O3691" s="59">
        <f t="shared" si="324"/>
        <v>0</v>
      </c>
      <c r="P3691" s="59">
        <f t="shared" si="327"/>
        <v>0</v>
      </c>
    </row>
    <row r="3692" spans="12:16" ht="15" hidden="1" customHeight="1">
      <c r="L3692" s="58" t="str">
        <f t="shared" si="325"/>
        <v>-</v>
      </c>
      <c r="M3692" s="59">
        <f t="shared" si="323"/>
        <v>0</v>
      </c>
      <c r="N3692" s="59">
        <f t="shared" si="326"/>
        <v>0</v>
      </c>
      <c r="O3692" s="59">
        <f t="shared" si="324"/>
        <v>0</v>
      </c>
      <c r="P3692" s="59">
        <f t="shared" si="327"/>
        <v>0</v>
      </c>
    </row>
    <row r="3693" spans="12:16" ht="15" hidden="1" customHeight="1">
      <c r="L3693" s="58" t="str">
        <f t="shared" si="325"/>
        <v>-</v>
      </c>
      <c r="M3693" s="59">
        <f t="shared" si="323"/>
        <v>0</v>
      </c>
      <c r="N3693" s="59">
        <f t="shared" si="326"/>
        <v>0</v>
      </c>
      <c r="O3693" s="59">
        <f t="shared" si="324"/>
        <v>0</v>
      </c>
      <c r="P3693" s="59">
        <f t="shared" si="327"/>
        <v>0</v>
      </c>
    </row>
    <row r="3694" spans="12:16" ht="15" hidden="1" customHeight="1">
      <c r="L3694" s="58" t="str">
        <f t="shared" si="325"/>
        <v>-</v>
      </c>
      <c r="M3694" s="59">
        <f t="shared" si="323"/>
        <v>0</v>
      </c>
      <c r="N3694" s="59">
        <f t="shared" si="326"/>
        <v>0</v>
      </c>
      <c r="O3694" s="59">
        <f t="shared" si="324"/>
        <v>0</v>
      </c>
      <c r="P3694" s="59">
        <f t="shared" si="327"/>
        <v>0</v>
      </c>
    </row>
    <row r="3695" spans="12:16" ht="15" hidden="1" customHeight="1">
      <c r="L3695" s="58" t="str">
        <f t="shared" si="325"/>
        <v>-</v>
      </c>
      <c r="M3695" s="59">
        <f t="shared" si="323"/>
        <v>0</v>
      </c>
      <c r="N3695" s="59">
        <f t="shared" si="326"/>
        <v>0</v>
      </c>
      <c r="O3695" s="59">
        <f t="shared" si="324"/>
        <v>0</v>
      </c>
      <c r="P3695" s="59">
        <f t="shared" si="327"/>
        <v>0</v>
      </c>
    </row>
    <row r="3696" spans="12:16" ht="15" hidden="1" customHeight="1">
      <c r="L3696" s="58" t="str">
        <f t="shared" si="325"/>
        <v>-</v>
      </c>
      <c r="M3696" s="59">
        <f t="shared" si="323"/>
        <v>0</v>
      </c>
      <c r="N3696" s="59">
        <f t="shared" si="326"/>
        <v>0</v>
      </c>
      <c r="O3696" s="59">
        <f t="shared" si="324"/>
        <v>0</v>
      </c>
      <c r="P3696" s="59">
        <f t="shared" si="327"/>
        <v>0</v>
      </c>
    </row>
    <row r="3697" spans="12:16" ht="15" hidden="1" customHeight="1">
      <c r="L3697" s="58" t="str">
        <f t="shared" si="325"/>
        <v>-</v>
      </c>
      <c r="M3697" s="59">
        <f t="shared" si="323"/>
        <v>0</v>
      </c>
      <c r="N3697" s="59">
        <f t="shared" si="326"/>
        <v>0</v>
      </c>
      <c r="O3697" s="59">
        <f t="shared" si="324"/>
        <v>0</v>
      </c>
      <c r="P3697" s="59">
        <f t="shared" si="327"/>
        <v>0</v>
      </c>
    </row>
    <row r="3698" spans="12:16" ht="15" hidden="1" customHeight="1">
      <c r="L3698" s="58" t="str">
        <f t="shared" si="325"/>
        <v>-</v>
      </c>
      <c r="M3698" s="59">
        <f t="shared" si="323"/>
        <v>0</v>
      </c>
      <c r="N3698" s="59">
        <f t="shared" si="326"/>
        <v>0</v>
      </c>
      <c r="O3698" s="59">
        <f t="shared" si="324"/>
        <v>0</v>
      </c>
      <c r="P3698" s="59">
        <f t="shared" si="327"/>
        <v>0</v>
      </c>
    </row>
    <row r="3699" spans="12:16" ht="15" hidden="1" customHeight="1">
      <c r="L3699" s="58" t="str">
        <f t="shared" si="325"/>
        <v>-</v>
      </c>
      <c r="M3699" s="59">
        <f t="shared" si="323"/>
        <v>0</v>
      </c>
      <c r="N3699" s="59">
        <f t="shared" si="326"/>
        <v>0</v>
      </c>
      <c r="O3699" s="59">
        <f t="shared" si="324"/>
        <v>0</v>
      </c>
      <c r="P3699" s="59">
        <f t="shared" si="327"/>
        <v>0</v>
      </c>
    </row>
    <row r="3700" spans="12:16" ht="15" hidden="1" customHeight="1">
      <c r="L3700" s="58" t="str">
        <f t="shared" si="325"/>
        <v>-</v>
      </c>
      <c r="M3700" s="59">
        <f t="shared" si="323"/>
        <v>0</v>
      </c>
      <c r="N3700" s="59">
        <f t="shared" si="326"/>
        <v>0</v>
      </c>
      <c r="O3700" s="59">
        <f t="shared" si="324"/>
        <v>0</v>
      </c>
      <c r="P3700" s="59">
        <f t="shared" si="327"/>
        <v>0</v>
      </c>
    </row>
    <row r="3701" spans="12:16" ht="15" hidden="1" customHeight="1">
      <c r="L3701" s="58" t="str">
        <f t="shared" si="325"/>
        <v>-</v>
      </c>
      <c r="M3701" s="59">
        <f t="shared" si="323"/>
        <v>0</v>
      </c>
      <c r="N3701" s="59">
        <f t="shared" si="326"/>
        <v>0</v>
      </c>
      <c r="O3701" s="59">
        <f t="shared" si="324"/>
        <v>0</v>
      </c>
      <c r="P3701" s="59">
        <f t="shared" si="327"/>
        <v>0</v>
      </c>
    </row>
    <row r="3702" spans="12:16" ht="15" hidden="1" customHeight="1">
      <c r="L3702" s="58" t="str">
        <f t="shared" si="325"/>
        <v>-</v>
      </c>
      <c r="M3702" s="59">
        <f t="shared" si="323"/>
        <v>0</v>
      </c>
      <c r="N3702" s="59">
        <f t="shared" si="326"/>
        <v>0</v>
      </c>
      <c r="O3702" s="59">
        <f t="shared" si="324"/>
        <v>0</v>
      </c>
      <c r="P3702" s="59">
        <f t="shared" si="327"/>
        <v>0</v>
      </c>
    </row>
    <row r="3703" spans="12:16" ht="15" hidden="1" customHeight="1">
      <c r="L3703" s="58" t="str">
        <f t="shared" si="325"/>
        <v>-</v>
      </c>
      <c r="M3703" s="59">
        <f t="shared" si="323"/>
        <v>0</v>
      </c>
      <c r="N3703" s="59">
        <f t="shared" si="326"/>
        <v>0</v>
      </c>
      <c r="O3703" s="59">
        <f t="shared" si="324"/>
        <v>0</v>
      </c>
      <c r="P3703" s="59">
        <f t="shared" si="327"/>
        <v>0</v>
      </c>
    </row>
    <row r="3704" spans="12:16" ht="15" hidden="1" customHeight="1">
      <c r="L3704" s="58" t="str">
        <f t="shared" si="325"/>
        <v>-</v>
      </c>
      <c r="M3704" s="59">
        <f t="shared" si="323"/>
        <v>0</v>
      </c>
      <c r="N3704" s="59">
        <f t="shared" si="326"/>
        <v>0</v>
      </c>
      <c r="O3704" s="59">
        <f t="shared" si="324"/>
        <v>0</v>
      </c>
      <c r="P3704" s="59">
        <f t="shared" si="327"/>
        <v>0</v>
      </c>
    </row>
    <row r="3705" spans="12:16" ht="15" hidden="1" customHeight="1">
      <c r="L3705" s="58" t="str">
        <f t="shared" si="325"/>
        <v>-</v>
      </c>
      <c r="M3705" s="59">
        <f t="shared" si="323"/>
        <v>0</v>
      </c>
      <c r="N3705" s="59">
        <f t="shared" si="326"/>
        <v>0</v>
      </c>
      <c r="O3705" s="59">
        <f t="shared" si="324"/>
        <v>0</v>
      </c>
      <c r="P3705" s="59">
        <f t="shared" si="327"/>
        <v>0</v>
      </c>
    </row>
    <row r="3706" spans="12:16" ht="15" hidden="1" customHeight="1">
      <c r="L3706" s="58" t="str">
        <f t="shared" si="325"/>
        <v>-</v>
      </c>
      <c r="M3706" s="59">
        <f t="shared" si="323"/>
        <v>0</v>
      </c>
      <c r="N3706" s="59">
        <f t="shared" si="326"/>
        <v>0</v>
      </c>
      <c r="O3706" s="59">
        <f t="shared" si="324"/>
        <v>0</v>
      </c>
      <c r="P3706" s="59">
        <f t="shared" si="327"/>
        <v>0</v>
      </c>
    </row>
    <row r="3707" spans="12:16" ht="15" hidden="1" customHeight="1">
      <c r="L3707" s="58" t="str">
        <f t="shared" si="325"/>
        <v>-</v>
      </c>
      <c r="M3707" s="59">
        <f t="shared" si="323"/>
        <v>0</v>
      </c>
      <c r="N3707" s="59">
        <f t="shared" si="326"/>
        <v>0</v>
      </c>
      <c r="O3707" s="59">
        <f t="shared" si="324"/>
        <v>0</v>
      </c>
      <c r="P3707" s="59">
        <f t="shared" si="327"/>
        <v>0</v>
      </c>
    </row>
    <row r="3708" spans="12:16" ht="15" hidden="1" customHeight="1">
      <c r="L3708" s="58" t="str">
        <f t="shared" si="325"/>
        <v>-</v>
      </c>
      <c r="M3708" s="59">
        <f t="shared" si="323"/>
        <v>0</v>
      </c>
      <c r="N3708" s="59">
        <f t="shared" si="326"/>
        <v>0</v>
      </c>
      <c r="O3708" s="59">
        <f t="shared" si="324"/>
        <v>0</v>
      </c>
      <c r="P3708" s="59">
        <f t="shared" si="327"/>
        <v>0</v>
      </c>
    </row>
    <row r="3709" spans="12:16" ht="15" hidden="1" customHeight="1">
      <c r="L3709" s="58" t="str">
        <f t="shared" si="325"/>
        <v>-</v>
      </c>
      <c r="M3709" s="59">
        <f t="shared" si="323"/>
        <v>0</v>
      </c>
      <c r="N3709" s="59">
        <f t="shared" si="326"/>
        <v>0</v>
      </c>
      <c r="O3709" s="59">
        <f t="shared" si="324"/>
        <v>0</v>
      </c>
      <c r="P3709" s="59">
        <f t="shared" si="327"/>
        <v>0</v>
      </c>
    </row>
    <row r="3710" spans="12:16" ht="15" hidden="1" customHeight="1">
      <c r="L3710" s="58" t="str">
        <f t="shared" si="325"/>
        <v>-</v>
      </c>
      <c r="M3710" s="59">
        <f t="shared" si="323"/>
        <v>0</v>
      </c>
      <c r="N3710" s="59">
        <f t="shared" si="326"/>
        <v>0</v>
      </c>
      <c r="O3710" s="59">
        <f t="shared" si="324"/>
        <v>0</v>
      </c>
      <c r="P3710" s="59">
        <f t="shared" si="327"/>
        <v>0</v>
      </c>
    </row>
    <row r="3711" spans="12:16" ht="15" hidden="1" customHeight="1">
      <c r="L3711" s="58" t="str">
        <f t="shared" si="325"/>
        <v>-</v>
      </c>
      <c r="M3711" s="59">
        <f t="shared" si="323"/>
        <v>0</v>
      </c>
      <c r="N3711" s="59">
        <f t="shared" si="326"/>
        <v>0</v>
      </c>
      <c r="O3711" s="59">
        <f t="shared" si="324"/>
        <v>0</v>
      </c>
      <c r="P3711" s="59">
        <f t="shared" si="327"/>
        <v>0</v>
      </c>
    </row>
    <row r="3712" spans="12:16" ht="15" hidden="1" customHeight="1">
      <c r="L3712" s="58" t="str">
        <f t="shared" si="325"/>
        <v>-</v>
      </c>
      <c r="M3712" s="59">
        <f t="shared" si="323"/>
        <v>0</v>
      </c>
      <c r="N3712" s="59">
        <f t="shared" si="326"/>
        <v>0</v>
      </c>
      <c r="O3712" s="59">
        <f t="shared" si="324"/>
        <v>0</v>
      </c>
      <c r="P3712" s="59">
        <f t="shared" si="327"/>
        <v>0</v>
      </c>
    </row>
    <row r="3713" spans="12:16" ht="15" hidden="1" customHeight="1">
      <c r="L3713" s="58" t="str">
        <f t="shared" si="325"/>
        <v>-</v>
      </c>
      <c r="M3713" s="59">
        <f t="shared" si="323"/>
        <v>0</v>
      </c>
      <c r="N3713" s="59">
        <f t="shared" si="326"/>
        <v>0</v>
      </c>
      <c r="O3713" s="59">
        <f t="shared" si="324"/>
        <v>0</v>
      </c>
      <c r="P3713" s="59">
        <f t="shared" si="327"/>
        <v>0</v>
      </c>
    </row>
    <row r="3714" spans="12:16" ht="15" hidden="1" customHeight="1">
      <c r="L3714" s="58" t="str">
        <f t="shared" si="325"/>
        <v>-</v>
      </c>
      <c r="M3714" s="59">
        <f t="shared" si="323"/>
        <v>0</v>
      </c>
      <c r="N3714" s="59">
        <f t="shared" si="326"/>
        <v>0</v>
      </c>
      <c r="O3714" s="59">
        <f t="shared" si="324"/>
        <v>0</v>
      </c>
      <c r="P3714" s="59">
        <f t="shared" si="327"/>
        <v>0</v>
      </c>
    </row>
    <row r="3715" spans="12:16" ht="15" hidden="1" customHeight="1">
      <c r="L3715" s="58" t="str">
        <f t="shared" si="325"/>
        <v>-</v>
      </c>
      <c r="M3715" s="59">
        <f t="shared" si="323"/>
        <v>0</v>
      </c>
      <c r="N3715" s="59">
        <f t="shared" si="326"/>
        <v>0</v>
      </c>
      <c r="O3715" s="59">
        <f t="shared" si="324"/>
        <v>0</v>
      </c>
      <c r="P3715" s="59">
        <f t="shared" si="327"/>
        <v>0</v>
      </c>
    </row>
    <row r="3716" spans="12:16" ht="15" hidden="1" customHeight="1">
      <c r="L3716" s="58" t="str">
        <f t="shared" si="325"/>
        <v>-</v>
      </c>
      <c r="M3716" s="59">
        <f t="shared" si="323"/>
        <v>0</v>
      </c>
      <c r="N3716" s="59">
        <f t="shared" si="326"/>
        <v>0</v>
      </c>
      <c r="O3716" s="59">
        <f t="shared" si="324"/>
        <v>0</v>
      </c>
      <c r="P3716" s="59">
        <f t="shared" si="327"/>
        <v>0</v>
      </c>
    </row>
    <row r="3717" spans="12:16" ht="15" hidden="1" customHeight="1">
      <c r="L3717" s="58" t="str">
        <f t="shared" si="325"/>
        <v>-</v>
      </c>
      <c r="M3717" s="59">
        <f t="shared" si="323"/>
        <v>0</v>
      </c>
      <c r="N3717" s="59">
        <f t="shared" si="326"/>
        <v>0</v>
      </c>
      <c r="O3717" s="59">
        <f t="shared" si="324"/>
        <v>0</v>
      </c>
      <c r="P3717" s="59">
        <f t="shared" si="327"/>
        <v>0</v>
      </c>
    </row>
    <row r="3718" spans="12:16" ht="15" hidden="1" customHeight="1">
      <c r="L3718" s="58" t="str">
        <f t="shared" si="325"/>
        <v>-</v>
      </c>
      <c r="M3718" s="59">
        <f t="shared" si="323"/>
        <v>0</v>
      </c>
      <c r="N3718" s="59">
        <f t="shared" si="326"/>
        <v>0</v>
      </c>
      <c r="O3718" s="59">
        <f t="shared" si="324"/>
        <v>0</v>
      </c>
      <c r="P3718" s="59">
        <f t="shared" si="327"/>
        <v>0</v>
      </c>
    </row>
    <row r="3719" spans="12:16" ht="15" hidden="1" customHeight="1">
      <c r="L3719" s="58" t="str">
        <f t="shared" si="325"/>
        <v>-</v>
      </c>
      <c r="M3719" s="59">
        <f t="shared" si="323"/>
        <v>0</v>
      </c>
      <c r="N3719" s="59">
        <f t="shared" si="326"/>
        <v>0</v>
      </c>
      <c r="O3719" s="59">
        <f t="shared" si="324"/>
        <v>0</v>
      </c>
      <c r="P3719" s="59">
        <f t="shared" si="327"/>
        <v>0</v>
      </c>
    </row>
    <row r="3720" spans="12:16" ht="15" hidden="1" customHeight="1">
      <c r="L3720" s="58" t="str">
        <f t="shared" si="325"/>
        <v>-</v>
      </c>
      <c r="M3720" s="59">
        <f t="shared" si="323"/>
        <v>0</v>
      </c>
      <c r="N3720" s="59">
        <f t="shared" si="326"/>
        <v>0</v>
      </c>
      <c r="O3720" s="59">
        <f t="shared" si="324"/>
        <v>0</v>
      </c>
      <c r="P3720" s="59">
        <f t="shared" si="327"/>
        <v>0</v>
      </c>
    </row>
    <row r="3721" spans="12:16" ht="15" hidden="1" customHeight="1">
      <c r="L3721" s="58" t="str">
        <f t="shared" si="325"/>
        <v>-</v>
      </c>
      <c r="M3721" s="59">
        <f t="shared" si="323"/>
        <v>0</v>
      </c>
      <c r="N3721" s="59">
        <f t="shared" si="326"/>
        <v>0</v>
      </c>
      <c r="O3721" s="59">
        <f t="shared" si="324"/>
        <v>0</v>
      </c>
      <c r="P3721" s="59">
        <f t="shared" si="327"/>
        <v>0</v>
      </c>
    </row>
    <row r="3722" spans="12:16" ht="15" hidden="1" customHeight="1">
      <c r="L3722" s="58" t="str">
        <f t="shared" si="325"/>
        <v>-</v>
      </c>
      <c r="M3722" s="59">
        <f t="shared" si="323"/>
        <v>0</v>
      </c>
      <c r="N3722" s="59">
        <f t="shared" si="326"/>
        <v>0</v>
      </c>
      <c r="O3722" s="59">
        <f t="shared" si="324"/>
        <v>0</v>
      </c>
      <c r="P3722" s="59">
        <f t="shared" si="327"/>
        <v>0</v>
      </c>
    </row>
    <row r="3723" spans="12:16" ht="15" hidden="1" customHeight="1">
      <c r="L3723" s="58" t="str">
        <f t="shared" si="325"/>
        <v>-</v>
      </c>
      <c r="M3723" s="59">
        <f t="shared" si="323"/>
        <v>0</v>
      </c>
      <c r="N3723" s="59">
        <f t="shared" si="326"/>
        <v>0</v>
      </c>
      <c r="O3723" s="59">
        <f t="shared" si="324"/>
        <v>0</v>
      </c>
      <c r="P3723" s="59">
        <f t="shared" si="327"/>
        <v>0</v>
      </c>
    </row>
    <row r="3724" spans="12:16" ht="15" hidden="1" customHeight="1">
      <c r="L3724" s="58" t="str">
        <f t="shared" si="325"/>
        <v>-</v>
      </c>
      <c r="M3724" s="59">
        <f t="shared" si="323"/>
        <v>0</v>
      </c>
      <c r="N3724" s="59">
        <f t="shared" si="326"/>
        <v>0</v>
      </c>
      <c r="O3724" s="59">
        <f t="shared" si="324"/>
        <v>0</v>
      </c>
      <c r="P3724" s="59">
        <f t="shared" si="327"/>
        <v>0</v>
      </c>
    </row>
    <row r="3725" spans="12:16" ht="15" hidden="1" customHeight="1">
      <c r="L3725" s="58" t="str">
        <f t="shared" si="325"/>
        <v>-</v>
      </c>
      <c r="M3725" s="59">
        <f t="shared" si="323"/>
        <v>0</v>
      </c>
      <c r="N3725" s="59">
        <f t="shared" si="326"/>
        <v>0</v>
      </c>
      <c r="O3725" s="59">
        <f t="shared" si="324"/>
        <v>0</v>
      </c>
      <c r="P3725" s="59">
        <f t="shared" si="327"/>
        <v>0</v>
      </c>
    </row>
    <row r="3726" spans="12:16" ht="15" hidden="1" customHeight="1">
      <c r="L3726" s="58" t="str">
        <f t="shared" si="325"/>
        <v>-</v>
      </c>
      <c r="M3726" s="59">
        <f t="shared" si="323"/>
        <v>0</v>
      </c>
      <c r="N3726" s="59">
        <f t="shared" si="326"/>
        <v>0</v>
      </c>
      <c r="O3726" s="59">
        <f t="shared" si="324"/>
        <v>0</v>
      </c>
      <c r="P3726" s="59">
        <f t="shared" si="327"/>
        <v>0</v>
      </c>
    </row>
    <row r="3727" spans="12:16" ht="15" hidden="1" customHeight="1">
      <c r="L3727" s="58" t="str">
        <f t="shared" si="325"/>
        <v>-</v>
      </c>
      <c r="M3727" s="59">
        <f t="shared" si="323"/>
        <v>0</v>
      </c>
      <c r="N3727" s="59">
        <f t="shared" si="326"/>
        <v>0</v>
      </c>
      <c r="O3727" s="59">
        <f t="shared" si="324"/>
        <v>0</v>
      </c>
      <c r="P3727" s="59">
        <f t="shared" si="327"/>
        <v>0</v>
      </c>
    </row>
    <row r="3728" spans="12:16" ht="15" hidden="1" customHeight="1">
      <c r="L3728" s="58" t="str">
        <f t="shared" si="325"/>
        <v>-</v>
      </c>
      <c r="M3728" s="59">
        <f t="shared" si="323"/>
        <v>0</v>
      </c>
      <c r="N3728" s="59">
        <f t="shared" si="326"/>
        <v>0</v>
      </c>
      <c r="O3728" s="59">
        <f t="shared" si="324"/>
        <v>0</v>
      </c>
      <c r="P3728" s="59">
        <f t="shared" si="327"/>
        <v>0</v>
      </c>
    </row>
    <row r="3729" spans="12:16" ht="15" hidden="1" customHeight="1">
      <c r="L3729" s="58" t="str">
        <f t="shared" si="325"/>
        <v>-</v>
      </c>
      <c r="M3729" s="59">
        <f t="shared" si="323"/>
        <v>0</v>
      </c>
      <c r="N3729" s="59">
        <f t="shared" si="326"/>
        <v>0</v>
      </c>
      <c r="O3729" s="59">
        <f t="shared" si="324"/>
        <v>0</v>
      </c>
      <c r="P3729" s="59">
        <f t="shared" si="327"/>
        <v>0</v>
      </c>
    </row>
    <row r="3730" spans="12:16" ht="15" hidden="1" customHeight="1">
      <c r="L3730" s="58" t="str">
        <f t="shared" si="325"/>
        <v>-</v>
      </c>
      <c r="M3730" s="59">
        <f t="shared" si="323"/>
        <v>0</v>
      </c>
      <c r="N3730" s="59">
        <f t="shared" si="326"/>
        <v>0</v>
      </c>
      <c r="O3730" s="59">
        <f t="shared" si="324"/>
        <v>0</v>
      </c>
      <c r="P3730" s="59">
        <f t="shared" si="327"/>
        <v>0</v>
      </c>
    </row>
    <row r="3731" spans="12:16" ht="15" hidden="1" customHeight="1">
      <c r="L3731" s="58" t="str">
        <f t="shared" si="325"/>
        <v>-</v>
      </c>
      <c r="M3731" s="59">
        <f t="shared" ref="M3731:M3794" si="328">IFERROR(VLOOKUP(L3731,$B$19:$E$80,4,FALSE),0)</f>
        <v>0</v>
      </c>
      <c r="N3731" s="59">
        <f t="shared" si="326"/>
        <v>0</v>
      </c>
      <c r="O3731" s="59">
        <f t="shared" ref="O3731:O3794" si="329">IFERROR(IF(ISNUMBER(N3730),N3730,$E$8)*IF(L3731&gt;=$J$8,$E$12,$E$12)/IF(MOD(YEAR(L3731),4),365,366)*IF(ISBLANK(L3730),L3731-$F$5,L3731-L3730),0)</f>
        <v>0</v>
      </c>
      <c r="P3731" s="59">
        <f t="shared" si="327"/>
        <v>0</v>
      </c>
    </row>
    <row r="3732" spans="12:16" ht="15" hidden="1" customHeight="1">
      <c r="L3732" s="58" t="str">
        <f t="shared" si="325"/>
        <v>-</v>
      </c>
      <c r="M3732" s="59">
        <f t="shared" si="328"/>
        <v>0</v>
      </c>
      <c r="N3732" s="59">
        <f t="shared" si="326"/>
        <v>0</v>
      </c>
      <c r="O3732" s="59">
        <f t="shared" si="329"/>
        <v>0</v>
      </c>
      <c r="P3732" s="59">
        <f t="shared" si="327"/>
        <v>0</v>
      </c>
    </row>
    <row r="3733" spans="12:16" ht="15" hidden="1" customHeight="1">
      <c r="L3733" s="58" t="str">
        <f t="shared" si="325"/>
        <v>-</v>
      </c>
      <c r="M3733" s="59">
        <f t="shared" si="328"/>
        <v>0</v>
      </c>
      <c r="N3733" s="59">
        <f t="shared" si="326"/>
        <v>0</v>
      </c>
      <c r="O3733" s="59">
        <f t="shared" si="329"/>
        <v>0</v>
      </c>
      <c r="P3733" s="59">
        <f t="shared" si="327"/>
        <v>0</v>
      </c>
    </row>
    <row r="3734" spans="12:16" ht="15" hidden="1" customHeight="1">
      <c r="L3734" s="58" t="str">
        <f t="shared" si="325"/>
        <v>-</v>
      </c>
      <c r="M3734" s="59">
        <f t="shared" si="328"/>
        <v>0</v>
      </c>
      <c r="N3734" s="59">
        <f t="shared" si="326"/>
        <v>0</v>
      </c>
      <c r="O3734" s="59">
        <f t="shared" si="329"/>
        <v>0</v>
      </c>
      <c r="P3734" s="59">
        <f t="shared" si="327"/>
        <v>0</v>
      </c>
    </row>
    <row r="3735" spans="12:16" ht="15" hidden="1" customHeight="1">
      <c r="L3735" s="58" t="str">
        <f t="shared" si="325"/>
        <v>-</v>
      </c>
      <c r="M3735" s="59">
        <f t="shared" si="328"/>
        <v>0</v>
      </c>
      <c r="N3735" s="59">
        <f t="shared" si="326"/>
        <v>0</v>
      </c>
      <c r="O3735" s="59">
        <f t="shared" si="329"/>
        <v>0</v>
      </c>
      <c r="P3735" s="59">
        <f t="shared" si="327"/>
        <v>0</v>
      </c>
    </row>
    <row r="3736" spans="12:16" ht="15" hidden="1" customHeight="1">
      <c r="L3736" s="58" t="str">
        <f t="shared" si="325"/>
        <v>-</v>
      </c>
      <c r="M3736" s="59">
        <f t="shared" si="328"/>
        <v>0</v>
      </c>
      <c r="N3736" s="59">
        <f t="shared" si="326"/>
        <v>0</v>
      </c>
      <c r="O3736" s="59">
        <f t="shared" si="329"/>
        <v>0</v>
      </c>
      <c r="P3736" s="59">
        <f t="shared" si="327"/>
        <v>0</v>
      </c>
    </row>
    <row r="3737" spans="12:16" ht="15" hidden="1" customHeight="1">
      <c r="L3737" s="58" t="str">
        <f t="shared" si="325"/>
        <v>-</v>
      </c>
      <c r="M3737" s="59">
        <f t="shared" si="328"/>
        <v>0</v>
      </c>
      <c r="N3737" s="59">
        <f t="shared" si="326"/>
        <v>0</v>
      </c>
      <c r="O3737" s="59">
        <f t="shared" si="329"/>
        <v>0</v>
      </c>
      <c r="P3737" s="59">
        <f t="shared" si="327"/>
        <v>0</v>
      </c>
    </row>
    <row r="3738" spans="12:16" ht="15" hidden="1" customHeight="1">
      <c r="L3738" s="58" t="str">
        <f t="shared" si="325"/>
        <v>-</v>
      </c>
      <c r="M3738" s="59">
        <f t="shared" si="328"/>
        <v>0</v>
      </c>
      <c r="N3738" s="59">
        <f t="shared" si="326"/>
        <v>0</v>
      </c>
      <c r="O3738" s="59">
        <f t="shared" si="329"/>
        <v>0</v>
      </c>
      <c r="P3738" s="59">
        <f t="shared" si="327"/>
        <v>0</v>
      </c>
    </row>
    <row r="3739" spans="12:16" ht="15" hidden="1" customHeight="1">
      <c r="L3739" s="58" t="str">
        <f t="shared" si="325"/>
        <v>-</v>
      </c>
      <c r="M3739" s="59">
        <f t="shared" si="328"/>
        <v>0</v>
      </c>
      <c r="N3739" s="59">
        <f t="shared" si="326"/>
        <v>0</v>
      </c>
      <c r="O3739" s="59">
        <f t="shared" si="329"/>
        <v>0</v>
      </c>
      <c r="P3739" s="59">
        <f t="shared" si="327"/>
        <v>0</v>
      </c>
    </row>
    <row r="3740" spans="12:16" ht="15" hidden="1" customHeight="1">
      <c r="L3740" s="58" t="str">
        <f t="shared" si="325"/>
        <v>-</v>
      </c>
      <c r="M3740" s="59">
        <f t="shared" si="328"/>
        <v>0</v>
      </c>
      <c r="N3740" s="59">
        <f t="shared" si="326"/>
        <v>0</v>
      </c>
      <c r="O3740" s="59">
        <f t="shared" si="329"/>
        <v>0</v>
      </c>
      <c r="P3740" s="59">
        <f t="shared" si="327"/>
        <v>0</v>
      </c>
    </row>
    <row r="3741" spans="12:16" ht="15" hidden="1" customHeight="1">
      <c r="L3741" s="58" t="str">
        <f t="shared" si="325"/>
        <v>-</v>
      </c>
      <c r="M3741" s="59">
        <f t="shared" si="328"/>
        <v>0</v>
      </c>
      <c r="N3741" s="59">
        <f t="shared" si="326"/>
        <v>0</v>
      </c>
      <c r="O3741" s="59">
        <f t="shared" si="329"/>
        <v>0</v>
      </c>
      <c r="P3741" s="59">
        <f t="shared" si="327"/>
        <v>0</v>
      </c>
    </row>
    <row r="3742" spans="12:16" ht="15" hidden="1" customHeight="1">
      <c r="L3742" s="58" t="str">
        <f t="shared" si="325"/>
        <v>-</v>
      </c>
      <c r="M3742" s="59">
        <f t="shared" si="328"/>
        <v>0</v>
      </c>
      <c r="N3742" s="59">
        <f t="shared" si="326"/>
        <v>0</v>
      </c>
      <c r="O3742" s="59">
        <f t="shared" si="329"/>
        <v>0</v>
      </c>
      <c r="P3742" s="59">
        <f t="shared" si="327"/>
        <v>0</v>
      </c>
    </row>
    <row r="3743" spans="12:16" ht="15" hidden="1" customHeight="1">
      <c r="L3743" s="58" t="str">
        <f t="shared" si="325"/>
        <v>-</v>
      </c>
      <c r="M3743" s="59">
        <f t="shared" si="328"/>
        <v>0</v>
      </c>
      <c r="N3743" s="59">
        <f t="shared" si="326"/>
        <v>0</v>
      </c>
      <c r="O3743" s="59">
        <f t="shared" si="329"/>
        <v>0</v>
      </c>
      <c r="P3743" s="59">
        <f t="shared" si="327"/>
        <v>0</v>
      </c>
    </row>
    <row r="3744" spans="12:16" ht="15" hidden="1" customHeight="1">
      <c r="L3744" s="58" t="str">
        <f t="shared" si="325"/>
        <v>-</v>
      </c>
      <c r="M3744" s="59">
        <f t="shared" si="328"/>
        <v>0</v>
      </c>
      <c r="N3744" s="59">
        <f t="shared" si="326"/>
        <v>0</v>
      </c>
      <c r="O3744" s="59">
        <f t="shared" si="329"/>
        <v>0</v>
      </c>
      <c r="P3744" s="59">
        <f t="shared" si="327"/>
        <v>0</v>
      </c>
    </row>
    <row r="3745" spans="12:16" ht="15" hidden="1" customHeight="1">
      <c r="L3745" s="58" t="str">
        <f t="shared" si="325"/>
        <v>-</v>
      </c>
      <c r="M3745" s="59">
        <f t="shared" si="328"/>
        <v>0</v>
      </c>
      <c r="N3745" s="59">
        <f t="shared" si="326"/>
        <v>0</v>
      </c>
      <c r="O3745" s="59">
        <f t="shared" si="329"/>
        <v>0</v>
      </c>
      <c r="P3745" s="59">
        <f t="shared" si="327"/>
        <v>0</v>
      </c>
    </row>
    <row r="3746" spans="12:16" ht="15" hidden="1" customHeight="1">
      <c r="L3746" s="58" t="str">
        <f t="shared" si="325"/>
        <v>-</v>
      </c>
      <c r="M3746" s="59">
        <f t="shared" si="328"/>
        <v>0</v>
      </c>
      <c r="N3746" s="59">
        <f t="shared" si="326"/>
        <v>0</v>
      </c>
      <c r="O3746" s="59">
        <f t="shared" si="329"/>
        <v>0</v>
      </c>
      <c r="P3746" s="59">
        <f t="shared" si="327"/>
        <v>0</v>
      </c>
    </row>
    <row r="3747" spans="12:16" ht="15" hidden="1" customHeight="1">
      <c r="L3747" s="58" t="str">
        <f t="shared" si="325"/>
        <v>-</v>
      </c>
      <c r="M3747" s="59">
        <f t="shared" si="328"/>
        <v>0</v>
      </c>
      <c r="N3747" s="59">
        <f t="shared" si="326"/>
        <v>0</v>
      </c>
      <c r="O3747" s="59">
        <f t="shared" si="329"/>
        <v>0</v>
      </c>
      <c r="P3747" s="59">
        <f t="shared" si="327"/>
        <v>0</v>
      </c>
    </row>
    <row r="3748" spans="12:16" ht="15" hidden="1" customHeight="1">
      <c r="L3748" s="58" t="str">
        <f t="shared" si="325"/>
        <v>-</v>
      </c>
      <c r="M3748" s="59">
        <f t="shared" si="328"/>
        <v>0</v>
      </c>
      <c r="N3748" s="59">
        <f t="shared" si="326"/>
        <v>0</v>
      </c>
      <c r="O3748" s="59">
        <f t="shared" si="329"/>
        <v>0</v>
      </c>
      <c r="P3748" s="59">
        <f t="shared" si="327"/>
        <v>0</v>
      </c>
    </row>
    <row r="3749" spans="12:16" ht="15" hidden="1" customHeight="1">
      <c r="L3749" s="58" t="str">
        <f t="shared" si="325"/>
        <v>-</v>
      </c>
      <c r="M3749" s="59">
        <f t="shared" si="328"/>
        <v>0</v>
      </c>
      <c r="N3749" s="59">
        <f t="shared" si="326"/>
        <v>0</v>
      </c>
      <c r="O3749" s="59">
        <f t="shared" si="329"/>
        <v>0</v>
      </c>
      <c r="P3749" s="59">
        <f t="shared" si="327"/>
        <v>0</v>
      </c>
    </row>
    <row r="3750" spans="12:16" ht="15" hidden="1" customHeight="1">
      <c r="L3750" s="58" t="str">
        <f t="shared" si="325"/>
        <v>-</v>
      </c>
      <c r="M3750" s="59">
        <f t="shared" si="328"/>
        <v>0</v>
      </c>
      <c r="N3750" s="59">
        <f t="shared" si="326"/>
        <v>0</v>
      </c>
      <c r="O3750" s="59">
        <f t="shared" si="329"/>
        <v>0</v>
      </c>
      <c r="P3750" s="59">
        <f t="shared" si="327"/>
        <v>0</v>
      </c>
    </row>
    <row r="3751" spans="12:16" ht="15" hidden="1" customHeight="1">
      <c r="L3751" s="58" t="str">
        <f t="shared" si="325"/>
        <v>-</v>
      </c>
      <c r="M3751" s="59">
        <f t="shared" si="328"/>
        <v>0</v>
      </c>
      <c r="N3751" s="59">
        <f t="shared" si="326"/>
        <v>0</v>
      </c>
      <c r="O3751" s="59">
        <f t="shared" si="329"/>
        <v>0</v>
      </c>
      <c r="P3751" s="59">
        <f t="shared" si="327"/>
        <v>0</v>
      </c>
    </row>
    <row r="3752" spans="12:16" ht="15" hidden="1" customHeight="1">
      <c r="L3752" s="58" t="str">
        <f t="shared" si="325"/>
        <v>-</v>
      </c>
      <c r="M3752" s="59">
        <f t="shared" si="328"/>
        <v>0</v>
      </c>
      <c r="N3752" s="59">
        <f t="shared" si="326"/>
        <v>0</v>
      </c>
      <c r="O3752" s="59">
        <f t="shared" si="329"/>
        <v>0</v>
      </c>
      <c r="P3752" s="59">
        <f t="shared" si="327"/>
        <v>0</v>
      </c>
    </row>
    <row r="3753" spans="12:16" ht="15" hidden="1" customHeight="1">
      <c r="L3753" s="58" t="str">
        <f t="shared" si="325"/>
        <v>-</v>
      </c>
      <c r="M3753" s="59">
        <f t="shared" si="328"/>
        <v>0</v>
      </c>
      <c r="N3753" s="59">
        <f t="shared" ref="N3753:N3816" si="330">IF(ISNUMBER(N3752),N3752-M3753,$E$8)</f>
        <v>0</v>
      </c>
      <c r="O3753" s="59">
        <f t="shared" si="329"/>
        <v>0</v>
      </c>
      <c r="P3753" s="59">
        <f t="shared" ref="P3753:P3816" si="331">IFERROR(IF(ISNUMBER(N3752),N3752,$E$8)*3%/IF(MOD(YEAR(L3753),4),365,366)*IF(ISBLANK(L3752),(L3753-$F$5),L3753-L3752),0)</f>
        <v>0</v>
      </c>
    </row>
    <row r="3754" spans="12:16" ht="15" hidden="1" customHeight="1">
      <c r="L3754" s="58" t="str">
        <f t="shared" si="325"/>
        <v>-</v>
      </c>
      <c r="M3754" s="59">
        <f t="shared" si="328"/>
        <v>0</v>
      </c>
      <c r="N3754" s="59">
        <f t="shared" si="330"/>
        <v>0</v>
      </c>
      <c r="O3754" s="59">
        <f t="shared" si="329"/>
        <v>0</v>
      </c>
      <c r="P3754" s="59">
        <f t="shared" si="331"/>
        <v>0</v>
      </c>
    </row>
    <row r="3755" spans="12:16" ht="15" hidden="1" customHeight="1">
      <c r="L3755" s="58" t="str">
        <f t="shared" si="325"/>
        <v>-</v>
      </c>
      <c r="M3755" s="59">
        <f t="shared" si="328"/>
        <v>0</v>
      </c>
      <c r="N3755" s="59">
        <f t="shared" si="330"/>
        <v>0</v>
      </c>
      <c r="O3755" s="59">
        <f t="shared" si="329"/>
        <v>0</v>
      </c>
      <c r="P3755" s="59">
        <f t="shared" si="331"/>
        <v>0</v>
      </c>
    </row>
    <row r="3756" spans="12:16" ht="15" hidden="1" customHeight="1">
      <c r="L3756" s="58" t="str">
        <f t="shared" si="325"/>
        <v>-</v>
      </c>
      <c r="M3756" s="59">
        <f t="shared" si="328"/>
        <v>0</v>
      </c>
      <c r="N3756" s="59">
        <f t="shared" si="330"/>
        <v>0</v>
      </c>
      <c r="O3756" s="59">
        <f t="shared" si="329"/>
        <v>0</v>
      </c>
      <c r="P3756" s="59">
        <f t="shared" si="331"/>
        <v>0</v>
      </c>
    </row>
    <row r="3757" spans="12:16" ht="15" hidden="1" customHeight="1">
      <c r="L3757" s="58" t="str">
        <f t="shared" si="325"/>
        <v>-</v>
      </c>
      <c r="M3757" s="59">
        <f t="shared" si="328"/>
        <v>0</v>
      </c>
      <c r="N3757" s="59">
        <f t="shared" si="330"/>
        <v>0</v>
      </c>
      <c r="O3757" s="59">
        <f t="shared" si="329"/>
        <v>0</v>
      </c>
      <c r="P3757" s="59">
        <f t="shared" si="331"/>
        <v>0</v>
      </c>
    </row>
    <row r="3758" spans="12:16" ht="15" hidden="1" customHeight="1">
      <c r="L3758" s="58" t="str">
        <f t="shared" si="325"/>
        <v>-</v>
      </c>
      <c r="M3758" s="59">
        <f t="shared" si="328"/>
        <v>0</v>
      </c>
      <c r="N3758" s="59">
        <f t="shared" si="330"/>
        <v>0</v>
      </c>
      <c r="O3758" s="59">
        <f t="shared" si="329"/>
        <v>0</v>
      </c>
      <c r="P3758" s="59">
        <f t="shared" si="331"/>
        <v>0</v>
      </c>
    </row>
    <row r="3759" spans="12:16" ht="15" hidden="1" customHeight="1">
      <c r="L3759" s="58" t="str">
        <f t="shared" si="325"/>
        <v>-</v>
      </c>
      <c r="M3759" s="59">
        <f t="shared" si="328"/>
        <v>0</v>
      </c>
      <c r="N3759" s="59">
        <f t="shared" si="330"/>
        <v>0</v>
      </c>
      <c r="O3759" s="59">
        <f t="shared" si="329"/>
        <v>0</v>
      </c>
      <c r="P3759" s="59">
        <f t="shared" si="331"/>
        <v>0</v>
      </c>
    </row>
    <row r="3760" spans="12:16" ht="15" hidden="1" customHeight="1">
      <c r="L3760" s="58" t="str">
        <f t="shared" si="325"/>
        <v>-</v>
      </c>
      <c r="M3760" s="59">
        <f t="shared" si="328"/>
        <v>0</v>
      </c>
      <c r="N3760" s="59">
        <f t="shared" si="330"/>
        <v>0</v>
      </c>
      <c r="O3760" s="59">
        <f t="shared" si="329"/>
        <v>0</v>
      </c>
      <c r="P3760" s="59">
        <f t="shared" si="331"/>
        <v>0</v>
      </c>
    </row>
    <row r="3761" spans="12:16" ht="15" hidden="1" customHeight="1">
      <c r="L3761" s="58" t="str">
        <f t="shared" si="325"/>
        <v>-</v>
      </c>
      <c r="M3761" s="59">
        <f t="shared" si="328"/>
        <v>0</v>
      </c>
      <c r="N3761" s="59">
        <f t="shared" si="330"/>
        <v>0</v>
      </c>
      <c r="O3761" s="59">
        <f t="shared" si="329"/>
        <v>0</v>
      </c>
      <c r="P3761" s="59">
        <f t="shared" si="331"/>
        <v>0</v>
      </c>
    </row>
    <row r="3762" spans="12:16" ht="15" hidden="1" customHeight="1">
      <c r="L3762" s="58" t="str">
        <f t="shared" si="325"/>
        <v>-</v>
      </c>
      <c r="M3762" s="59">
        <f t="shared" si="328"/>
        <v>0</v>
      </c>
      <c r="N3762" s="59">
        <f t="shared" si="330"/>
        <v>0</v>
      </c>
      <c r="O3762" s="59">
        <f t="shared" si="329"/>
        <v>0</v>
      </c>
      <c r="P3762" s="59">
        <f t="shared" si="331"/>
        <v>0</v>
      </c>
    </row>
    <row r="3763" spans="12:16" ht="15" hidden="1" customHeight="1">
      <c r="L3763" s="58" t="str">
        <f t="shared" si="325"/>
        <v>-</v>
      </c>
      <c r="M3763" s="59">
        <f t="shared" si="328"/>
        <v>0</v>
      </c>
      <c r="N3763" s="59">
        <f t="shared" si="330"/>
        <v>0</v>
      </c>
      <c r="O3763" s="59">
        <f t="shared" si="329"/>
        <v>0</v>
      </c>
      <c r="P3763" s="59">
        <f t="shared" si="331"/>
        <v>0</v>
      </c>
    </row>
    <row r="3764" spans="12:16" ht="15" hidden="1" customHeight="1">
      <c r="L3764" s="58" t="str">
        <f t="shared" si="325"/>
        <v>-</v>
      </c>
      <c r="M3764" s="59">
        <f t="shared" si="328"/>
        <v>0</v>
      </c>
      <c r="N3764" s="59">
        <f t="shared" si="330"/>
        <v>0</v>
      </c>
      <c r="O3764" s="59">
        <f t="shared" si="329"/>
        <v>0</v>
      </c>
      <c r="P3764" s="59">
        <f t="shared" si="331"/>
        <v>0</v>
      </c>
    </row>
    <row r="3765" spans="12:16" ht="15" hidden="1" customHeight="1">
      <c r="L3765" s="58" t="str">
        <f t="shared" si="325"/>
        <v>-</v>
      </c>
      <c r="M3765" s="59">
        <f t="shared" si="328"/>
        <v>0</v>
      </c>
      <c r="N3765" s="59">
        <f t="shared" si="330"/>
        <v>0</v>
      </c>
      <c r="O3765" s="59">
        <f t="shared" si="329"/>
        <v>0</v>
      </c>
      <c r="P3765" s="59">
        <f t="shared" si="331"/>
        <v>0</v>
      </c>
    </row>
    <row r="3766" spans="12:16" ht="15" hidden="1" customHeight="1">
      <c r="L3766" s="58" t="str">
        <f t="shared" si="325"/>
        <v>-</v>
      </c>
      <c r="M3766" s="59">
        <f t="shared" si="328"/>
        <v>0</v>
      </c>
      <c r="N3766" s="59">
        <f t="shared" si="330"/>
        <v>0</v>
      </c>
      <c r="O3766" s="59">
        <f t="shared" si="329"/>
        <v>0</v>
      </c>
      <c r="P3766" s="59">
        <f t="shared" si="331"/>
        <v>0</v>
      </c>
    </row>
    <row r="3767" spans="12:16" ht="15" hidden="1" customHeight="1">
      <c r="L3767" s="58" t="str">
        <f t="shared" si="325"/>
        <v>-</v>
      </c>
      <c r="M3767" s="59">
        <f t="shared" si="328"/>
        <v>0</v>
      </c>
      <c r="N3767" s="59">
        <f t="shared" si="330"/>
        <v>0</v>
      </c>
      <c r="O3767" s="59">
        <f t="shared" si="329"/>
        <v>0</v>
      </c>
      <c r="P3767" s="59">
        <f t="shared" si="331"/>
        <v>0</v>
      </c>
    </row>
    <row r="3768" spans="12:16" ht="15" hidden="1" customHeight="1">
      <c r="L3768" s="58" t="str">
        <f t="shared" si="325"/>
        <v>-</v>
      </c>
      <c r="M3768" s="59">
        <f t="shared" si="328"/>
        <v>0</v>
      </c>
      <c r="N3768" s="59">
        <f t="shared" si="330"/>
        <v>0</v>
      </c>
      <c r="O3768" s="59">
        <f t="shared" si="329"/>
        <v>0</v>
      </c>
      <c r="P3768" s="59">
        <f t="shared" si="331"/>
        <v>0</v>
      </c>
    </row>
    <row r="3769" spans="12:16" ht="15" hidden="1" customHeight="1">
      <c r="L3769" s="58" t="str">
        <f t="shared" si="325"/>
        <v>-</v>
      </c>
      <c r="M3769" s="59">
        <f t="shared" si="328"/>
        <v>0</v>
      </c>
      <c r="N3769" s="59">
        <f t="shared" si="330"/>
        <v>0</v>
      </c>
      <c r="O3769" s="59">
        <f t="shared" si="329"/>
        <v>0</v>
      </c>
      <c r="P3769" s="59">
        <f t="shared" si="331"/>
        <v>0</v>
      </c>
    </row>
    <row r="3770" spans="12:16" ht="15" hidden="1" customHeight="1">
      <c r="L3770" s="58" t="str">
        <f t="shared" si="325"/>
        <v>-</v>
      </c>
      <c r="M3770" s="59">
        <f t="shared" si="328"/>
        <v>0</v>
      </c>
      <c r="N3770" s="59">
        <f t="shared" si="330"/>
        <v>0</v>
      </c>
      <c r="O3770" s="59">
        <f t="shared" si="329"/>
        <v>0</v>
      </c>
      <c r="P3770" s="59">
        <f t="shared" si="331"/>
        <v>0</v>
      </c>
    </row>
    <row r="3771" spans="12:16" ht="15" hidden="1" customHeight="1">
      <c r="L3771" s="58" t="str">
        <f t="shared" si="325"/>
        <v>-</v>
      </c>
      <c r="M3771" s="59">
        <f t="shared" si="328"/>
        <v>0</v>
      </c>
      <c r="N3771" s="59">
        <f t="shared" si="330"/>
        <v>0</v>
      </c>
      <c r="O3771" s="59">
        <f t="shared" si="329"/>
        <v>0</v>
      </c>
      <c r="P3771" s="59">
        <f t="shared" si="331"/>
        <v>0</v>
      </c>
    </row>
    <row r="3772" spans="12:16" ht="15" hidden="1" customHeight="1">
      <c r="L3772" s="58" t="str">
        <f t="shared" si="325"/>
        <v>-</v>
      </c>
      <c r="M3772" s="59">
        <f t="shared" si="328"/>
        <v>0</v>
      </c>
      <c r="N3772" s="59">
        <f t="shared" si="330"/>
        <v>0</v>
      </c>
      <c r="O3772" s="59">
        <f t="shared" si="329"/>
        <v>0</v>
      </c>
      <c r="P3772" s="59">
        <f t="shared" si="331"/>
        <v>0</v>
      </c>
    </row>
    <row r="3773" spans="12:16" ht="15" hidden="1" customHeight="1">
      <c r="L3773" s="58" t="str">
        <f t="shared" si="325"/>
        <v>-</v>
      </c>
      <c r="M3773" s="59">
        <f t="shared" si="328"/>
        <v>0</v>
      </c>
      <c r="N3773" s="59">
        <f t="shared" si="330"/>
        <v>0</v>
      </c>
      <c r="O3773" s="59">
        <f t="shared" si="329"/>
        <v>0</v>
      </c>
      <c r="P3773" s="59">
        <f t="shared" si="331"/>
        <v>0</v>
      </c>
    </row>
    <row r="3774" spans="12:16" ht="15" hidden="1" customHeight="1">
      <c r="L3774" s="58" t="str">
        <f t="shared" si="325"/>
        <v>-</v>
      </c>
      <c r="M3774" s="59">
        <f t="shared" si="328"/>
        <v>0</v>
      </c>
      <c r="N3774" s="59">
        <f t="shared" si="330"/>
        <v>0</v>
      </c>
      <c r="O3774" s="59">
        <f t="shared" si="329"/>
        <v>0</v>
      </c>
      <c r="P3774" s="59">
        <f t="shared" si="331"/>
        <v>0</v>
      </c>
    </row>
    <row r="3775" spans="12:16" ht="15" hidden="1" customHeight="1">
      <c r="L3775" s="58" t="str">
        <f t="shared" si="325"/>
        <v>-</v>
      </c>
      <c r="M3775" s="59">
        <f t="shared" si="328"/>
        <v>0</v>
      </c>
      <c r="N3775" s="59">
        <f t="shared" si="330"/>
        <v>0</v>
      </c>
      <c r="O3775" s="59">
        <f t="shared" si="329"/>
        <v>0</v>
      </c>
      <c r="P3775" s="59">
        <f t="shared" si="331"/>
        <v>0</v>
      </c>
    </row>
    <row r="3776" spans="12:16" ht="15" hidden="1" customHeight="1">
      <c r="L3776" s="58" t="str">
        <f t="shared" si="325"/>
        <v>-</v>
      </c>
      <c r="M3776" s="59">
        <f t="shared" si="328"/>
        <v>0</v>
      </c>
      <c r="N3776" s="59">
        <f t="shared" si="330"/>
        <v>0</v>
      </c>
      <c r="O3776" s="59">
        <f t="shared" si="329"/>
        <v>0</v>
      </c>
      <c r="P3776" s="59">
        <f t="shared" si="331"/>
        <v>0</v>
      </c>
    </row>
    <row r="3777" spans="12:16" ht="15" hidden="1" customHeight="1">
      <c r="L3777" s="58" t="str">
        <f t="shared" si="325"/>
        <v>-</v>
      </c>
      <c r="M3777" s="59">
        <f t="shared" si="328"/>
        <v>0</v>
      </c>
      <c r="N3777" s="59">
        <f t="shared" si="330"/>
        <v>0</v>
      </c>
      <c r="O3777" s="59">
        <f t="shared" si="329"/>
        <v>0</v>
      </c>
      <c r="P3777" s="59">
        <f t="shared" si="331"/>
        <v>0</v>
      </c>
    </row>
    <row r="3778" spans="12:16" ht="15" hidden="1" customHeight="1">
      <c r="L3778" s="58" t="str">
        <f t="shared" si="325"/>
        <v>-</v>
      </c>
      <c r="M3778" s="59">
        <f t="shared" si="328"/>
        <v>0</v>
      </c>
      <c r="N3778" s="59">
        <f t="shared" si="330"/>
        <v>0</v>
      </c>
      <c r="O3778" s="59">
        <f t="shared" si="329"/>
        <v>0</v>
      </c>
      <c r="P3778" s="59">
        <f t="shared" si="331"/>
        <v>0</v>
      </c>
    </row>
    <row r="3779" spans="12:16" ht="15" hidden="1" customHeight="1">
      <c r="L3779" s="58" t="str">
        <f t="shared" si="325"/>
        <v>-</v>
      </c>
      <c r="M3779" s="59">
        <f t="shared" si="328"/>
        <v>0</v>
      </c>
      <c r="N3779" s="59">
        <f t="shared" si="330"/>
        <v>0</v>
      </c>
      <c r="O3779" s="59">
        <f t="shared" si="329"/>
        <v>0</v>
      </c>
      <c r="P3779" s="59">
        <f t="shared" si="331"/>
        <v>0</v>
      </c>
    </row>
    <row r="3780" spans="12:16" ht="15" hidden="1" customHeight="1">
      <c r="L3780" s="58" t="str">
        <f t="shared" si="325"/>
        <v>-</v>
      </c>
      <c r="M3780" s="59">
        <f t="shared" si="328"/>
        <v>0</v>
      </c>
      <c r="N3780" s="59">
        <f t="shared" si="330"/>
        <v>0</v>
      </c>
      <c r="O3780" s="59">
        <f t="shared" si="329"/>
        <v>0</v>
      </c>
      <c r="P3780" s="59">
        <f t="shared" si="331"/>
        <v>0</v>
      </c>
    </row>
    <row r="3781" spans="12:16" ht="15" hidden="1" customHeight="1">
      <c r="L3781" s="58" t="str">
        <f t="shared" si="325"/>
        <v>-</v>
      </c>
      <c r="M3781" s="59">
        <f t="shared" si="328"/>
        <v>0</v>
      </c>
      <c r="N3781" s="59">
        <f t="shared" si="330"/>
        <v>0</v>
      </c>
      <c r="O3781" s="59">
        <f t="shared" si="329"/>
        <v>0</v>
      </c>
      <c r="P3781" s="59">
        <f t="shared" si="331"/>
        <v>0</v>
      </c>
    </row>
    <row r="3782" spans="12:16" ht="15" hidden="1" customHeight="1">
      <c r="L3782" s="58" t="str">
        <f t="shared" si="325"/>
        <v>-</v>
      </c>
      <c r="M3782" s="59">
        <f t="shared" si="328"/>
        <v>0</v>
      </c>
      <c r="N3782" s="59">
        <f t="shared" si="330"/>
        <v>0</v>
      </c>
      <c r="O3782" s="59">
        <f t="shared" si="329"/>
        <v>0</v>
      </c>
      <c r="P3782" s="59">
        <f t="shared" si="331"/>
        <v>0</v>
      </c>
    </row>
    <row r="3783" spans="12:16" ht="15" hidden="1" customHeight="1">
      <c r="L3783" s="58" t="str">
        <f t="shared" si="325"/>
        <v>-</v>
      </c>
      <c r="M3783" s="59">
        <f t="shared" si="328"/>
        <v>0</v>
      </c>
      <c r="N3783" s="59">
        <f t="shared" si="330"/>
        <v>0</v>
      </c>
      <c r="O3783" s="59">
        <f t="shared" si="329"/>
        <v>0</v>
      </c>
      <c r="P3783" s="59">
        <f t="shared" si="331"/>
        <v>0</v>
      </c>
    </row>
    <row r="3784" spans="12:16" ht="15" hidden="1" customHeight="1">
      <c r="L3784" s="58" t="str">
        <f t="shared" si="325"/>
        <v>-</v>
      </c>
      <c r="M3784" s="59">
        <f t="shared" si="328"/>
        <v>0</v>
      </c>
      <c r="N3784" s="59">
        <f t="shared" si="330"/>
        <v>0</v>
      </c>
      <c r="O3784" s="59">
        <f t="shared" si="329"/>
        <v>0</v>
      </c>
      <c r="P3784" s="59">
        <f t="shared" si="331"/>
        <v>0</v>
      </c>
    </row>
    <row r="3785" spans="12:16" ht="15" hidden="1" customHeight="1">
      <c r="L3785" s="58" t="str">
        <f t="shared" si="325"/>
        <v>-</v>
      </c>
      <c r="M3785" s="59">
        <f t="shared" si="328"/>
        <v>0</v>
      </c>
      <c r="N3785" s="59">
        <f t="shared" si="330"/>
        <v>0</v>
      </c>
      <c r="O3785" s="59">
        <f t="shared" si="329"/>
        <v>0</v>
      </c>
      <c r="P3785" s="59">
        <f t="shared" si="331"/>
        <v>0</v>
      </c>
    </row>
    <row r="3786" spans="12:16" ht="15" hidden="1" customHeight="1">
      <c r="L3786" s="58" t="str">
        <f t="shared" si="325"/>
        <v>-</v>
      </c>
      <c r="M3786" s="59">
        <f t="shared" si="328"/>
        <v>0</v>
      </c>
      <c r="N3786" s="59">
        <f t="shared" si="330"/>
        <v>0</v>
      </c>
      <c r="O3786" s="59">
        <f t="shared" si="329"/>
        <v>0</v>
      </c>
      <c r="P3786" s="59">
        <f t="shared" si="331"/>
        <v>0</v>
      </c>
    </row>
    <row r="3787" spans="12:16" ht="15" hidden="1" customHeight="1">
      <c r="L3787" s="58" t="str">
        <f t="shared" si="325"/>
        <v>-</v>
      </c>
      <c r="M3787" s="59">
        <f t="shared" si="328"/>
        <v>0</v>
      </c>
      <c r="N3787" s="59">
        <f t="shared" si="330"/>
        <v>0</v>
      </c>
      <c r="O3787" s="59">
        <f t="shared" si="329"/>
        <v>0</v>
      </c>
      <c r="P3787" s="59">
        <f t="shared" si="331"/>
        <v>0</v>
      </c>
    </row>
    <row r="3788" spans="12:16" ht="15" hidden="1" customHeight="1">
      <c r="L3788" s="58" t="str">
        <f t="shared" si="325"/>
        <v>-</v>
      </c>
      <c r="M3788" s="59">
        <f t="shared" si="328"/>
        <v>0</v>
      </c>
      <c r="N3788" s="59">
        <f t="shared" si="330"/>
        <v>0</v>
      </c>
      <c r="O3788" s="59">
        <f t="shared" si="329"/>
        <v>0</v>
      </c>
      <c r="P3788" s="59">
        <f t="shared" si="331"/>
        <v>0</v>
      </c>
    </row>
    <row r="3789" spans="12:16" ht="15" hidden="1" customHeight="1">
      <c r="L3789" s="58" t="str">
        <f t="shared" si="325"/>
        <v>-</v>
      </c>
      <c r="M3789" s="59">
        <f t="shared" si="328"/>
        <v>0</v>
      </c>
      <c r="N3789" s="59">
        <f t="shared" si="330"/>
        <v>0</v>
      </c>
      <c r="O3789" s="59">
        <f t="shared" si="329"/>
        <v>0</v>
      </c>
      <c r="P3789" s="59">
        <f t="shared" si="331"/>
        <v>0</v>
      </c>
    </row>
    <row r="3790" spans="12:16" ht="15" hidden="1" customHeight="1">
      <c r="L3790" s="58" t="str">
        <f t="shared" si="325"/>
        <v>-</v>
      </c>
      <c r="M3790" s="59">
        <f t="shared" si="328"/>
        <v>0</v>
      </c>
      <c r="N3790" s="59">
        <f t="shared" si="330"/>
        <v>0</v>
      </c>
      <c r="O3790" s="59">
        <f t="shared" si="329"/>
        <v>0</v>
      </c>
      <c r="P3790" s="59">
        <f t="shared" si="331"/>
        <v>0</v>
      </c>
    </row>
    <row r="3791" spans="12:16" ht="15" hidden="1" customHeight="1">
      <c r="L3791" s="58" t="str">
        <f t="shared" si="325"/>
        <v>-</v>
      </c>
      <c r="M3791" s="59">
        <f t="shared" si="328"/>
        <v>0</v>
      </c>
      <c r="N3791" s="59">
        <f t="shared" si="330"/>
        <v>0</v>
      </c>
      <c r="O3791" s="59">
        <f t="shared" si="329"/>
        <v>0</v>
      </c>
      <c r="P3791" s="59">
        <f t="shared" si="331"/>
        <v>0</v>
      </c>
    </row>
    <row r="3792" spans="12:16" ht="15" hidden="1" customHeight="1">
      <c r="L3792" s="58" t="str">
        <f t="shared" si="325"/>
        <v>-</v>
      </c>
      <c r="M3792" s="59">
        <f t="shared" si="328"/>
        <v>0</v>
      </c>
      <c r="N3792" s="59">
        <f t="shared" si="330"/>
        <v>0</v>
      </c>
      <c r="O3792" s="59">
        <f t="shared" si="329"/>
        <v>0</v>
      </c>
      <c r="P3792" s="59">
        <f t="shared" si="331"/>
        <v>0</v>
      </c>
    </row>
    <row r="3793" spans="12:16" ht="15" hidden="1" customHeight="1">
      <c r="L3793" s="58" t="str">
        <f t="shared" si="325"/>
        <v>-</v>
      </c>
      <c r="M3793" s="59">
        <f t="shared" si="328"/>
        <v>0</v>
      </c>
      <c r="N3793" s="59">
        <f t="shared" si="330"/>
        <v>0</v>
      </c>
      <c r="O3793" s="59">
        <f t="shared" si="329"/>
        <v>0</v>
      </c>
      <c r="P3793" s="59">
        <f t="shared" si="331"/>
        <v>0</v>
      </c>
    </row>
    <row r="3794" spans="12:16" ht="15" hidden="1" customHeight="1">
      <c r="L3794" s="58" t="str">
        <f t="shared" si="325"/>
        <v>-</v>
      </c>
      <c r="M3794" s="59">
        <f t="shared" si="328"/>
        <v>0</v>
      </c>
      <c r="N3794" s="59">
        <f t="shared" si="330"/>
        <v>0</v>
      </c>
      <c r="O3794" s="59">
        <f t="shared" si="329"/>
        <v>0</v>
      </c>
      <c r="P3794" s="59">
        <f t="shared" si="331"/>
        <v>0</v>
      </c>
    </row>
    <row r="3795" spans="12:16" ht="15" hidden="1" customHeight="1">
      <c r="L3795" s="58" t="str">
        <f t="shared" si="325"/>
        <v>-</v>
      </c>
      <c r="M3795" s="59">
        <f t="shared" ref="M3795:M3858" si="332">IFERROR(VLOOKUP(L3795,$B$19:$E$80,4,FALSE),0)</f>
        <v>0</v>
      </c>
      <c r="N3795" s="59">
        <f t="shared" si="330"/>
        <v>0</v>
      </c>
      <c r="O3795" s="59">
        <f t="shared" ref="O3795:O3858" si="333">IFERROR(IF(ISNUMBER(N3794),N3794,$E$8)*IF(L3795&gt;=$J$8,$E$12,$E$12)/IF(MOD(YEAR(L3795),4),365,366)*IF(ISBLANK(L3794),L3795-$F$5,L3795-L3794),0)</f>
        <v>0</v>
      </c>
      <c r="P3795" s="59">
        <f t="shared" si="331"/>
        <v>0</v>
      </c>
    </row>
    <row r="3796" spans="12:16" ht="15" hidden="1" customHeight="1">
      <c r="L3796" s="58" t="str">
        <f t="shared" si="325"/>
        <v>-</v>
      </c>
      <c r="M3796" s="59">
        <f t="shared" si="332"/>
        <v>0</v>
      </c>
      <c r="N3796" s="59">
        <f t="shared" si="330"/>
        <v>0</v>
      </c>
      <c r="O3796" s="59">
        <f t="shared" si="333"/>
        <v>0</v>
      </c>
      <c r="P3796" s="59">
        <f t="shared" si="331"/>
        <v>0</v>
      </c>
    </row>
    <row r="3797" spans="12:16" ht="15" hidden="1" customHeight="1">
      <c r="L3797" s="58" t="str">
        <f t="shared" si="325"/>
        <v>-</v>
      </c>
      <c r="M3797" s="59">
        <f t="shared" si="332"/>
        <v>0</v>
      </c>
      <c r="N3797" s="59">
        <f t="shared" si="330"/>
        <v>0</v>
      </c>
      <c r="O3797" s="59">
        <f t="shared" si="333"/>
        <v>0</v>
      </c>
      <c r="P3797" s="59">
        <f t="shared" si="331"/>
        <v>0</v>
      </c>
    </row>
    <row r="3798" spans="12:16" ht="15" hidden="1" customHeight="1">
      <c r="L3798" s="58" t="str">
        <f t="shared" si="325"/>
        <v>-</v>
      </c>
      <c r="M3798" s="59">
        <f t="shared" si="332"/>
        <v>0</v>
      </c>
      <c r="N3798" s="59">
        <f t="shared" si="330"/>
        <v>0</v>
      </c>
      <c r="O3798" s="59">
        <f t="shared" si="333"/>
        <v>0</v>
      </c>
      <c r="P3798" s="59">
        <f t="shared" si="331"/>
        <v>0</v>
      </c>
    </row>
    <row r="3799" spans="12:16" ht="15" hidden="1" customHeight="1">
      <c r="L3799" s="58" t="str">
        <f t="shared" si="325"/>
        <v>-</v>
      </c>
      <c r="M3799" s="59">
        <f t="shared" si="332"/>
        <v>0</v>
      </c>
      <c r="N3799" s="59">
        <f t="shared" si="330"/>
        <v>0</v>
      </c>
      <c r="O3799" s="59">
        <f t="shared" si="333"/>
        <v>0</v>
      </c>
      <c r="P3799" s="59">
        <f t="shared" si="331"/>
        <v>0</v>
      </c>
    </row>
    <row r="3800" spans="12:16" ht="15" hidden="1" customHeight="1">
      <c r="L3800" s="58" t="str">
        <f t="shared" si="325"/>
        <v>-</v>
      </c>
      <c r="M3800" s="59">
        <f t="shared" si="332"/>
        <v>0</v>
      </c>
      <c r="N3800" s="59">
        <f t="shared" si="330"/>
        <v>0</v>
      </c>
      <c r="O3800" s="59">
        <f t="shared" si="333"/>
        <v>0</v>
      </c>
      <c r="P3800" s="59">
        <f t="shared" si="331"/>
        <v>0</v>
      </c>
    </row>
    <row r="3801" spans="12:16" ht="15" hidden="1" customHeight="1">
      <c r="L3801" s="58" t="str">
        <f t="shared" si="325"/>
        <v>-</v>
      </c>
      <c r="M3801" s="59">
        <f t="shared" si="332"/>
        <v>0</v>
      </c>
      <c r="N3801" s="59">
        <f t="shared" si="330"/>
        <v>0</v>
      </c>
      <c r="O3801" s="59">
        <f t="shared" si="333"/>
        <v>0</v>
      </c>
      <c r="P3801" s="59">
        <f t="shared" si="331"/>
        <v>0</v>
      </c>
    </row>
    <row r="3802" spans="12:16" ht="15" hidden="1" customHeight="1">
      <c r="L3802" s="58" t="str">
        <f t="shared" si="325"/>
        <v>-</v>
      </c>
      <c r="M3802" s="59">
        <f t="shared" si="332"/>
        <v>0</v>
      </c>
      <c r="N3802" s="59">
        <f t="shared" si="330"/>
        <v>0</v>
      </c>
      <c r="O3802" s="59">
        <f t="shared" si="333"/>
        <v>0</v>
      </c>
      <c r="P3802" s="59">
        <f t="shared" si="331"/>
        <v>0</v>
      </c>
    </row>
    <row r="3803" spans="12:16" ht="15" hidden="1" customHeight="1">
      <c r="L3803" s="58" t="str">
        <f t="shared" si="325"/>
        <v>-</v>
      </c>
      <c r="M3803" s="59">
        <f t="shared" si="332"/>
        <v>0</v>
      </c>
      <c r="N3803" s="59">
        <f t="shared" si="330"/>
        <v>0</v>
      </c>
      <c r="O3803" s="59">
        <f t="shared" si="333"/>
        <v>0</v>
      </c>
      <c r="P3803" s="59">
        <f t="shared" si="331"/>
        <v>0</v>
      </c>
    </row>
    <row r="3804" spans="12:16" ht="15" hidden="1" customHeight="1">
      <c r="L3804" s="58" t="str">
        <f t="shared" si="325"/>
        <v>-</v>
      </c>
      <c r="M3804" s="59">
        <f t="shared" si="332"/>
        <v>0</v>
      </c>
      <c r="N3804" s="59">
        <f t="shared" si="330"/>
        <v>0</v>
      </c>
      <c r="O3804" s="59">
        <f t="shared" si="333"/>
        <v>0</v>
      </c>
      <c r="P3804" s="59">
        <f t="shared" si="331"/>
        <v>0</v>
      </c>
    </row>
    <row r="3805" spans="12:16" ht="15" hidden="1" customHeight="1">
      <c r="L3805" s="58" t="str">
        <f t="shared" si="325"/>
        <v>-</v>
      </c>
      <c r="M3805" s="59">
        <f t="shared" si="332"/>
        <v>0</v>
      </c>
      <c r="N3805" s="59">
        <f t="shared" si="330"/>
        <v>0</v>
      </c>
      <c r="O3805" s="59">
        <f t="shared" si="333"/>
        <v>0</v>
      </c>
      <c r="P3805" s="59">
        <f t="shared" si="331"/>
        <v>0</v>
      </c>
    </row>
    <row r="3806" spans="12:16" ht="15" hidden="1" customHeight="1">
      <c r="L3806" s="58" t="str">
        <f t="shared" si="325"/>
        <v>-</v>
      </c>
      <c r="M3806" s="59">
        <f t="shared" si="332"/>
        <v>0</v>
      </c>
      <c r="N3806" s="59">
        <f t="shared" si="330"/>
        <v>0</v>
      </c>
      <c r="O3806" s="59">
        <f t="shared" si="333"/>
        <v>0</v>
      </c>
      <c r="P3806" s="59">
        <f t="shared" si="331"/>
        <v>0</v>
      </c>
    </row>
    <row r="3807" spans="12:16" ht="15" hidden="1" customHeight="1">
      <c r="L3807" s="58" t="str">
        <f t="shared" si="325"/>
        <v>-</v>
      </c>
      <c r="M3807" s="59">
        <f t="shared" si="332"/>
        <v>0</v>
      </c>
      <c r="N3807" s="59">
        <f t="shared" si="330"/>
        <v>0</v>
      </c>
      <c r="O3807" s="59">
        <f t="shared" si="333"/>
        <v>0</v>
      </c>
      <c r="P3807" s="59">
        <f t="shared" si="331"/>
        <v>0</v>
      </c>
    </row>
    <row r="3808" spans="12:16" ht="15" hidden="1" customHeight="1">
      <c r="L3808" s="58" t="str">
        <f t="shared" si="325"/>
        <v>-</v>
      </c>
      <c r="M3808" s="59">
        <f t="shared" si="332"/>
        <v>0</v>
      </c>
      <c r="N3808" s="59">
        <f t="shared" si="330"/>
        <v>0</v>
      </c>
      <c r="O3808" s="59">
        <f t="shared" si="333"/>
        <v>0</v>
      </c>
      <c r="P3808" s="59">
        <f t="shared" si="331"/>
        <v>0</v>
      </c>
    </row>
    <row r="3809" spans="12:16" ht="15" hidden="1" customHeight="1">
      <c r="L3809" s="58" t="str">
        <f t="shared" si="325"/>
        <v>-</v>
      </c>
      <c r="M3809" s="59">
        <f t="shared" si="332"/>
        <v>0</v>
      </c>
      <c r="N3809" s="59">
        <f t="shared" si="330"/>
        <v>0</v>
      </c>
      <c r="O3809" s="59">
        <f t="shared" si="333"/>
        <v>0</v>
      </c>
      <c r="P3809" s="59">
        <f t="shared" si="331"/>
        <v>0</v>
      </c>
    </row>
    <row r="3810" spans="12:16" ht="15" hidden="1" customHeight="1">
      <c r="L3810" s="58" t="str">
        <f t="shared" si="325"/>
        <v>-</v>
      </c>
      <c r="M3810" s="59">
        <f t="shared" si="332"/>
        <v>0</v>
      </c>
      <c r="N3810" s="59">
        <f t="shared" si="330"/>
        <v>0</v>
      </c>
      <c r="O3810" s="59">
        <f t="shared" si="333"/>
        <v>0</v>
      </c>
      <c r="P3810" s="59">
        <f t="shared" si="331"/>
        <v>0</v>
      </c>
    </row>
    <row r="3811" spans="12:16" ht="15" hidden="1" customHeight="1">
      <c r="L3811" s="58" t="str">
        <f t="shared" si="325"/>
        <v>-</v>
      </c>
      <c r="M3811" s="59">
        <f t="shared" si="332"/>
        <v>0</v>
      </c>
      <c r="N3811" s="59">
        <f t="shared" si="330"/>
        <v>0</v>
      </c>
      <c r="O3811" s="59">
        <f t="shared" si="333"/>
        <v>0</v>
      </c>
      <c r="P3811" s="59">
        <f t="shared" si="331"/>
        <v>0</v>
      </c>
    </row>
    <row r="3812" spans="12:16" ht="15" hidden="1" customHeight="1">
      <c r="L3812" s="58" t="str">
        <f t="shared" si="325"/>
        <v>-</v>
      </c>
      <c r="M3812" s="59">
        <f t="shared" si="332"/>
        <v>0</v>
      </c>
      <c r="N3812" s="59">
        <f t="shared" si="330"/>
        <v>0</v>
      </c>
      <c r="O3812" s="59">
        <f t="shared" si="333"/>
        <v>0</v>
      </c>
      <c r="P3812" s="59">
        <f t="shared" si="331"/>
        <v>0</v>
      </c>
    </row>
    <row r="3813" spans="12:16" ht="15" hidden="1" customHeight="1">
      <c r="L3813" s="58" t="str">
        <f t="shared" si="325"/>
        <v>-</v>
      </c>
      <c r="M3813" s="59">
        <f t="shared" si="332"/>
        <v>0</v>
      </c>
      <c r="N3813" s="59">
        <f t="shared" si="330"/>
        <v>0</v>
      </c>
      <c r="O3813" s="59">
        <f t="shared" si="333"/>
        <v>0</v>
      </c>
      <c r="P3813" s="59">
        <f t="shared" si="331"/>
        <v>0</v>
      </c>
    </row>
    <row r="3814" spans="12:16" ht="15" hidden="1" customHeight="1">
      <c r="L3814" s="58" t="str">
        <f t="shared" si="325"/>
        <v>-</v>
      </c>
      <c r="M3814" s="59">
        <f t="shared" si="332"/>
        <v>0</v>
      </c>
      <c r="N3814" s="59">
        <f t="shared" si="330"/>
        <v>0</v>
      </c>
      <c r="O3814" s="59">
        <f t="shared" si="333"/>
        <v>0</v>
      </c>
      <c r="P3814" s="59">
        <f t="shared" si="331"/>
        <v>0</v>
      </c>
    </row>
    <row r="3815" spans="12:16" ht="15" hidden="1" customHeight="1">
      <c r="L3815" s="58" t="str">
        <f t="shared" si="325"/>
        <v>-</v>
      </c>
      <c r="M3815" s="59">
        <f t="shared" si="332"/>
        <v>0</v>
      </c>
      <c r="N3815" s="59">
        <f t="shared" si="330"/>
        <v>0</v>
      </c>
      <c r="O3815" s="59">
        <f t="shared" si="333"/>
        <v>0</v>
      </c>
      <c r="P3815" s="59">
        <f t="shared" si="331"/>
        <v>0</v>
      </c>
    </row>
    <row r="3816" spans="12:16" ht="15" hidden="1" customHeight="1">
      <c r="L3816" s="58" t="str">
        <f t="shared" si="325"/>
        <v>-</v>
      </c>
      <c r="M3816" s="59">
        <f t="shared" si="332"/>
        <v>0</v>
      </c>
      <c r="N3816" s="59">
        <f t="shared" si="330"/>
        <v>0</v>
      </c>
      <c r="O3816" s="59">
        <f t="shared" si="333"/>
        <v>0</v>
      </c>
      <c r="P3816" s="59">
        <f t="shared" si="331"/>
        <v>0</v>
      </c>
    </row>
    <row r="3817" spans="12:16" ht="15" hidden="1" customHeight="1">
      <c r="L3817" s="58" t="str">
        <f t="shared" si="325"/>
        <v>-</v>
      </c>
      <c r="M3817" s="59">
        <f t="shared" si="332"/>
        <v>0</v>
      </c>
      <c r="N3817" s="59">
        <f t="shared" ref="N3817:N3880" si="334">IF(ISNUMBER(N3816),N3816-M3817,$E$8)</f>
        <v>0</v>
      </c>
      <c r="O3817" s="59">
        <f t="shared" si="333"/>
        <v>0</v>
      </c>
      <c r="P3817" s="59">
        <f t="shared" ref="P3817:P3880" si="335">IFERROR(IF(ISNUMBER(N3816),N3816,$E$8)*3%/IF(MOD(YEAR(L3817),4),365,366)*IF(ISBLANK(L3816),(L3817-$F$5),L3817-L3816),0)</f>
        <v>0</v>
      </c>
    </row>
    <row r="3818" spans="12:16" ht="15" hidden="1" customHeight="1">
      <c r="L3818" s="58" t="str">
        <f t="shared" si="325"/>
        <v>-</v>
      </c>
      <c r="M3818" s="59">
        <f t="shared" si="332"/>
        <v>0</v>
      </c>
      <c r="N3818" s="59">
        <f t="shared" si="334"/>
        <v>0</v>
      </c>
      <c r="O3818" s="59">
        <f t="shared" si="333"/>
        <v>0</v>
      </c>
      <c r="P3818" s="59">
        <f t="shared" si="335"/>
        <v>0</v>
      </c>
    </row>
    <row r="3819" spans="12:16" ht="15" hidden="1" customHeight="1">
      <c r="L3819" s="58" t="str">
        <f t="shared" si="325"/>
        <v>-</v>
      </c>
      <c r="M3819" s="59">
        <f t="shared" si="332"/>
        <v>0</v>
      </c>
      <c r="N3819" s="59">
        <f t="shared" si="334"/>
        <v>0</v>
      </c>
      <c r="O3819" s="59">
        <f t="shared" si="333"/>
        <v>0</v>
      </c>
      <c r="P3819" s="59">
        <f t="shared" si="335"/>
        <v>0</v>
      </c>
    </row>
    <row r="3820" spans="12:16" ht="15" hidden="1" customHeight="1">
      <c r="L3820" s="58" t="str">
        <f t="shared" si="325"/>
        <v>-</v>
      </c>
      <c r="M3820" s="59">
        <f t="shared" si="332"/>
        <v>0</v>
      </c>
      <c r="N3820" s="59">
        <f t="shared" si="334"/>
        <v>0</v>
      </c>
      <c r="O3820" s="59">
        <f t="shared" si="333"/>
        <v>0</v>
      </c>
      <c r="P3820" s="59">
        <f t="shared" si="335"/>
        <v>0</v>
      </c>
    </row>
    <row r="3821" spans="12:16" ht="15" hidden="1" customHeight="1">
      <c r="L3821" s="58" t="str">
        <f t="shared" si="325"/>
        <v>-</v>
      </c>
      <c r="M3821" s="59">
        <f t="shared" si="332"/>
        <v>0</v>
      </c>
      <c r="N3821" s="59">
        <f t="shared" si="334"/>
        <v>0</v>
      </c>
      <c r="O3821" s="59">
        <f t="shared" si="333"/>
        <v>0</v>
      </c>
      <c r="P3821" s="59">
        <f t="shared" si="335"/>
        <v>0</v>
      </c>
    </row>
    <row r="3822" spans="12:16" ht="15" hidden="1" customHeight="1">
      <c r="L3822" s="58" t="str">
        <f t="shared" si="325"/>
        <v>-</v>
      </c>
      <c r="M3822" s="59">
        <f t="shared" si="332"/>
        <v>0</v>
      </c>
      <c r="N3822" s="59">
        <f t="shared" si="334"/>
        <v>0</v>
      </c>
      <c r="O3822" s="59">
        <f t="shared" si="333"/>
        <v>0</v>
      </c>
      <c r="P3822" s="59">
        <f t="shared" si="335"/>
        <v>0</v>
      </c>
    </row>
    <row r="3823" spans="12:16" ht="15" hidden="1" customHeight="1">
      <c r="L3823" s="58" t="str">
        <f t="shared" si="325"/>
        <v>-</v>
      </c>
      <c r="M3823" s="59">
        <f t="shared" si="332"/>
        <v>0</v>
      </c>
      <c r="N3823" s="59">
        <f t="shared" si="334"/>
        <v>0</v>
      </c>
      <c r="O3823" s="59">
        <f t="shared" si="333"/>
        <v>0</v>
      </c>
      <c r="P3823" s="59">
        <f t="shared" si="335"/>
        <v>0</v>
      </c>
    </row>
    <row r="3824" spans="12:16" ht="15" hidden="1" customHeight="1">
      <c r="L3824" s="58" t="str">
        <f t="shared" si="325"/>
        <v>-</v>
      </c>
      <c r="M3824" s="59">
        <f t="shared" si="332"/>
        <v>0</v>
      </c>
      <c r="N3824" s="59">
        <f t="shared" si="334"/>
        <v>0</v>
      </c>
      <c r="O3824" s="59">
        <f t="shared" si="333"/>
        <v>0</v>
      </c>
      <c r="P3824" s="59">
        <f t="shared" si="335"/>
        <v>0</v>
      </c>
    </row>
    <row r="3825" spans="12:16" ht="15" hidden="1" customHeight="1">
      <c r="L3825" s="58" t="str">
        <f t="shared" si="325"/>
        <v>-</v>
      </c>
      <c r="M3825" s="59">
        <f t="shared" si="332"/>
        <v>0</v>
      </c>
      <c r="N3825" s="59">
        <f t="shared" si="334"/>
        <v>0</v>
      </c>
      <c r="O3825" s="59">
        <f t="shared" si="333"/>
        <v>0</v>
      </c>
      <c r="P3825" s="59">
        <f t="shared" si="335"/>
        <v>0</v>
      </c>
    </row>
    <row r="3826" spans="12:16" ht="15" hidden="1" customHeight="1">
      <c r="L3826" s="58" t="str">
        <f t="shared" si="325"/>
        <v>-</v>
      </c>
      <c r="M3826" s="59">
        <f t="shared" si="332"/>
        <v>0</v>
      </c>
      <c r="N3826" s="59">
        <f t="shared" si="334"/>
        <v>0</v>
      </c>
      <c r="O3826" s="59">
        <f t="shared" si="333"/>
        <v>0</v>
      </c>
      <c r="P3826" s="59">
        <f t="shared" si="335"/>
        <v>0</v>
      </c>
    </row>
    <row r="3827" spans="12:16" ht="15" hidden="1" customHeight="1">
      <c r="L3827" s="58" t="str">
        <f t="shared" si="325"/>
        <v>-</v>
      </c>
      <c r="M3827" s="59">
        <f t="shared" si="332"/>
        <v>0</v>
      </c>
      <c r="N3827" s="59">
        <f t="shared" si="334"/>
        <v>0</v>
      </c>
      <c r="O3827" s="59">
        <f t="shared" si="333"/>
        <v>0</v>
      </c>
      <c r="P3827" s="59">
        <f t="shared" si="335"/>
        <v>0</v>
      </c>
    </row>
    <row r="3828" spans="12:16" ht="15" hidden="1" customHeight="1">
      <c r="L3828" s="58" t="str">
        <f t="shared" si="325"/>
        <v>-</v>
      </c>
      <c r="M3828" s="59">
        <f t="shared" si="332"/>
        <v>0</v>
      </c>
      <c r="N3828" s="59">
        <f t="shared" si="334"/>
        <v>0</v>
      </c>
      <c r="O3828" s="59">
        <f t="shared" si="333"/>
        <v>0</v>
      </c>
      <c r="P3828" s="59">
        <f t="shared" si="335"/>
        <v>0</v>
      </c>
    </row>
    <row r="3829" spans="12:16" ht="15" hidden="1" customHeight="1">
      <c r="L3829" s="58" t="str">
        <f t="shared" si="325"/>
        <v>-</v>
      </c>
      <c r="M3829" s="59">
        <f t="shared" si="332"/>
        <v>0</v>
      </c>
      <c r="N3829" s="59">
        <f t="shared" si="334"/>
        <v>0</v>
      </c>
      <c r="O3829" s="59">
        <f t="shared" si="333"/>
        <v>0</v>
      </c>
      <c r="P3829" s="59">
        <f t="shared" si="335"/>
        <v>0</v>
      </c>
    </row>
    <row r="3830" spans="12:16" ht="15" hidden="1" customHeight="1">
      <c r="L3830" s="58" t="str">
        <f t="shared" si="325"/>
        <v>-</v>
      </c>
      <c r="M3830" s="59">
        <f t="shared" si="332"/>
        <v>0</v>
      </c>
      <c r="N3830" s="59">
        <f t="shared" si="334"/>
        <v>0</v>
      </c>
      <c r="O3830" s="59">
        <f t="shared" si="333"/>
        <v>0</v>
      </c>
      <c r="P3830" s="59">
        <f t="shared" si="335"/>
        <v>0</v>
      </c>
    </row>
    <row r="3831" spans="12:16" ht="15" hidden="1" customHeight="1">
      <c r="L3831" s="58" t="str">
        <f t="shared" si="325"/>
        <v>-</v>
      </c>
      <c r="M3831" s="59">
        <f t="shared" si="332"/>
        <v>0</v>
      </c>
      <c r="N3831" s="59">
        <f t="shared" si="334"/>
        <v>0</v>
      </c>
      <c r="O3831" s="59">
        <f t="shared" si="333"/>
        <v>0</v>
      </c>
      <c r="P3831" s="59">
        <f t="shared" si="335"/>
        <v>0</v>
      </c>
    </row>
    <row r="3832" spans="12:16" ht="15" hidden="1" customHeight="1">
      <c r="L3832" s="58" t="str">
        <f t="shared" si="325"/>
        <v>-</v>
      </c>
      <c r="M3832" s="59">
        <f t="shared" si="332"/>
        <v>0</v>
      </c>
      <c r="N3832" s="59">
        <f t="shared" si="334"/>
        <v>0</v>
      </c>
      <c r="O3832" s="59">
        <f t="shared" si="333"/>
        <v>0</v>
      </c>
      <c r="P3832" s="59">
        <f t="shared" si="335"/>
        <v>0</v>
      </c>
    </row>
    <row r="3833" spans="12:16" ht="15" hidden="1" customHeight="1">
      <c r="L3833" s="58" t="str">
        <f t="shared" si="325"/>
        <v>-</v>
      </c>
      <c r="M3833" s="59">
        <f t="shared" si="332"/>
        <v>0</v>
      </c>
      <c r="N3833" s="59">
        <f t="shared" si="334"/>
        <v>0</v>
      </c>
      <c r="O3833" s="59">
        <f t="shared" si="333"/>
        <v>0</v>
      </c>
      <c r="P3833" s="59">
        <f t="shared" si="335"/>
        <v>0</v>
      </c>
    </row>
    <row r="3834" spans="12:16" ht="15" hidden="1" customHeight="1">
      <c r="L3834" s="58" t="str">
        <f t="shared" si="325"/>
        <v>-</v>
      </c>
      <c r="M3834" s="59">
        <f t="shared" si="332"/>
        <v>0</v>
      </c>
      <c r="N3834" s="59">
        <f t="shared" si="334"/>
        <v>0</v>
      </c>
      <c r="O3834" s="59">
        <f t="shared" si="333"/>
        <v>0</v>
      </c>
      <c r="P3834" s="59">
        <f t="shared" si="335"/>
        <v>0</v>
      </c>
    </row>
    <row r="3835" spans="12:16" ht="15" hidden="1" customHeight="1">
      <c r="L3835" s="58" t="str">
        <f t="shared" si="325"/>
        <v>-</v>
      </c>
      <c r="M3835" s="59">
        <f t="shared" si="332"/>
        <v>0</v>
      </c>
      <c r="N3835" s="59">
        <f t="shared" si="334"/>
        <v>0</v>
      </c>
      <c r="O3835" s="59">
        <f t="shared" si="333"/>
        <v>0</v>
      </c>
      <c r="P3835" s="59">
        <f t="shared" si="335"/>
        <v>0</v>
      </c>
    </row>
    <row r="3836" spans="12:16" ht="15" hidden="1" customHeight="1">
      <c r="L3836" s="58" t="str">
        <f t="shared" si="325"/>
        <v>-</v>
      </c>
      <c r="M3836" s="59">
        <f t="shared" si="332"/>
        <v>0</v>
      </c>
      <c r="N3836" s="59">
        <f t="shared" si="334"/>
        <v>0</v>
      </c>
      <c r="O3836" s="59">
        <f t="shared" si="333"/>
        <v>0</v>
      </c>
      <c r="P3836" s="59">
        <f t="shared" si="335"/>
        <v>0</v>
      </c>
    </row>
    <row r="3837" spans="12:16" ht="15" hidden="1" customHeight="1">
      <c r="L3837" s="58" t="str">
        <f t="shared" si="325"/>
        <v>-</v>
      </c>
      <c r="M3837" s="59">
        <f t="shared" si="332"/>
        <v>0</v>
      </c>
      <c r="N3837" s="59">
        <f t="shared" si="334"/>
        <v>0</v>
      </c>
      <c r="O3837" s="59">
        <f t="shared" si="333"/>
        <v>0</v>
      </c>
      <c r="P3837" s="59">
        <f t="shared" si="335"/>
        <v>0</v>
      </c>
    </row>
    <row r="3838" spans="12:16" ht="15" hidden="1" customHeight="1">
      <c r="L3838" s="58" t="str">
        <f t="shared" si="325"/>
        <v>-</v>
      </c>
      <c r="M3838" s="59">
        <f t="shared" si="332"/>
        <v>0</v>
      </c>
      <c r="N3838" s="59">
        <f t="shared" si="334"/>
        <v>0</v>
      </c>
      <c r="O3838" s="59">
        <f t="shared" si="333"/>
        <v>0</v>
      </c>
      <c r="P3838" s="59">
        <f t="shared" si="335"/>
        <v>0</v>
      </c>
    </row>
    <row r="3839" spans="12:16" ht="15" hidden="1" customHeight="1">
      <c r="L3839" s="58" t="str">
        <f t="shared" si="325"/>
        <v>-</v>
      </c>
      <c r="M3839" s="59">
        <f t="shared" si="332"/>
        <v>0</v>
      </c>
      <c r="N3839" s="59">
        <f t="shared" si="334"/>
        <v>0</v>
      </c>
      <c r="O3839" s="59">
        <f t="shared" si="333"/>
        <v>0</v>
      </c>
      <c r="P3839" s="59">
        <f t="shared" si="335"/>
        <v>0</v>
      </c>
    </row>
    <row r="3840" spans="12:16" ht="15" hidden="1" customHeight="1">
      <c r="L3840" s="58" t="str">
        <f t="shared" si="325"/>
        <v>-</v>
      </c>
      <c r="M3840" s="59">
        <f t="shared" si="332"/>
        <v>0</v>
      </c>
      <c r="N3840" s="59">
        <f t="shared" si="334"/>
        <v>0</v>
      </c>
      <c r="O3840" s="59">
        <f t="shared" si="333"/>
        <v>0</v>
      </c>
      <c r="P3840" s="59">
        <f t="shared" si="335"/>
        <v>0</v>
      </c>
    </row>
    <row r="3841" spans="12:16" ht="15" hidden="1" customHeight="1">
      <c r="L3841" s="58" t="str">
        <f t="shared" si="325"/>
        <v>-</v>
      </c>
      <c r="M3841" s="59">
        <f t="shared" si="332"/>
        <v>0</v>
      </c>
      <c r="N3841" s="59">
        <f t="shared" si="334"/>
        <v>0</v>
      </c>
      <c r="O3841" s="59">
        <f t="shared" si="333"/>
        <v>0</v>
      </c>
      <c r="P3841" s="59">
        <f t="shared" si="335"/>
        <v>0</v>
      </c>
    </row>
    <row r="3842" spans="12:16" ht="15" hidden="1" customHeight="1">
      <c r="L3842" s="58" t="str">
        <f t="shared" si="325"/>
        <v>-</v>
      </c>
      <c r="M3842" s="59">
        <f t="shared" si="332"/>
        <v>0</v>
      </c>
      <c r="N3842" s="59">
        <f t="shared" si="334"/>
        <v>0</v>
      </c>
      <c r="O3842" s="59">
        <f t="shared" si="333"/>
        <v>0</v>
      </c>
      <c r="P3842" s="59">
        <f t="shared" si="335"/>
        <v>0</v>
      </c>
    </row>
    <row r="3843" spans="12:16" ht="15" hidden="1" customHeight="1">
      <c r="L3843" s="58" t="str">
        <f t="shared" si="325"/>
        <v>-</v>
      </c>
      <c r="M3843" s="59">
        <f t="shared" si="332"/>
        <v>0</v>
      </c>
      <c r="N3843" s="59">
        <f t="shared" si="334"/>
        <v>0</v>
      </c>
      <c r="O3843" s="59">
        <f t="shared" si="333"/>
        <v>0</v>
      </c>
      <c r="P3843" s="59">
        <f t="shared" si="335"/>
        <v>0</v>
      </c>
    </row>
    <row r="3844" spans="12:16" ht="15" hidden="1" customHeight="1">
      <c r="L3844" s="58" t="str">
        <f t="shared" si="325"/>
        <v>-</v>
      </c>
      <c r="M3844" s="59">
        <f t="shared" si="332"/>
        <v>0</v>
      </c>
      <c r="N3844" s="59">
        <f t="shared" si="334"/>
        <v>0</v>
      </c>
      <c r="O3844" s="59">
        <f t="shared" si="333"/>
        <v>0</v>
      </c>
      <c r="P3844" s="59">
        <f t="shared" si="335"/>
        <v>0</v>
      </c>
    </row>
    <row r="3845" spans="12:16" ht="15" hidden="1" customHeight="1">
      <c r="L3845" s="58" t="str">
        <f t="shared" si="325"/>
        <v>-</v>
      </c>
      <c r="M3845" s="59">
        <f t="shared" si="332"/>
        <v>0</v>
      </c>
      <c r="N3845" s="59">
        <f t="shared" si="334"/>
        <v>0</v>
      </c>
      <c r="O3845" s="59">
        <f t="shared" si="333"/>
        <v>0</v>
      </c>
      <c r="P3845" s="59">
        <f t="shared" si="335"/>
        <v>0</v>
      </c>
    </row>
    <row r="3846" spans="12:16" ht="15" hidden="1" customHeight="1">
      <c r="L3846" s="58" t="str">
        <f t="shared" si="325"/>
        <v>-</v>
      </c>
      <c r="M3846" s="59">
        <f t="shared" si="332"/>
        <v>0</v>
      </c>
      <c r="N3846" s="59">
        <f t="shared" si="334"/>
        <v>0</v>
      </c>
      <c r="O3846" s="59">
        <f t="shared" si="333"/>
        <v>0</v>
      </c>
      <c r="P3846" s="59">
        <f t="shared" si="335"/>
        <v>0</v>
      </c>
    </row>
    <row r="3847" spans="12:16" ht="15" hidden="1" customHeight="1">
      <c r="L3847" s="58" t="str">
        <f t="shared" si="325"/>
        <v>-</v>
      </c>
      <c r="M3847" s="59">
        <f t="shared" si="332"/>
        <v>0</v>
      </c>
      <c r="N3847" s="59">
        <f t="shared" si="334"/>
        <v>0</v>
      </c>
      <c r="O3847" s="59">
        <f t="shared" si="333"/>
        <v>0</v>
      </c>
      <c r="P3847" s="59">
        <f t="shared" si="335"/>
        <v>0</v>
      </c>
    </row>
    <row r="3848" spans="12:16" ht="15" hidden="1" customHeight="1">
      <c r="L3848" s="58" t="str">
        <f t="shared" si="325"/>
        <v>-</v>
      </c>
      <c r="M3848" s="59">
        <f t="shared" si="332"/>
        <v>0</v>
      </c>
      <c r="N3848" s="59">
        <f t="shared" si="334"/>
        <v>0</v>
      </c>
      <c r="O3848" s="59">
        <f t="shared" si="333"/>
        <v>0</v>
      </c>
      <c r="P3848" s="59">
        <f t="shared" si="335"/>
        <v>0</v>
      </c>
    </row>
    <row r="3849" spans="12:16" ht="15" hidden="1" customHeight="1">
      <c r="L3849" s="58" t="str">
        <f t="shared" si="325"/>
        <v>-</v>
      </c>
      <c r="M3849" s="59">
        <f t="shared" si="332"/>
        <v>0</v>
      </c>
      <c r="N3849" s="59">
        <f t="shared" si="334"/>
        <v>0</v>
      </c>
      <c r="O3849" s="59">
        <f t="shared" si="333"/>
        <v>0</v>
      </c>
      <c r="P3849" s="59">
        <f t="shared" si="335"/>
        <v>0</v>
      </c>
    </row>
    <row r="3850" spans="12:16" ht="15" hidden="1" customHeight="1">
      <c r="L3850" s="58" t="str">
        <f t="shared" si="325"/>
        <v>-</v>
      </c>
      <c r="M3850" s="59">
        <f t="shared" si="332"/>
        <v>0</v>
      </c>
      <c r="N3850" s="59">
        <f t="shared" si="334"/>
        <v>0</v>
      </c>
      <c r="O3850" s="59">
        <f t="shared" si="333"/>
        <v>0</v>
      </c>
      <c r="P3850" s="59">
        <f t="shared" si="335"/>
        <v>0</v>
      </c>
    </row>
    <row r="3851" spans="12:16" ht="15" hidden="1" customHeight="1">
      <c r="L3851" s="58" t="str">
        <f t="shared" si="325"/>
        <v>-</v>
      </c>
      <c r="M3851" s="59">
        <f t="shared" si="332"/>
        <v>0</v>
      </c>
      <c r="N3851" s="59">
        <f t="shared" si="334"/>
        <v>0</v>
      </c>
      <c r="O3851" s="59">
        <f t="shared" si="333"/>
        <v>0</v>
      </c>
      <c r="P3851" s="59">
        <f t="shared" si="335"/>
        <v>0</v>
      </c>
    </row>
    <row r="3852" spans="12:16" ht="15" hidden="1" customHeight="1">
      <c r="L3852" s="58" t="str">
        <f t="shared" si="325"/>
        <v>-</v>
      </c>
      <c r="M3852" s="59">
        <f t="shared" si="332"/>
        <v>0</v>
      </c>
      <c r="N3852" s="59">
        <f t="shared" si="334"/>
        <v>0</v>
      </c>
      <c r="O3852" s="59">
        <f t="shared" si="333"/>
        <v>0</v>
      </c>
      <c r="P3852" s="59">
        <f t="shared" si="335"/>
        <v>0</v>
      </c>
    </row>
    <row r="3853" spans="12:16" ht="15" hidden="1" customHeight="1">
      <c r="L3853" s="58" t="str">
        <f t="shared" si="325"/>
        <v>-</v>
      </c>
      <c r="M3853" s="59">
        <f t="shared" si="332"/>
        <v>0</v>
      </c>
      <c r="N3853" s="59">
        <f t="shared" si="334"/>
        <v>0</v>
      </c>
      <c r="O3853" s="59">
        <f t="shared" si="333"/>
        <v>0</v>
      </c>
      <c r="P3853" s="59">
        <f t="shared" si="335"/>
        <v>0</v>
      </c>
    </row>
    <row r="3854" spans="12:16" ht="15" hidden="1" customHeight="1">
      <c r="L3854" s="58" t="str">
        <f t="shared" si="325"/>
        <v>-</v>
      </c>
      <c r="M3854" s="59">
        <f t="shared" si="332"/>
        <v>0</v>
      </c>
      <c r="N3854" s="59">
        <f t="shared" si="334"/>
        <v>0</v>
      </c>
      <c r="O3854" s="59">
        <f t="shared" si="333"/>
        <v>0</v>
      </c>
      <c r="P3854" s="59">
        <f t="shared" si="335"/>
        <v>0</v>
      </c>
    </row>
    <row r="3855" spans="12:16" ht="15" hidden="1" customHeight="1">
      <c r="L3855" s="58" t="str">
        <f t="shared" si="325"/>
        <v>-</v>
      </c>
      <c r="M3855" s="59">
        <f t="shared" si="332"/>
        <v>0</v>
      </c>
      <c r="N3855" s="59">
        <f t="shared" si="334"/>
        <v>0</v>
      </c>
      <c r="O3855" s="59">
        <f t="shared" si="333"/>
        <v>0</v>
      </c>
      <c r="P3855" s="59">
        <f t="shared" si="335"/>
        <v>0</v>
      </c>
    </row>
    <row r="3856" spans="12:16" ht="15" hidden="1" customHeight="1">
      <c r="L3856" s="58" t="str">
        <f t="shared" si="325"/>
        <v>-</v>
      </c>
      <c r="M3856" s="59">
        <f t="shared" si="332"/>
        <v>0</v>
      </c>
      <c r="N3856" s="59">
        <f t="shared" si="334"/>
        <v>0</v>
      </c>
      <c r="O3856" s="59">
        <f t="shared" si="333"/>
        <v>0</v>
      </c>
      <c r="P3856" s="59">
        <f t="shared" si="335"/>
        <v>0</v>
      </c>
    </row>
    <row r="3857" spans="12:16" ht="15" hidden="1" customHeight="1">
      <c r="L3857" s="58" t="str">
        <f t="shared" si="325"/>
        <v>-</v>
      </c>
      <c r="M3857" s="59">
        <f t="shared" si="332"/>
        <v>0</v>
      </c>
      <c r="N3857" s="59">
        <f t="shared" si="334"/>
        <v>0</v>
      </c>
      <c r="O3857" s="59">
        <f t="shared" si="333"/>
        <v>0</v>
      </c>
      <c r="P3857" s="59">
        <f t="shared" si="335"/>
        <v>0</v>
      </c>
    </row>
    <row r="3858" spans="12:16" ht="15" hidden="1" customHeight="1">
      <c r="L3858" s="58" t="str">
        <f t="shared" si="325"/>
        <v>-</v>
      </c>
      <c r="M3858" s="59">
        <f t="shared" si="332"/>
        <v>0</v>
      </c>
      <c r="N3858" s="59">
        <f t="shared" si="334"/>
        <v>0</v>
      </c>
      <c r="O3858" s="59">
        <f t="shared" si="333"/>
        <v>0</v>
      </c>
      <c r="P3858" s="59">
        <f t="shared" si="335"/>
        <v>0</v>
      </c>
    </row>
    <row r="3859" spans="12:16" ht="15" hidden="1" customHeight="1">
      <c r="L3859" s="58" t="str">
        <f t="shared" si="325"/>
        <v>-</v>
      </c>
      <c r="M3859" s="59">
        <f t="shared" ref="M3859:M3922" si="336">IFERROR(VLOOKUP(L3859,$B$19:$E$80,4,FALSE),0)</f>
        <v>0</v>
      </c>
      <c r="N3859" s="59">
        <f t="shared" si="334"/>
        <v>0</v>
      </c>
      <c r="O3859" s="59">
        <f t="shared" ref="O3859:O3922" si="337">IFERROR(IF(ISNUMBER(N3858),N3858,$E$8)*IF(L3859&gt;=$J$8,$E$12,$E$12)/IF(MOD(YEAR(L3859),4),365,366)*IF(ISBLANK(L3858),L3859-$F$5,L3859-L3858),0)</f>
        <v>0</v>
      </c>
      <c r="P3859" s="59">
        <f t="shared" si="335"/>
        <v>0</v>
      </c>
    </row>
    <row r="3860" spans="12:16" ht="15" hidden="1" customHeight="1">
      <c r="L3860" s="58" t="str">
        <f t="shared" si="325"/>
        <v>-</v>
      </c>
      <c r="M3860" s="59">
        <f t="shared" si="336"/>
        <v>0</v>
      </c>
      <c r="N3860" s="59">
        <f t="shared" si="334"/>
        <v>0</v>
      </c>
      <c r="O3860" s="59">
        <f t="shared" si="337"/>
        <v>0</v>
      </c>
      <c r="P3860" s="59">
        <f t="shared" si="335"/>
        <v>0</v>
      </c>
    </row>
    <row r="3861" spans="12:16" ht="15" hidden="1" customHeight="1">
      <c r="L3861" s="58" t="str">
        <f t="shared" si="325"/>
        <v>-</v>
      </c>
      <c r="M3861" s="59">
        <f t="shared" si="336"/>
        <v>0</v>
      </c>
      <c r="N3861" s="59">
        <f t="shared" si="334"/>
        <v>0</v>
      </c>
      <c r="O3861" s="59">
        <f t="shared" si="337"/>
        <v>0</v>
      </c>
      <c r="P3861" s="59">
        <f t="shared" si="335"/>
        <v>0</v>
      </c>
    </row>
    <row r="3862" spans="12:16" ht="15" hidden="1" customHeight="1">
      <c r="L3862" s="58" t="str">
        <f t="shared" si="325"/>
        <v>-</v>
      </c>
      <c r="M3862" s="59">
        <f t="shared" si="336"/>
        <v>0</v>
      </c>
      <c r="N3862" s="59">
        <f t="shared" si="334"/>
        <v>0</v>
      </c>
      <c r="O3862" s="59">
        <f t="shared" si="337"/>
        <v>0</v>
      </c>
      <c r="P3862" s="59">
        <f t="shared" si="335"/>
        <v>0</v>
      </c>
    </row>
    <row r="3863" spans="12:16" ht="15" hidden="1" customHeight="1">
      <c r="L3863" s="58" t="str">
        <f t="shared" si="325"/>
        <v>-</v>
      </c>
      <c r="M3863" s="59">
        <f t="shared" si="336"/>
        <v>0</v>
      </c>
      <c r="N3863" s="59">
        <f t="shared" si="334"/>
        <v>0</v>
      </c>
      <c r="O3863" s="59">
        <f t="shared" si="337"/>
        <v>0</v>
      </c>
      <c r="P3863" s="59">
        <f t="shared" si="335"/>
        <v>0</v>
      </c>
    </row>
    <row r="3864" spans="12:16" ht="15" hidden="1" customHeight="1">
      <c r="L3864" s="58" t="str">
        <f t="shared" si="325"/>
        <v>-</v>
      </c>
      <c r="M3864" s="59">
        <f t="shared" si="336"/>
        <v>0</v>
      </c>
      <c r="N3864" s="59">
        <f t="shared" si="334"/>
        <v>0</v>
      </c>
      <c r="O3864" s="59">
        <f t="shared" si="337"/>
        <v>0</v>
      </c>
      <c r="P3864" s="59">
        <f t="shared" si="335"/>
        <v>0</v>
      </c>
    </row>
    <row r="3865" spans="12:16" ht="15" hidden="1" customHeight="1">
      <c r="L3865" s="58" t="str">
        <f t="shared" si="325"/>
        <v>-</v>
      </c>
      <c r="M3865" s="59">
        <f t="shared" si="336"/>
        <v>0</v>
      </c>
      <c r="N3865" s="59">
        <f t="shared" si="334"/>
        <v>0</v>
      </c>
      <c r="O3865" s="59">
        <f t="shared" si="337"/>
        <v>0</v>
      </c>
      <c r="P3865" s="59">
        <f t="shared" si="335"/>
        <v>0</v>
      </c>
    </row>
    <row r="3866" spans="12:16" ht="15" hidden="1" customHeight="1">
      <c r="L3866" s="58" t="str">
        <f t="shared" si="325"/>
        <v>-</v>
      </c>
      <c r="M3866" s="59">
        <f t="shared" si="336"/>
        <v>0</v>
      </c>
      <c r="N3866" s="59">
        <f t="shared" si="334"/>
        <v>0</v>
      </c>
      <c r="O3866" s="59">
        <f t="shared" si="337"/>
        <v>0</v>
      </c>
      <c r="P3866" s="59">
        <f t="shared" si="335"/>
        <v>0</v>
      </c>
    </row>
    <row r="3867" spans="12:16" ht="15" hidden="1" customHeight="1">
      <c r="L3867" s="58" t="str">
        <f t="shared" si="325"/>
        <v>-</v>
      </c>
      <c r="M3867" s="59">
        <f t="shared" si="336"/>
        <v>0</v>
      </c>
      <c r="N3867" s="59">
        <f t="shared" si="334"/>
        <v>0</v>
      </c>
      <c r="O3867" s="59">
        <f t="shared" si="337"/>
        <v>0</v>
      </c>
      <c r="P3867" s="59">
        <f t="shared" si="335"/>
        <v>0</v>
      </c>
    </row>
    <row r="3868" spans="12:16" ht="15" hidden="1" customHeight="1">
      <c r="L3868" s="58" t="str">
        <f t="shared" si="325"/>
        <v>-</v>
      </c>
      <c r="M3868" s="59">
        <f t="shared" si="336"/>
        <v>0</v>
      </c>
      <c r="N3868" s="59">
        <f t="shared" si="334"/>
        <v>0</v>
      </c>
      <c r="O3868" s="59">
        <f t="shared" si="337"/>
        <v>0</v>
      </c>
      <c r="P3868" s="59">
        <f t="shared" si="335"/>
        <v>0</v>
      </c>
    </row>
    <row r="3869" spans="12:16" ht="15" hidden="1" customHeight="1">
      <c r="L3869" s="58" t="str">
        <f t="shared" si="325"/>
        <v>-</v>
      </c>
      <c r="M3869" s="59">
        <f t="shared" si="336"/>
        <v>0</v>
      </c>
      <c r="N3869" s="59">
        <f t="shared" si="334"/>
        <v>0</v>
      </c>
      <c r="O3869" s="59">
        <f t="shared" si="337"/>
        <v>0</v>
      </c>
      <c r="P3869" s="59">
        <f t="shared" si="335"/>
        <v>0</v>
      </c>
    </row>
    <row r="3870" spans="12:16" ht="15" hidden="1" customHeight="1">
      <c r="L3870" s="58" t="str">
        <f t="shared" si="325"/>
        <v>-</v>
      </c>
      <c r="M3870" s="59">
        <f t="shared" si="336"/>
        <v>0</v>
      </c>
      <c r="N3870" s="59">
        <f t="shared" si="334"/>
        <v>0</v>
      </c>
      <c r="O3870" s="59">
        <f t="shared" si="337"/>
        <v>0</v>
      </c>
      <c r="P3870" s="59">
        <f t="shared" si="335"/>
        <v>0</v>
      </c>
    </row>
    <row r="3871" spans="12:16" ht="15" hidden="1" customHeight="1">
      <c r="L3871" s="58" t="str">
        <f t="shared" si="325"/>
        <v>-</v>
      </c>
      <c r="M3871" s="59">
        <f t="shared" si="336"/>
        <v>0</v>
      </c>
      <c r="N3871" s="59">
        <f t="shared" si="334"/>
        <v>0</v>
      </c>
      <c r="O3871" s="59">
        <f t="shared" si="337"/>
        <v>0</v>
      </c>
      <c r="P3871" s="59">
        <f t="shared" si="335"/>
        <v>0</v>
      </c>
    </row>
    <row r="3872" spans="12:16" ht="15" hidden="1" customHeight="1">
      <c r="L3872" s="58" t="str">
        <f t="shared" si="325"/>
        <v>-</v>
      </c>
      <c r="M3872" s="59">
        <f t="shared" si="336"/>
        <v>0</v>
      </c>
      <c r="N3872" s="59">
        <f t="shared" si="334"/>
        <v>0</v>
      </c>
      <c r="O3872" s="59">
        <f t="shared" si="337"/>
        <v>0</v>
      </c>
      <c r="P3872" s="59">
        <f t="shared" si="335"/>
        <v>0</v>
      </c>
    </row>
    <row r="3873" spans="12:16" ht="15" hidden="1" customHeight="1">
      <c r="L3873" s="58" t="str">
        <f t="shared" si="325"/>
        <v>-</v>
      </c>
      <c r="M3873" s="59">
        <f t="shared" si="336"/>
        <v>0</v>
      </c>
      <c r="N3873" s="59">
        <f t="shared" si="334"/>
        <v>0</v>
      </c>
      <c r="O3873" s="59">
        <f t="shared" si="337"/>
        <v>0</v>
      </c>
      <c r="P3873" s="59">
        <f t="shared" si="335"/>
        <v>0</v>
      </c>
    </row>
    <row r="3874" spans="12:16" ht="15" hidden="1" customHeight="1">
      <c r="L3874" s="58" t="str">
        <f t="shared" si="325"/>
        <v>-</v>
      </c>
      <c r="M3874" s="59">
        <f t="shared" si="336"/>
        <v>0</v>
      </c>
      <c r="N3874" s="59">
        <f t="shared" si="334"/>
        <v>0</v>
      </c>
      <c r="O3874" s="59">
        <f t="shared" si="337"/>
        <v>0</v>
      </c>
      <c r="P3874" s="59">
        <f t="shared" si="335"/>
        <v>0</v>
      </c>
    </row>
    <row r="3875" spans="12:16" ht="15" hidden="1" customHeight="1">
      <c r="L3875" s="58" t="str">
        <f t="shared" si="325"/>
        <v>-</v>
      </c>
      <c r="M3875" s="59">
        <f t="shared" si="336"/>
        <v>0</v>
      </c>
      <c r="N3875" s="59">
        <f t="shared" si="334"/>
        <v>0</v>
      </c>
      <c r="O3875" s="59">
        <f t="shared" si="337"/>
        <v>0</v>
      </c>
      <c r="P3875" s="59">
        <f t="shared" si="335"/>
        <v>0</v>
      </c>
    </row>
    <row r="3876" spans="12:16" ht="15" hidden="1" customHeight="1">
      <c r="L3876" s="58" t="str">
        <f t="shared" si="325"/>
        <v>-</v>
      </c>
      <c r="M3876" s="59">
        <f t="shared" si="336"/>
        <v>0</v>
      </c>
      <c r="N3876" s="59">
        <f t="shared" si="334"/>
        <v>0</v>
      </c>
      <c r="O3876" s="59">
        <f t="shared" si="337"/>
        <v>0</v>
      </c>
      <c r="P3876" s="59">
        <f t="shared" si="335"/>
        <v>0</v>
      </c>
    </row>
    <row r="3877" spans="12:16" ht="15" hidden="1" customHeight="1">
      <c r="L3877" s="58" t="str">
        <f t="shared" si="325"/>
        <v>-</v>
      </c>
      <c r="M3877" s="59">
        <f t="shared" si="336"/>
        <v>0</v>
      </c>
      <c r="N3877" s="59">
        <f t="shared" si="334"/>
        <v>0</v>
      </c>
      <c r="O3877" s="59">
        <f t="shared" si="337"/>
        <v>0</v>
      </c>
      <c r="P3877" s="59">
        <f t="shared" si="335"/>
        <v>0</v>
      </c>
    </row>
    <row r="3878" spans="12:16" ht="15" hidden="1" customHeight="1">
      <c r="L3878" s="58" t="str">
        <f t="shared" si="325"/>
        <v>-</v>
      </c>
      <c r="M3878" s="59">
        <f t="shared" si="336"/>
        <v>0</v>
      </c>
      <c r="N3878" s="59">
        <f t="shared" si="334"/>
        <v>0</v>
      </c>
      <c r="O3878" s="59">
        <f t="shared" si="337"/>
        <v>0</v>
      </c>
      <c r="P3878" s="59">
        <f t="shared" si="335"/>
        <v>0</v>
      </c>
    </row>
    <row r="3879" spans="12:16" ht="15" hidden="1" customHeight="1">
      <c r="L3879" s="58" t="str">
        <f t="shared" si="325"/>
        <v>-</v>
      </c>
      <c r="M3879" s="59">
        <f t="shared" si="336"/>
        <v>0</v>
      </c>
      <c r="N3879" s="59">
        <f t="shared" si="334"/>
        <v>0</v>
      </c>
      <c r="O3879" s="59">
        <f t="shared" si="337"/>
        <v>0</v>
      </c>
      <c r="P3879" s="59">
        <f t="shared" si="335"/>
        <v>0</v>
      </c>
    </row>
    <row r="3880" spans="12:16" ht="15" hidden="1" customHeight="1">
      <c r="L3880" s="58" t="str">
        <f t="shared" si="325"/>
        <v>-</v>
      </c>
      <c r="M3880" s="59">
        <f t="shared" si="336"/>
        <v>0</v>
      </c>
      <c r="N3880" s="59">
        <f t="shared" si="334"/>
        <v>0</v>
      </c>
      <c r="O3880" s="59">
        <f t="shared" si="337"/>
        <v>0</v>
      </c>
      <c r="P3880" s="59">
        <f t="shared" si="335"/>
        <v>0</v>
      </c>
    </row>
    <row r="3881" spans="12:16" ht="15" hidden="1" customHeight="1">
      <c r="L3881" s="58" t="str">
        <f t="shared" si="325"/>
        <v>-</v>
      </c>
      <c r="M3881" s="59">
        <f t="shared" si="336"/>
        <v>0</v>
      </c>
      <c r="N3881" s="59">
        <f t="shared" ref="N3881:N3944" si="338">IF(ISNUMBER(N3880),N3880-M3881,$E$8)</f>
        <v>0</v>
      </c>
      <c r="O3881" s="59">
        <f t="shared" si="337"/>
        <v>0</v>
      </c>
      <c r="P3881" s="59">
        <f t="shared" ref="P3881:P3944" si="339">IFERROR(IF(ISNUMBER(N3880),N3880,$E$8)*3%/IF(MOD(YEAR(L3881),4),365,366)*IF(ISBLANK(L3880),(L3881-$F$5),L3881-L3880),0)</f>
        <v>0</v>
      </c>
    </row>
    <row r="3882" spans="12:16" ht="15" hidden="1" customHeight="1">
      <c r="L3882" s="58" t="str">
        <f t="shared" si="325"/>
        <v>-</v>
      </c>
      <c r="M3882" s="59">
        <f t="shared" si="336"/>
        <v>0</v>
      </c>
      <c r="N3882" s="59">
        <f t="shared" si="338"/>
        <v>0</v>
      </c>
      <c r="O3882" s="59">
        <f t="shared" si="337"/>
        <v>0</v>
      </c>
      <c r="P3882" s="59">
        <f t="shared" si="339"/>
        <v>0</v>
      </c>
    </row>
    <row r="3883" spans="12:16" ht="15" hidden="1" customHeight="1">
      <c r="L3883" s="58" t="str">
        <f t="shared" si="325"/>
        <v>-</v>
      </c>
      <c r="M3883" s="59">
        <f t="shared" si="336"/>
        <v>0</v>
      </c>
      <c r="N3883" s="59">
        <f t="shared" si="338"/>
        <v>0</v>
      </c>
      <c r="O3883" s="59">
        <f t="shared" si="337"/>
        <v>0</v>
      </c>
      <c r="P3883" s="59">
        <f t="shared" si="339"/>
        <v>0</v>
      </c>
    </row>
    <row r="3884" spans="12:16" ht="15" hidden="1" customHeight="1">
      <c r="L3884" s="58" t="str">
        <f t="shared" si="325"/>
        <v>-</v>
      </c>
      <c r="M3884" s="59">
        <f t="shared" si="336"/>
        <v>0</v>
      </c>
      <c r="N3884" s="59">
        <f t="shared" si="338"/>
        <v>0</v>
      </c>
      <c r="O3884" s="59">
        <f t="shared" si="337"/>
        <v>0</v>
      </c>
      <c r="P3884" s="59">
        <f t="shared" si="339"/>
        <v>0</v>
      </c>
    </row>
    <row r="3885" spans="12:16" ht="15" hidden="1" customHeight="1">
      <c r="L3885" s="58" t="str">
        <f t="shared" si="325"/>
        <v>-</v>
      </c>
      <c r="M3885" s="59">
        <f t="shared" si="336"/>
        <v>0</v>
      </c>
      <c r="N3885" s="59">
        <f t="shared" si="338"/>
        <v>0</v>
      </c>
      <c r="O3885" s="59">
        <f t="shared" si="337"/>
        <v>0</v>
      </c>
      <c r="P3885" s="59">
        <f t="shared" si="339"/>
        <v>0</v>
      </c>
    </row>
    <row r="3886" spans="12:16" ht="15" hidden="1" customHeight="1">
      <c r="L3886" s="58" t="str">
        <f t="shared" si="325"/>
        <v>-</v>
      </c>
      <c r="M3886" s="59">
        <f t="shared" si="336"/>
        <v>0</v>
      </c>
      <c r="N3886" s="59">
        <f t="shared" si="338"/>
        <v>0</v>
      </c>
      <c r="O3886" s="59">
        <f t="shared" si="337"/>
        <v>0</v>
      </c>
      <c r="P3886" s="59">
        <f t="shared" si="339"/>
        <v>0</v>
      </c>
    </row>
    <row r="3887" spans="12:16" ht="15" hidden="1" customHeight="1">
      <c r="L3887" s="58" t="str">
        <f t="shared" si="325"/>
        <v>-</v>
      </c>
      <c r="M3887" s="59">
        <f t="shared" si="336"/>
        <v>0</v>
      </c>
      <c r="N3887" s="59">
        <f t="shared" si="338"/>
        <v>0</v>
      </c>
      <c r="O3887" s="59">
        <f t="shared" si="337"/>
        <v>0</v>
      </c>
      <c r="P3887" s="59">
        <f t="shared" si="339"/>
        <v>0</v>
      </c>
    </row>
    <row r="3888" spans="12:16" ht="15" hidden="1" customHeight="1">
      <c r="L3888" s="58" t="str">
        <f t="shared" si="325"/>
        <v>-</v>
      </c>
      <c r="M3888" s="59">
        <f t="shared" si="336"/>
        <v>0</v>
      </c>
      <c r="N3888" s="59">
        <f t="shared" si="338"/>
        <v>0</v>
      </c>
      <c r="O3888" s="59">
        <f t="shared" si="337"/>
        <v>0</v>
      </c>
      <c r="P3888" s="59">
        <f t="shared" si="339"/>
        <v>0</v>
      </c>
    </row>
    <row r="3889" spans="12:16" ht="15" hidden="1" customHeight="1">
      <c r="L3889" s="58" t="str">
        <f t="shared" si="325"/>
        <v>-</v>
      </c>
      <c r="M3889" s="59">
        <f t="shared" si="336"/>
        <v>0</v>
      </c>
      <c r="N3889" s="59">
        <f t="shared" si="338"/>
        <v>0</v>
      </c>
      <c r="O3889" s="59">
        <f t="shared" si="337"/>
        <v>0</v>
      </c>
      <c r="P3889" s="59">
        <f t="shared" si="339"/>
        <v>0</v>
      </c>
    </row>
    <row r="3890" spans="12:16" ht="15" hidden="1" customHeight="1">
      <c r="L3890" s="58" t="str">
        <f t="shared" si="325"/>
        <v>-</v>
      </c>
      <c r="M3890" s="59">
        <f t="shared" si="336"/>
        <v>0</v>
      </c>
      <c r="N3890" s="59">
        <f t="shared" si="338"/>
        <v>0</v>
      </c>
      <c r="O3890" s="59">
        <f t="shared" si="337"/>
        <v>0</v>
      </c>
      <c r="P3890" s="59">
        <f t="shared" si="339"/>
        <v>0</v>
      </c>
    </row>
    <row r="3891" spans="12:16" ht="15" hidden="1" customHeight="1">
      <c r="L3891" s="58" t="str">
        <f t="shared" si="325"/>
        <v>-</v>
      </c>
      <c r="M3891" s="59">
        <f t="shared" si="336"/>
        <v>0</v>
      </c>
      <c r="N3891" s="59">
        <f t="shared" si="338"/>
        <v>0</v>
      </c>
      <c r="O3891" s="59">
        <f t="shared" si="337"/>
        <v>0</v>
      </c>
      <c r="P3891" s="59">
        <f t="shared" si="339"/>
        <v>0</v>
      </c>
    </row>
    <row r="3892" spans="12:16" ht="15" hidden="1" customHeight="1">
      <c r="L3892" s="58" t="str">
        <f t="shared" si="325"/>
        <v>-</v>
      </c>
      <c r="M3892" s="59">
        <f t="shared" si="336"/>
        <v>0</v>
      </c>
      <c r="N3892" s="59">
        <f t="shared" si="338"/>
        <v>0</v>
      </c>
      <c r="O3892" s="59">
        <f t="shared" si="337"/>
        <v>0</v>
      </c>
      <c r="P3892" s="59">
        <f t="shared" si="339"/>
        <v>0</v>
      </c>
    </row>
    <row r="3893" spans="12:16" ht="15" hidden="1" customHeight="1">
      <c r="L3893" s="58" t="str">
        <f t="shared" si="325"/>
        <v>-</v>
      </c>
      <c r="M3893" s="59">
        <f t="shared" si="336"/>
        <v>0</v>
      </c>
      <c r="N3893" s="59">
        <f t="shared" si="338"/>
        <v>0</v>
      </c>
      <c r="O3893" s="59">
        <f t="shared" si="337"/>
        <v>0</v>
      </c>
      <c r="P3893" s="59">
        <f t="shared" si="339"/>
        <v>0</v>
      </c>
    </row>
    <row r="3894" spans="12:16" ht="15" hidden="1" customHeight="1">
      <c r="L3894" s="58" t="str">
        <f t="shared" si="325"/>
        <v>-</v>
      </c>
      <c r="M3894" s="59">
        <f t="shared" si="336"/>
        <v>0</v>
      </c>
      <c r="N3894" s="59">
        <f t="shared" si="338"/>
        <v>0</v>
      </c>
      <c r="O3894" s="59">
        <f t="shared" si="337"/>
        <v>0</v>
      </c>
      <c r="P3894" s="59">
        <f t="shared" si="339"/>
        <v>0</v>
      </c>
    </row>
    <row r="3895" spans="12:16" ht="15" hidden="1" customHeight="1">
      <c r="L3895" s="58" t="str">
        <f t="shared" si="325"/>
        <v>-</v>
      </c>
      <c r="M3895" s="59">
        <f t="shared" si="336"/>
        <v>0</v>
      </c>
      <c r="N3895" s="59">
        <f t="shared" si="338"/>
        <v>0</v>
      </c>
      <c r="O3895" s="59">
        <f t="shared" si="337"/>
        <v>0</v>
      </c>
      <c r="P3895" s="59">
        <f t="shared" si="339"/>
        <v>0</v>
      </c>
    </row>
    <row r="3896" spans="12:16" ht="15" hidden="1" customHeight="1">
      <c r="L3896" s="58" t="str">
        <f t="shared" si="325"/>
        <v>-</v>
      </c>
      <c r="M3896" s="59">
        <f t="shared" si="336"/>
        <v>0</v>
      </c>
      <c r="N3896" s="59">
        <f t="shared" si="338"/>
        <v>0</v>
      </c>
      <c r="O3896" s="59">
        <f t="shared" si="337"/>
        <v>0</v>
      </c>
      <c r="P3896" s="59">
        <f t="shared" si="339"/>
        <v>0</v>
      </c>
    </row>
    <row r="3897" spans="12:16" ht="15" hidden="1" customHeight="1">
      <c r="L3897" s="58" t="str">
        <f t="shared" si="325"/>
        <v>-</v>
      </c>
      <c r="M3897" s="59">
        <f t="shared" si="336"/>
        <v>0</v>
      </c>
      <c r="N3897" s="59">
        <f t="shared" si="338"/>
        <v>0</v>
      </c>
      <c r="O3897" s="59">
        <f t="shared" si="337"/>
        <v>0</v>
      </c>
      <c r="P3897" s="59">
        <f t="shared" si="339"/>
        <v>0</v>
      </c>
    </row>
    <row r="3898" spans="12:16" ht="15" hidden="1" customHeight="1">
      <c r="L3898" s="58" t="str">
        <f t="shared" si="325"/>
        <v>-</v>
      </c>
      <c r="M3898" s="59">
        <f t="shared" si="336"/>
        <v>0</v>
      </c>
      <c r="N3898" s="59">
        <f t="shared" si="338"/>
        <v>0</v>
      </c>
      <c r="O3898" s="59">
        <f t="shared" si="337"/>
        <v>0</v>
      </c>
      <c r="P3898" s="59">
        <f t="shared" si="339"/>
        <v>0</v>
      </c>
    </row>
    <row r="3899" spans="12:16" ht="15" hidden="1" customHeight="1">
      <c r="L3899" s="58" t="str">
        <f t="shared" si="325"/>
        <v>-</v>
      </c>
      <c r="M3899" s="59">
        <f t="shared" si="336"/>
        <v>0</v>
      </c>
      <c r="N3899" s="59">
        <f t="shared" si="338"/>
        <v>0</v>
      </c>
      <c r="O3899" s="59">
        <f t="shared" si="337"/>
        <v>0</v>
      </c>
      <c r="P3899" s="59">
        <f t="shared" si="339"/>
        <v>0</v>
      </c>
    </row>
    <row r="3900" spans="12:16" ht="15" hidden="1" customHeight="1">
      <c r="L3900" s="58" t="str">
        <f t="shared" si="325"/>
        <v>-</v>
      </c>
      <c r="M3900" s="59">
        <f t="shared" si="336"/>
        <v>0</v>
      </c>
      <c r="N3900" s="59">
        <f t="shared" si="338"/>
        <v>0</v>
      </c>
      <c r="O3900" s="59">
        <f t="shared" si="337"/>
        <v>0</v>
      </c>
      <c r="P3900" s="59">
        <f t="shared" si="339"/>
        <v>0</v>
      </c>
    </row>
    <row r="3901" spans="12:16" ht="15" hidden="1" customHeight="1">
      <c r="L3901" s="58" t="str">
        <f t="shared" si="325"/>
        <v>-</v>
      </c>
      <c r="M3901" s="59">
        <f t="shared" si="336"/>
        <v>0</v>
      </c>
      <c r="N3901" s="59">
        <f t="shared" si="338"/>
        <v>0</v>
      </c>
      <c r="O3901" s="59">
        <f t="shared" si="337"/>
        <v>0</v>
      </c>
      <c r="P3901" s="59">
        <f t="shared" si="339"/>
        <v>0</v>
      </c>
    </row>
    <row r="3902" spans="12:16" ht="15" hidden="1" customHeight="1">
      <c r="L3902" s="58" t="str">
        <f t="shared" si="325"/>
        <v>-</v>
      </c>
      <c r="M3902" s="59">
        <f t="shared" si="336"/>
        <v>0</v>
      </c>
      <c r="N3902" s="59">
        <f t="shared" si="338"/>
        <v>0</v>
      </c>
      <c r="O3902" s="59">
        <f t="shared" si="337"/>
        <v>0</v>
      </c>
      <c r="P3902" s="59">
        <f t="shared" si="339"/>
        <v>0</v>
      </c>
    </row>
    <row r="3903" spans="12:16" ht="15" hidden="1" customHeight="1">
      <c r="L3903" s="58" t="str">
        <f t="shared" si="325"/>
        <v>-</v>
      </c>
      <c r="M3903" s="59">
        <f t="shared" si="336"/>
        <v>0</v>
      </c>
      <c r="N3903" s="59">
        <f t="shared" si="338"/>
        <v>0</v>
      </c>
      <c r="O3903" s="59">
        <f t="shared" si="337"/>
        <v>0</v>
      </c>
      <c r="P3903" s="59">
        <f t="shared" si="339"/>
        <v>0</v>
      </c>
    </row>
    <row r="3904" spans="12:16" ht="15" hidden="1" customHeight="1">
      <c r="L3904" s="58" t="str">
        <f t="shared" si="325"/>
        <v>-</v>
      </c>
      <c r="M3904" s="59">
        <f t="shared" si="336"/>
        <v>0</v>
      </c>
      <c r="N3904" s="59">
        <f t="shared" si="338"/>
        <v>0</v>
      </c>
      <c r="O3904" s="59">
        <f t="shared" si="337"/>
        <v>0</v>
      </c>
      <c r="P3904" s="59">
        <f t="shared" si="339"/>
        <v>0</v>
      </c>
    </row>
    <row r="3905" spans="12:16" ht="15" hidden="1" customHeight="1">
      <c r="L3905" s="58" t="str">
        <f t="shared" si="325"/>
        <v>-</v>
      </c>
      <c r="M3905" s="59">
        <f t="shared" si="336"/>
        <v>0</v>
      </c>
      <c r="N3905" s="59">
        <f t="shared" si="338"/>
        <v>0</v>
      </c>
      <c r="O3905" s="59">
        <f t="shared" si="337"/>
        <v>0</v>
      </c>
      <c r="P3905" s="59">
        <f t="shared" si="339"/>
        <v>0</v>
      </c>
    </row>
    <row r="3906" spans="12:16" ht="15" hidden="1" customHeight="1">
      <c r="L3906" s="58" t="str">
        <f t="shared" si="325"/>
        <v>-</v>
      </c>
      <c r="M3906" s="59">
        <f t="shared" si="336"/>
        <v>0</v>
      </c>
      <c r="N3906" s="59">
        <f t="shared" si="338"/>
        <v>0</v>
      </c>
      <c r="O3906" s="59">
        <f t="shared" si="337"/>
        <v>0</v>
      </c>
      <c r="P3906" s="59">
        <f t="shared" si="339"/>
        <v>0</v>
      </c>
    </row>
    <row r="3907" spans="12:16" ht="15" hidden="1" customHeight="1">
      <c r="L3907" s="58" t="str">
        <f t="shared" si="325"/>
        <v>-</v>
      </c>
      <c r="M3907" s="59">
        <f t="shared" si="336"/>
        <v>0</v>
      </c>
      <c r="N3907" s="59">
        <f t="shared" si="338"/>
        <v>0</v>
      </c>
      <c r="O3907" s="59">
        <f t="shared" si="337"/>
        <v>0</v>
      </c>
      <c r="P3907" s="59">
        <f t="shared" si="339"/>
        <v>0</v>
      </c>
    </row>
    <row r="3908" spans="12:16" ht="15" hidden="1" customHeight="1">
      <c r="L3908" s="58" t="str">
        <f t="shared" si="325"/>
        <v>-</v>
      </c>
      <c r="M3908" s="59">
        <f t="shared" si="336"/>
        <v>0</v>
      </c>
      <c r="N3908" s="59">
        <f t="shared" si="338"/>
        <v>0</v>
      </c>
      <c r="O3908" s="59">
        <f t="shared" si="337"/>
        <v>0</v>
      </c>
      <c r="P3908" s="59">
        <f t="shared" si="339"/>
        <v>0</v>
      </c>
    </row>
    <row r="3909" spans="12:16" ht="15" hidden="1" customHeight="1">
      <c r="L3909" s="58" t="str">
        <f t="shared" si="325"/>
        <v>-</v>
      </c>
      <c r="M3909" s="59">
        <f t="shared" si="336"/>
        <v>0</v>
      </c>
      <c r="N3909" s="59">
        <f t="shared" si="338"/>
        <v>0</v>
      </c>
      <c r="O3909" s="59">
        <f t="shared" si="337"/>
        <v>0</v>
      </c>
      <c r="P3909" s="59">
        <f t="shared" si="339"/>
        <v>0</v>
      </c>
    </row>
    <row r="3910" spans="12:16" ht="15" hidden="1" customHeight="1">
      <c r="L3910" s="58" t="str">
        <f t="shared" si="325"/>
        <v>-</v>
      </c>
      <c r="M3910" s="59">
        <f t="shared" si="336"/>
        <v>0</v>
      </c>
      <c r="N3910" s="59">
        <f t="shared" si="338"/>
        <v>0</v>
      </c>
      <c r="O3910" s="59">
        <f t="shared" si="337"/>
        <v>0</v>
      </c>
      <c r="P3910" s="59">
        <f t="shared" si="339"/>
        <v>0</v>
      </c>
    </row>
    <row r="3911" spans="12:16" ht="15" hidden="1" customHeight="1">
      <c r="L3911" s="58" t="str">
        <f t="shared" si="325"/>
        <v>-</v>
      </c>
      <c r="M3911" s="59">
        <f t="shared" si="336"/>
        <v>0</v>
      </c>
      <c r="N3911" s="59">
        <f t="shared" si="338"/>
        <v>0</v>
      </c>
      <c r="O3911" s="59">
        <f t="shared" si="337"/>
        <v>0</v>
      </c>
      <c r="P3911" s="59">
        <f t="shared" si="339"/>
        <v>0</v>
      </c>
    </row>
    <row r="3912" spans="12:16" ht="15" hidden="1" customHeight="1">
      <c r="L3912" s="58" t="str">
        <f t="shared" si="325"/>
        <v>-</v>
      </c>
      <c r="M3912" s="59">
        <f t="shared" si="336"/>
        <v>0</v>
      </c>
      <c r="N3912" s="59">
        <f t="shared" si="338"/>
        <v>0</v>
      </c>
      <c r="O3912" s="59">
        <f t="shared" si="337"/>
        <v>0</v>
      </c>
      <c r="P3912" s="59">
        <f t="shared" si="339"/>
        <v>0</v>
      </c>
    </row>
    <row r="3913" spans="12:16" ht="15" hidden="1" customHeight="1">
      <c r="L3913" s="58" t="str">
        <f t="shared" si="325"/>
        <v>-</v>
      </c>
      <c r="M3913" s="59">
        <f t="shared" si="336"/>
        <v>0</v>
      </c>
      <c r="N3913" s="59">
        <f t="shared" si="338"/>
        <v>0</v>
      </c>
      <c r="O3913" s="59">
        <f t="shared" si="337"/>
        <v>0</v>
      </c>
      <c r="P3913" s="59">
        <f t="shared" si="339"/>
        <v>0</v>
      </c>
    </row>
    <row r="3914" spans="12:16" ht="15" hidden="1" customHeight="1">
      <c r="L3914" s="58" t="str">
        <f t="shared" si="325"/>
        <v>-</v>
      </c>
      <c r="M3914" s="59">
        <f t="shared" si="336"/>
        <v>0</v>
      </c>
      <c r="N3914" s="59">
        <f t="shared" si="338"/>
        <v>0</v>
      </c>
      <c r="O3914" s="59">
        <f t="shared" si="337"/>
        <v>0</v>
      </c>
      <c r="P3914" s="59">
        <f t="shared" si="339"/>
        <v>0</v>
      </c>
    </row>
    <row r="3915" spans="12:16" ht="15" hidden="1" customHeight="1">
      <c r="L3915" s="58" t="str">
        <f t="shared" si="325"/>
        <v>-</v>
      </c>
      <c r="M3915" s="59">
        <f t="shared" si="336"/>
        <v>0</v>
      </c>
      <c r="N3915" s="59">
        <f t="shared" si="338"/>
        <v>0</v>
      </c>
      <c r="O3915" s="59">
        <f t="shared" si="337"/>
        <v>0</v>
      </c>
      <c r="P3915" s="59">
        <f t="shared" si="339"/>
        <v>0</v>
      </c>
    </row>
    <row r="3916" spans="12:16" ht="15" hidden="1" customHeight="1">
      <c r="L3916" s="58" t="str">
        <f t="shared" si="325"/>
        <v>-</v>
      </c>
      <c r="M3916" s="59">
        <f t="shared" si="336"/>
        <v>0</v>
      </c>
      <c r="N3916" s="59">
        <f t="shared" si="338"/>
        <v>0</v>
      </c>
      <c r="O3916" s="59">
        <f t="shared" si="337"/>
        <v>0</v>
      </c>
      <c r="P3916" s="59">
        <f t="shared" si="339"/>
        <v>0</v>
      </c>
    </row>
    <row r="3917" spans="12:16" ht="15" hidden="1" customHeight="1">
      <c r="L3917" s="58" t="str">
        <f t="shared" si="325"/>
        <v>-</v>
      </c>
      <c r="M3917" s="59">
        <f t="shared" si="336"/>
        <v>0</v>
      </c>
      <c r="N3917" s="59">
        <f t="shared" si="338"/>
        <v>0</v>
      </c>
      <c r="O3917" s="59">
        <f t="shared" si="337"/>
        <v>0</v>
      </c>
      <c r="P3917" s="59">
        <f t="shared" si="339"/>
        <v>0</v>
      </c>
    </row>
    <row r="3918" spans="12:16" ht="15" hidden="1" customHeight="1">
      <c r="L3918" s="58" t="str">
        <f t="shared" si="325"/>
        <v>-</v>
      </c>
      <c r="M3918" s="59">
        <f t="shared" si="336"/>
        <v>0</v>
      </c>
      <c r="N3918" s="59">
        <f t="shared" si="338"/>
        <v>0</v>
      </c>
      <c r="O3918" s="59">
        <f t="shared" si="337"/>
        <v>0</v>
      </c>
      <c r="P3918" s="59">
        <f t="shared" si="339"/>
        <v>0</v>
      </c>
    </row>
    <row r="3919" spans="12:16" ht="15" hidden="1" customHeight="1">
      <c r="L3919" s="58" t="str">
        <f t="shared" si="325"/>
        <v>-</v>
      </c>
      <c r="M3919" s="59">
        <f t="shared" si="336"/>
        <v>0</v>
      </c>
      <c r="N3919" s="59">
        <f t="shared" si="338"/>
        <v>0</v>
      </c>
      <c r="O3919" s="59">
        <f t="shared" si="337"/>
        <v>0</v>
      </c>
      <c r="P3919" s="59">
        <f t="shared" si="339"/>
        <v>0</v>
      </c>
    </row>
    <row r="3920" spans="12:16" ht="15" hidden="1" customHeight="1">
      <c r="L3920" s="58" t="str">
        <f t="shared" si="325"/>
        <v>-</v>
      </c>
      <c r="M3920" s="59">
        <f t="shared" si="336"/>
        <v>0</v>
      </c>
      <c r="N3920" s="59">
        <f t="shared" si="338"/>
        <v>0</v>
      </c>
      <c r="O3920" s="59">
        <f t="shared" si="337"/>
        <v>0</v>
      </c>
      <c r="P3920" s="59">
        <f t="shared" si="339"/>
        <v>0</v>
      </c>
    </row>
    <row r="3921" spans="12:16" ht="15" hidden="1" customHeight="1">
      <c r="L3921" s="58" t="str">
        <f t="shared" si="325"/>
        <v>-</v>
      </c>
      <c r="M3921" s="59">
        <f t="shared" si="336"/>
        <v>0</v>
      </c>
      <c r="N3921" s="59">
        <f t="shared" si="338"/>
        <v>0</v>
      </c>
      <c r="O3921" s="59">
        <f t="shared" si="337"/>
        <v>0</v>
      </c>
      <c r="P3921" s="59">
        <f t="shared" si="339"/>
        <v>0</v>
      </c>
    </row>
    <row r="3922" spans="12:16" ht="15" hidden="1" customHeight="1">
      <c r="L3922" s="58" t="str">
        <f t="shared" si="325"/>
        <v>-</v>
      </c>
      <c r="M3922" s="59">
        <f t="shared" si="336"/>
        <v>0</v>
      </c>
      <c r="N3922" s="59">
        <f t="shared" si="338"/>
        <v>0</v>
      </c>
      <c r="O3922" s="59">
        <f t="shared" si="337"/>
        <v>0</v>
      </c>
      <c r="P3922" s="59">
        <f t="shared" si="339"/>
        <v>0</v>
      </c>
    </row>
    <row r="3923" spans="12:16" ht="15" hidden="1" customHeight="1">
      <c r="L3923" s="58" t="str">
        <f t="shared" si="325"/>
        <v>-</v>
      </c>
      <c r="M3923" s="59">
        <f t="shared" ref="M3923:M3986" si="340">IFERROR(VLOOKUP(L3923,$B$19:$E$80,4,FALSE),0)</f>
        <v>0</v>
      </c>
      <c r="N3923" s="59">
        <f t="shared" si="338"/>
        <v>0</v>
      </c>
      <c r="O3923" s="59">
        <f t="shared" ref="O3923:O3986" si="341">IFERROR(IF(ISNUMBER(N3922),N3922,$E$8)*IF(L3923&gt;=$J$8,$E$12,$E$12)/IF(MOD(YEAR(L3923),4),365,366)*IF(ISBLANK(L3922),L3923-$F$5,L3923-L3922),0)</f>
        <v>0</v>
      </c>
      <c r="P3923" s="59">
        <f t="shared" si="339"/>
        <v>0</v>
      </c>
    </row>
    <row r="3924" spans="12:16" ht="15" hidden="1" customHeight="1">
      <c r="L3924" s="58" t="str">
        <f t="shared" si="325"/>
        <v>-</v>
      </c>
      <c r="M3924" s="59">
        <f t="shared" si="340"/>
        <v>0</v>
      </c>
      <c r="N3924" s="59">
        <f t="shared" si="338"/>
        <v>0</v>
      </c>
      <c r="O3924" s="59">
        <f t="shared" si="341"/>
        <v>0</v>
      </c>
      <c r="P3924" s="59">
        <f t="shared" si="339"/>
        <v>0</v>
      </c>
    </row>
    <row r="3925" spans="12:16" ht="15" hidden="1" customHeight="1">
      <c r="L3925" s="58" t="str">
        <f t="shared" si="325"/>
        <v>-</v>
      </c>
      <c r="M3925" s="59">
        <f t="shared" si="340"/>
        <v>0</v>
      </c>
      <c r="N3925" s="59">
        <f t="shared" si="338"/>
        <v>0</v>
      </c>
      <c r="O3925" s="59">
        <f t="shared" si="341"/>
        <v>0</v>
      </c>
      <c r="P3925" s="59">
        <f t="shared" si="339"/>
        <v>0</v>
      </c>
    </row>
    <row r="3926" spans="12:16" ht="15" hidden="1" customHeight="1">
      <c r="L3926" s="58" t="str">
        <f t="shared" si="325"/>
        <v>-</v>
      </c>
      <c r="M3926" s="59">
        <f t="shared" si="340"/>
        <v>0</v>
      </c>
      <c r="N3926" s="59">
        <f t="shared" si="338"/>
        <v>0</v>
      </c>
      <c r="O3926" s="59">
        <f t="shared" si="341"/>
        <v>0</v>
      </c>
      <c r="P3926" s="59">
        <f t="shared" si="339"/>
        <v>0</v>
      </c>
    </row>
    <row r="3927" spans="12:16" ht="15" hidden="1" customHeight="1">
      <c r="L3927" s="58" t="str">
        <f t="shared" si="325"/>
        <v>-</v>
      </c>
      <c r="M3927" s="59">
        <f t="shared" si="340"/>
        <v>0</v>
      </c>
      <c r="N3927" s="59">
        <f t="shared" si="338"/>
        <v>0</v>
      </c>
      <c r="O3927" s="59">
        <f t="shared" si="341"/>
        <v>0</v>
      </c>
      <c r="P3927" s="59">
        <f t="shared" si="339"/>
        <v>0</v>
      </c>
    </row>
    <row r="3928" spans="12:16" ht="15" hidden="1" customHeight="1">
      <c r="L3928" s="58" t="str">
        <f t="shared" si="325"/>
        <v>-</v>
      </c>
      <c r="M3928" s="59">
        <f t="shared" si="340"/>
        <v>0</v>
      </c>
      <c r="N3928" s="59">
        <f t="shared" si="338"/>
        <v>0</v>
      </c>
      <c r="O3928" s="59">
        <f t="shared" si="341"/>
        <v>0</v>
      </c>
      <c r="P3928" s="59">
        <f t="shared" si="339"/>
        <v>0</v>
      </c>
    </row>
    <row r="3929" spans="12:16" ht="15" hidden="1" customHeight="1">
      <c r="L3929" s="58" t="str">
        <f t="shared" si="325"/>
        <v>-</v>
      </c>
      <c r="M3929" s="59">
        <f t="shared" si="340"/>
        <v>0</v>
      </c>
      <c r="N3929" s="59">
        <f t="shared" si="338"/>
        <v>0</v>
      </c>
      <c r="O3929" s="59">
        <f t="shared" si="341"/>
        <v>0</v>
      </c>
      <c r="P3929" s="59">
        <f t="shared" si="339"/>
        <v>0</v>
      </c>
    </row>
    <row r="3930" spans="12:16" ht="15" hidden="1" customHeight="1">
      <c r="L3930" s="58" t="str">
        <f t="shared" si="325"/>
        <v>-</v>
      </c>
      <c r="M3930" s="59">
        <f t="shared" si="340"/>
        <v>0</v>
      </c>
      <c r="N3930" s="59">
        <f t="shared" si="338"/>
        <v>0</v>
      </c>
      <c r="O3930" s="59">
        <f t="shared" si="341"/>
        <v>0</v>
      </c>
      <c r="P3930" s="59">
        <f t="shared" si="339"/>
        <v>0</v>
      </c>
    </row>
    <row r="3931" spans="12:16" ht="15" hidden="1" customHeight="1">
      <c r="L3931" s="58" t="str">
        <f t="shared" si="325"/>
        <v>-</v>
      </c>
      <c r="M3931" s="59">
        <f t="shared" si="340"/>
        <v>0</v>
      </c>
      <c r="N3931" s="59">
        <f t="shared" si="338"/>
        <v>0</v>
      </c>
      <c r="O3931" s="59">
        <f t="shared" si="341"/>
        <v>0</v>
      </c>
      <c r="P3931" s="59">
        <f t="shared" si="339"/>
        <v>0</v>
      </c>
    </row>
    <row r="3932" spans="12:16" ht="15" hidden="1" customHeight="1">
      <c r="L3932" s="58" t="str">
        <f t="shared" si="325"/>
        <v>-</v>
      </c>
      <c r="M3932" s="59">
        <f t="shared" si="340"/>
        <v>0</v>
      </c>
      <c r="N3932" s="59">
        <f t="shared" si="338"/>
        <v>0</v>
      </c>
      <c r="O3932" s="59">
        <f t="shared" si="341"/>
        <v>0</v>
      </c>
      <c r="P3932" s="59">
        <f t="shared" si="339"/>
        <v>0</v>
      </c>
    </row>
    <row r="3933" spans="12:16" ht="15" hidden="1" customHeight="1">
      <c r="L3933" s="58" t="str">
        <f t="shared" si="325"/>
        <v>-</v>
      </c>
      <c r="M3933" s="59">
        <f t="shared" si="340"/>
        <v>0</v>
      </c>
      <c r="N3933" s="59">
        <f t="shared" si="338"/>
        <v>0</v>
      </c>
      <c r="O3933" s="59">
        <f t="shared" si="341"/>
        <v>0</v>
      </c>
      <c r="P3933" s="59">
        <f t="shared" si="339"/>
        <v>0</v>
      </c>
    </row>
    <row r="3934" spans="12:16" ht="15" hidden="1" customHeight="1">
      <c r="L3934" s="58" t="str">
        <f t="shared" si="325"/>
        <v>-</v>
      </c>
      <c r="M3934" s="59">
        <f t="shared" si="340"/>
        <v>0</v>
      </c>
      <c r="N3934" s="59">
        <f t="shared" si="338"/>
        <v>0</v>
      </c>
      <c r="O3934" s="59">
        <f t="shared" si="341"/>
        <v>0</v>
      </c>
      <c r="P3934" s="59">
        <f t="shared" si="339"/>
        <v>0</v>
      </c>
    </row>
    <row r="3935" spans="12:16" ht="15" hidden="1" customHeight="1">
      <c r="L3935" s="58" t="str">
        <f t="shared" si="325"/>
        <v>-</v>
      </c>
      <c r="M3935" s="59">
        <f t="shared" si="340"/>
        <v>0</v>
      </c>
      <c r="N3935" s="59">
        <f t="shared" si="338"/>
        <v>0</v>
      </c>
      <c r="O3935" s="59">
        <f t="shared" si="341"/>
        <v>0</v>
      </c>
      <c r="P3935" s="59">
        <f t="shared" si="339"/>
        <v>0</v>
      </c>
    </row>
    <row r="3936" spans="12:16" ht="15" hidden="1" customHeight="1">
      <c r="L3936" s="58" t="str">
        <f t="shared" si="325"/>
        <v>-</v>
      </c>
      <c r="M3936" s="59">
        <f t="shared" si="340"/>
        <v>0</v>
      </c>
      <c r="N3936" s="59">
        <f t="shared" si="338"/>
        <v>0</v>
      </c>
      <c r="O3936" s="59">
        <f t="shared" si="341"/>
        <v>0</v>
      </c>
      <c r="P3936" s="59">
        <f t="shared" si="339"/>
        <v>0</v>
      </c>
    </row>
    <row r="3937" spans="12:16" ht="15" hidden="1" customHeight="1">
      <c r="L3937" s="58" t="str">
        <f t="shared" ref="L3937:L4000" si="342">IFERROR(IF(MAX(L3936+1,$F$5+1)&gt;Дата_погашения_Займа,"-",MAX(L3936+1,$F$5+1)),"-")</f>
        <v>-</v>
      </c>
      <c r="M3937" s="59">
        <f t="shared" si="340"/>
        <v>0</v>
      </c>
      <c r="N3937" s="59">
        <f t="shared" si="338"/>
        <v>0</v>
      </c>
      <c r="O3937" s="59">
        <f t="shared" si="341"/>
        <v>0</v>
      </c>
      <c r="P3937" s="59">
        <f t="shared" si="339"/>
        <v>0</v>
      </c>
    </row>
    <row r="3938" spans="12:16" ht="15" hidden="1" customHeight="1">
      <c r="L3938" s="58" t="str">
        <f t="shared" si="342"/>
        <v>-</v>
      </c>
      <c r="M3938" s="59">
        <f t="shared" si="340"/>
        <v>0</v>
      </c>
      <c r="N3938" s="59">
        <f t="shared" si="338"/>
        <v>0</v>
      </c>
      <c r="O3938" s="59">
        <f t="shared" si="341"/>
        <v>0</v>
      </c>
      <c r="P3938" s="59">
        <f t="shared" si="339"/>
        <v>0</v>
      </c>
    </row>
    <row r="3939" spans="12:16" ht="15" hidden="1" customHeight="1">
      <c r="L3939" s="58" t="str">
        <f t="shared" si="342"/>
        <v>-</v>
      </c>
      <c r="M3939" s="59">
        <f t="shared" si="340"/>
        <v>0</v>
      </c>
      <c r="N3939" s="59">
        <f t="shared" si="338"/>
        <v>0</v>
      </c>
      <c r="O3939" s="59">
        <f t="shared" si="341"/>
        <v>0</v>
      </c>
      <c r="P3939" s="59">
        <f t="shared" si="339"/>
        <v>0</v>
      </c>
    </row>
    <row r="3940" spans="12:16" ht="15" hidden="1" customHeight="1">
      <c r="L3940" s="58" t="str">
        <f t="shared" si="342"/>
        <v>-</v>
      </c>
      <c r="M3940" s="59">
        <f t="shared" si="340"/>
        <v>0</v>
      </c>
      <c r="N3940" s="59">
        <f t="shared" si="338"/>
        <v>0</v>
      </c>
      <c r="O3940" s="59">
        <f t="shared" si="341"/>
        <v>0</v>
      </c>
      <c r="P3940" s="59">
        <f t="shared" si="339"/>
        <v>0</v>
      </c>
    </row>
    <row r="3941" spans="12:16" ht="15" hidden="1" customHeight="1">
      <c r="L3941" s="58" t="str">
        <f t="shared" si="342"/>
        <v>-</v>
      </c>
      <c r="M3941" s="59">
        <f t="shared" si="340"/>
        <v>0</v>
      </c>
      <c r="N3941" s="59">
        <f t="shared" si="338"/>
        <v>0</v>
      </c>
      <c r="O3941" s="59">
        <f t="shared" si="341"/>
        <v>0</v>
      </c>
      <c r="P3941" s="59">
        <f t="shared" si="339"/>
        <v>0</v>
      </c>
    </row>
    <row r="3942" spans="12:16" ht="15" hidden="1" customHeight="1">
      <c r="L3942" s="58" t="str">
        <f t="shared" si="342"/>
        <v>-</v>
      </c>
      <c r="M3942" s="59">
        <f t="shared" si="340"/>
        <v>0</v>
      </c>
      <c r="N3942" s="59">
        <f t="shared" si="338"/>
        <v>0</v>
      </c>
      <c r="O3942" s="59">
        <f t="shared" si="341"/>
        <v>0</v>
      </c>
      <c r="P3942" s="59">
        <f t="shared" si="339"/>
        <v>0</v>
      </c>
    </row>
    <row r="3943" spans="12:16" ht="15" hidden="1" customHeight="1">
      <c r="L3943" s="58" t="str">
        <f t="shared" si="342"/>
        <v>-</v>
      </c>
      <c r="M3943" s="59">
        <f t="shared" si="340"/>
        <v>0</v>
      </c>
      <c r="N3943" s="59">
        <f t="shared" si="338"/>
        <v>0</v>
      </c>
      <c r="O3943" s="59">
        <f t="shared" si="341"/>
        <v>0</v>
      </c>
      <c r="P3943" s="59">
        <f t="shared" si="339"/>
        <v>0</v>
      </c>
    </row>
    <row r="3944" spans="12:16" ht="15" hidden="1" customHeight="1">
      <c r="L3944" s="58" t="str">
        <f t="shared" si="342"/>
        <v>-</v>
      </c>
      <c r="M3944" s="59">
        <f t="shared" si="340"/>
        <v>0</v>
      </c>
      <c r="N3944" s="59">
        <f t="shared" si="338"/>
        <v>0</v>
      </c>
      <c r="O3944" s="59">
        <f t="shared" si="341"/>
        <v>0</v>
      </c>
      <c r="P3944" s="59">
        <f t="shared" si="339"/>
        <v>0</v>
      </c>
    </row>
    <row r="3945" spans="12:16" ht="15" hidden="1" customHeight="1">
      <c r="L3945" s="58" t="str">
        <f t="shared" si="342"/>
        <v>-</v>
      </c>
      <c r="M3945" s="59">
        <f t="shared" si="340"/>
        <v>0</v>
      </c>
      <c r="N3945" s="59">
        <f t="shared" ref="N3945:N4008" si="343">IF(ISNUMBER(N3944),N3944-M3945,$E$8)</f>
        <v>0</v>
      </c>
      <c r="O3945" s="59">
        <f t="shared" si="341"/>
        <v>0</v>
      </c>
      <c r="P3945" s="59">
        <f t="shared" ref="P3945:P4008" si="344">IFERROR(IF(ISNUMBER(N3944),N3944,$E$8)*3%/IF(MOD(YEAR(L3945),4),365,366)*IF(ISBLANK(L3944),(L3945-$F$5),L3945-L3944),0)</f>
        <v>0</v>
      </c>
    </row>
    <row r="3946" spans="12:16" ht="15" hidden="1" customHeight="1">
      <c r="L3946" s="58" t="str">
        <f t="shared" si="342"/>
        <v>-</v>
      </c>
      <c r="M3946" s="59">
        <f t="shared" si="340"/>
        <v>0</v>
      </c>
      <c r="N3946" s="59">
        <f t="shared" si="343"/>
        <v>0</v>
      </c>
      <c r="O3946" s="59">
        <f t="shared" si="341"/>
        <v>0</v>
      </c>
      <c r="P3946" s="59">
        <f t="shared" si="344"/>
        <v>0</v>
      </c>
    </row>
    <row r="3947" spans="12:16" ht="15" hidden="1" customHeight="1">
      <c r="L3947" s="58" t="str">
        <f t="shared" si="342"/>
        <v>-</v>
      </c>
      <c r="M3947" s="59">
        <f t="shared" si="340"/>
        <v>0</v>
      </c>
      <c r="N3947" s="59">
        <f t="shared" si="343"/>
        <v>0</v>
      </c>
      <c r="O3947" s="59">
        <f t="shared" si="341"/>
        <v>0</v>
      </c>
      <c r="P3947" s="59">
        <f t="shared" si="344"/>
        <v>0</v>
      </c>
    </row>
    <row r="3948" spans="12:16" ht="15" hidden="1" customHeight="1">
      <c r="L3948" s="58" t="str">
        <f t="shared" si="342"/>
        <v>-</v>
      </c>
      <c r="M3948" s="59">
        <f t="shared" si="340"/>
        <v>0</v>
      </c>
      <c r="N3948" s="59">
        <f t="shared" si="343"/>
        <v>0</v>
      </c>
      <c r="O3948" s="59">
        <f t="shared" si="341"/>
        <v>0</v>
      </c>
      <c r="P3948" s="59">
        <f t="shared" si="344"/>
        <v>0</v>
      </c>
    </row>
    <row r="3949" spans="12:16" ht="15" hidden="1" customHeight="1">
      <c r="L3949" s="58" t="str">
        <f t="shared" si="342"/>
        <v>-</v>
      </c>
      <c r="M3949" s="59">
        <f t="shared" si="340"/>
        <v>0</v>
      </c>
      <c r="N3949" s="59">
        <f t="shared" si="343"/>
        <v>0</v>
      </c>
      <c r="O3949" s="59">
        <f t="shared" si="341"/>
        <v>0</v>
      </c>
      <c r="P3949" s="59">
        <f t="shared" si="344"/>
        <v>0</v>
      </c>
    </row>
    <row r="3950" spans="12:16" ht="15" hidden="1" customHeight="1">
      <c r="L3950" s="58" t="str">
        <f t="shared" si="342"/>
        <v>-</v>
      </c>
      <c r="M3950" s="59">
        <f t="shared" si="340"/>
        <v>0</v>
      </c>
      <c r="N3950" s="59">
        <f t="shared" si="343"/>
        <v>0</v>
      </c>
      <c r="O3950" s="59">
        <f t="shared" si="341"/>
        <v>0</v>
      </c>
      <c r="P3950" s="59">
        <f t="shared" si="344"/>
        <v>0</v>
      </c>
    </row>
    <row r="3951" spans="12:16" ht="15" hidden="1" customHeight="1">
      <c r="L3951" s="58" t="str">
        <f t="shared" si="342"/>
        <v>-</v>
      </c>
      <c r="M3951" s="59">
        <f t="shared" si="340"/>
        <v>0</v>
      </c>
      <c r="N3951" s="59">
        <f t="shared" si="343"/>
        <v>0</v>
      </c>
      <c r="O3951" s="59">
        <f t="shared" si="341"/>
        <v>0</v>
      </c>
      <c r="P3951" s="59">
        <f t="shared" si="344"/>
        <v>0</v>
      </c>
    </row>
    <row r="3952" spans="12:16" ht="15" hidden="1" customHeight="1">
      <c r="L3952" s="58" t="str">
        <f t="shared" si="342"/>
        <v>-</v>
      </c>
      <c r="M3952" s="59">
        <f t="shared" si="340"/>
        <v>0</v>
      </c>
      <c r="N3952" s="59">
        <f t="shared" si="343"/>
        <v>0</v>
      </c>
      <c r="O3952" s="59">
        <f t="shared" si="341"/>
        <v>0</v>
      </c>
      <c r="P3952" s="59">
        <f t="shared" si="344"/>
        <v>0</v>
      </c>
    </row>
    <row r="3953" spans="12:16" ht="15" hidden="1" customHeight="1">
      <c r="L3953" s="58" t="str">
        <f t="shared" si="342"/>
        <v>-</v>
      </c>
      <c r="M3953" s="59">
        <f t="shared" si="340"/>
        <v>0</v>
      </c>
      <c r="N3953" s="59">
        <f t="shared" si="343"/>
        <v>0</v>
      </c>
      <c r="O3953" s="59">
        <f t="shared" si="341"/>
        <v>0</v>
      </c>
      <c r="P3953" s="59">
        <f t="shared" si="344"/>
        <v>0</v>
      </c>
    </row>
    <row r="3954" spans="12:16" ht="15" hidden="1" customHeight="1">
      <c r="L3954" s="58" t="str">
        <f t="shared" si="342"/>
        <v>-</v>
      </c>
      <c r="M3954" s="59">
        <f t="shared" si="340"/>
        <v>0</v>
      </c>
      <c r="N3954" s="59">
        <f t="shared" si="343"/>
        <v>0</v>
      </c>
      <c r="O3954" s="59">
        <f t="shared" si="341"/>
        <v>0</v>
      </c>
      <c r="P3954" s="59">
        <f t="shared" si="344"/>
        <v>0</v>
      </c>
    </row>
    <row r="3955" spans="12:16" ht="15" hidden="1" customHeight="1">
      <c r="L3955" s="58" t="str">
        <f t="shared" si="342"/>
        <v>-</v>
      </c>
      <c r="M3955" s="59">
        <f t="shared" si="340"/>
        <v>0</v>
      </c>
      <c r="N3955" s="59">
        <f t="shared" si="343"/>
        <v>0</v>
      </c>
      <c r="O3955" s="59">
        <f t="shared" si="341"/>
        <v>0</v>
      </c>
      <c r="P3955" s="59">
        <f t="shared" si="344"/>
        <v>0</v>
      </c>
    </row>
    <row r="3956" spans="12:16" ht="15" hidden="1" customHeight="1">
      <c r="L3956" s="58" t="str">
        <f t="shared" si="342"/>
        <v>-</v>
      </c>
      <c r="M3956" s="59">
        <f t="shared" si="340"/>
        <v>0</v>
      </c>
      <c r="N3956" s="59">
        <f t="shared" si="343"/>
        <v>0</v>
      </c>
      <c r="O3956" s="59">
        <f t="shared" si="341"/>
        <v>0</v>
      </c>
      <c r="P3956" s="59">
        <f t="shared" si="344"/>
        <v>0</v>
      </c>
    </row>
    <row r="3957" spans="12:16" ht="15" hidden="1" customHeight="1">
      <c r="L3957" s="58" t="str">
        <f t="shared" si="342"/>
        <v>-</v>
      </c>
      <c r="M3957" s="59">
        <f t="shared" si="340"/>
        <v>0</v>
      </c>
      <c r="N3957" s="59">
        <f t="shared" si="343"/>
        <v>0</v>
      </c>
      <c r="O3957" s="59">
        <f t="shared" si="341"/>
        <v>0</v>
      </c>
      <c r="P3957" s="59">
        <f t="shared" si="344"/>
        <v>0</v>
      </c>
    </row>
    <row r="3958" spans="12:16" ht="15" hidden="1" customHeight="1">
      <c r="L3958" s="58" t="str">
        <f t="shared" si="342"/>
        <v>-</v>
      </c>
      <c r="M3958" s="59">
        <f t="shared" si="340"/>
        <v>0</v>
      </c>
      <c r="N3958" s="59">
        <f t="shared" si="343"/>
        <v>0</v>
      </c>
      <c r="O3958" s="59">
        <f t="shared" si="341"/>
        <v>0</v>
      </c>
      <c r="P3958" s="59">
        <f t="shared" si="344"/>
        <v>0</v>
      </c>
    </row>
    <row r="3959" spans="12:16" ht="15" hidden="1" customHeight="1">
      <c r="L3959" s="58" t="str">
        <f t="shared" si="342"/>
        <v>-</v>
      </c>
      <c r="M3959" s="59">
        <f t="shared" si="340"/>
        <v>0</v>
      </c>
      <c r="N3959" s="59">
        <f t="shared" si="343"/>
        <v>0</v>
      </c>
      <c r="O3959" s="59">
        <f t="shared" si="341"/>
        <v>0</v>
      </c>
      <c r="P3959" s="59">
        <f t="shared" si="344"/>
        <v>0</v>
      </c>
    </row>
    <row r="3960" spans="12:16" ht="15" hidden="1" customHeight="1">
      <c r="L3960" s="58" t="str">
        <f t="shared" si="342"/>
        <v>-</v>
      </c>
      <c r="M3960" s="59">
        <f t="shared" si="340"/>
        <v>0</v>
      </c>
      <c r="N3960" s="59">
        <f t="shared" si="343"/>
        <v>0</v>
      </c>
      <c r="O3960" s="59">
        <f t="shared" si="341"/>
        <v>0</v>
      </c>
      <c r="P3960" s="59">
        <f t="shared" si="344"/>
        <v>0</v>
      </c>
    </row>
    <row r="3961" spans="12:16" ht="15" hidden="1" customHeight="1">
      <c r="L3961" s="58" t="str">
        <f t="shared" si="342"/>
        <v>-</v>
      </c>
      <c r="M3961" s="59">
        <f t="shared" si="340"/>
        <v>0</v>
      </c>
      <c r="N3961" s="59">
        <f t="shared" si="343"/>
        <v>0</v>
      </c>
      <c r="O3961" s="59">
        <f t="shared" si="341"/>
        <v>0</v>
      </c>
      <c r="P3961" s="59">
        <f t="shared" si="344"/>
        <v>0</v>
      </c>
    </row>
    <row r="3962" spans="12:16" ht="15" hidden="1" customHeight="1">
      <c r="L3962" s="58" t="str">
        <f t="shared" si="342"/>
        <v>-</v>
      </c>
      <c r="M3962" s="59">
        <f t="shared" si="340"/>
        <v>0</v>
      </c>
      <c r="N3962" s="59">
        <f t="shared" si="343"/>
        <v>0</v>
      </c>
      <c r="O3962" s="59">
        <f t="shared" si="341"/>
        <v>0</v>
      </c>
      <c r="P3962" s="59">
        <f t="shared" si="344"/>
        <v>0</v>
      </c>
    </row>
    <row r="3963" spans="12:16" ht="15" hidden="1" customHeight="1">
      <c r="L3963" s="58" t="str">
        <f t="shared" si="342"/>
        <v>-</v>
      </c>
      <c r="M3963" s="59">
        <f t="shared" si="340"/>
        <v>0</v>
      </c>
      <c r="N3963" s="59">
        <f t="shared" si="343"/>
        <v>0</v>
      </c>
      <c r="O3963" s="59">
        <f t="shared" si="341"/>
        <v>0</v>
      </c>
      <c r="P3963" s="59">
        <f t="shared" si="344"/>
        <v>0</v>
      </c>
    </row>
    <row r="3964" spans="12:16" ht="15" hidden="1" customHeight="1">
      <c r="L3964" s="58" t="str">
        <f t="shared" si="342"/>
        <v>-</v>
      </c>
      <c r="M3964" s="59">
        <f t="shared" si="340"/>
        <v>0</v>
      </c>
      <c r="N3964" s="59">
        <f t="shared" si="343"/>
        <v>0</v>
      </c>
      <c r="O3964" s="59">
        <f t="shared" si="341"/>
        <v>0</v>
      </c>
      <c r="P3964" s="59">
        <f t="shared" si="344"/>
        <v>0</v>
      </c>
    </row>
    <row r="3965" spans="12:16" ht="15" hidden="1" customHeight="1">
      <c r="L3965" s="58" t="str">
        <f t="shared" si="342"/>
        <v>-</v>
      </c>
      <c r="M3965" s="59">
        <f t="shared" si="340"/>
        <v>0</v>
      </c>
      <c r="N3965" s="59">
        <f t="shared" si="343"/>
        <v>0</v>
      </c>
      <c r="O3965" s="59">
        <f t="shared" si="341"/>
        <v>0</v>
      </c>
      <c r="P3965" s="59">
        <f t="shared" si="344"/>
        <v>0</v>
      </c>
    </row>
    <row r="3966" spans="12:16" ht="15" hidden="1" customHeight="1">
      <c r="L3966" s="58" t="str">
        <f t="shared" si="342"/>
        <v>-</v>
      </c>
      <c r="M3966" s="59">
        <f t="shared" si="340"/>
        <v>0</v>
      </c>
      <c r="N3966" s="59">
        <f t="shared" si="343"/>
        <v>0</v>
      </c>
      <c r="O3966" s="59">
        <f t="shared" si="341"/>
        <v>0</v>
      </c>
      <c r="P3966" s="59">
        <f t="shared" si="344"/>
        <v>0</v>
      </c>
    </row>
    <row r="3967" spans="12:16" ht="15" hidden="1" customHeight="1">
      <c r="L3967" s="58" t="str">
        <f t="shared" si="342"/>
        <v>-</v>
      </c>
      <c r="M3967" s="59">
        <f t="shared" si="340"/>
        <v>0</v>
      </c>
      <c r="N3967" s="59">
        <f t="shared" si="343"/>
        <v>0</v>
      </c>
      <c r="O3967" s="59">
        <f t="shared" si="341"/>
        <v>0</v>
      </c>
      <c r="P3967" s="59">
        <f t="shared" si="344"/>
        <v>0</v>
      </c>
    </row>
    <row r="3968" spans="12:16" ht="15" hidden="1" customHeight="1">
      <c r="L3968" s="58" t="str">
        <f t="shared" si="342"/>
        <v>-</v>
      </c>
      <c r="M3968" s="59">
        <f t="shared" si="340"/>
        <v>0</v>
      </c>
      <c r="N3968" s="59">
        <f t="shared" si="343"/>
        <v>0</v>
      </c>
      <c r="O3968" s="59">
        <f t="shared" si="341"/>
        <v>0</v>
      </c>
      <c r="P3968" s="59">
        <f t="shared" si="344"/>
        <v>0</v>
      </c>
    </row>
    <row r="3969" spans="12:16" ht="15" hidden="1" customHeight="1">
      <c r="L3969" s="58" t="str">
        <f t="shared" si="342"/>
        <v>-</v>
      </c>
      <c r="M3969" s="59">
        <f t="shared" si="340"/>
        <v>0</v>
      </c>
      <c r="N3969" s="59">
        <f t="shared" si="343"/>
        <v>0</v>
      </c>
      <c r="O3969" s="59">
        <f t="shared" si="341"/>
        <v>0</v>
      </c>
      <c r="P3969" s="59">
        <f t="shared" si="344"/>
        <v>0</v>
      </c>
    </row>
    <row r="3970" spans="12:16" ht="15" hidden="1" customHeight="1">
      <c r="L3970" s="58" t="str">
        <f t="shared" si="342"/>
        <v>-</v>
      </c>
      <c r="M3970" s="59">
        <f t="shared" si="340"/>
        <v>0</v>
      </c>
      <c r="N3970" s="59">
        <f t="shared" si="343"/>
        <v>0</v>
      </c>
      <c r="O3970" s="59">
        <f t="shared" si="341"/>
        <v>0</v>
      </c>
      <c r="P3970" s="59">
        <f t="shared" si="344"/>
        <v>0</v>
      </c>
    </row>
    <row r="3971" spans="12:16" ht="15" hidden="1" customHeight="1">
      <c r="L3971" s="58" t="str">
        <f t="shared" si="342"/>
        <v>-</v>
      </c>
      <c r="M3971" s="59">
        <f t="shared" si="340"/>
        <v>0</v>
      </c>
      <c r="N3971" s="59">
        <f t="shared" si="343"/>
        <v>0</v>
      </c>
      <c r="O3971" s="59">
        <f t="shared" si="341"/>
        <v>0</v>
      </c>
      <c r="P3971" s="59">
        <f t="shared" si="344"/>
        <v>0</v>
      </c>
    </row>
    <row r="3972" spans="12:16" ht="15" hidden="1" customHeight="1">
      <c r="L3972" s="58" t="str">
        <f t="shared" si="342"/>
        <v>-</v>
      </c>
      <c r="M3972" s="59">
        <f t="shared" si="340"/>
        <v>0</v>
      </c>
      <c r="N3972" s="59">
        <f t="shared" si="343"/>
        <v>0</v>
      </c>
      <c r="O3972" s="59">
        <f t="shared" si="341"/>
        <v>0</v>
      </c>
      <c r="P3972" s="59">
        <f t="shared" si="344"/>
        <v>0</v>
      </c>
    </row>
    <row r="3973" spans="12:16" ht="15" hidden="1" customHeight="1">
      <c r="L3973" s="58" t="str">
        <f t="shared" si="342"/>
        <v>-</v>
      </c>
      <c r="M3973" s="59">
        <f t="shared" si="340"/>
        <v>0</v>
      </c>
      <c r="N3973" s="59">
        <f t="shared" si="343"/>
        <v>0</v>
      </c>
      <c r="O3973" s="59">
        <f t="shared" si="341"/>
        <v>0</v>
      </c>
      <c r="P3973" s="59">
        <f t="shared" si="344"/>
        <v>0</v>
      </c>
    </row>
    <row r="3974" spans="12:16" ht="15" hidden="1" customHeight="1">
      <c r="L3974" s="58" t="str">
        <f t="shared" si="342"/>
        <v>-</v>
      </c>
      <c r="M3974" s="59">
        <f t="shared" si="340"/>
        <v>0</v>
      </c>
      <c r="N3974" s="59">
        <f t="shared" si="343"/>
        <v>0</v>
      </c>
      <c r="O3974" s="59">
        <f t="shared" si="341"/>
        <v>0</v>
      </c>
      <c r="P3974" s="59">
        <f t="shared" si="344"/>
        <v>0</v>
      </c>
    </row>
    <row r="3975" spans="12:16" ht="15" hidden="1" customHeight="1">
      <c r="L3975" s="58" t="str">
        <f t="shared" si="342"/>
        <v>-</v>
      </c>
      <c r="M3975" s="59">
        <f t="shared" si="340"/>
        <v>0</v>
      </c>
      <c r="N3975" s="59">
        <f t="shared" si="343"/>
        <v>0</v>
      </c>
      <c r="O3975" s="59">
        <f t="shared" si="341"/>
        <v>0</v>
      </c>
      <c r="P3975" s="59">
        <f t="shared" si="344"/>
        <v>0</v>
      </c>
    </row>
    <row r="3976" spans="12:16" ht="15" hidden="1" customHeight="1">
      <c r="L3976" s="58" t="str">
        <f t="shared" si="342"/>
        <v>-</v>
      </c>
      <c r="M3976" s="59">
        <f t="shared" si="340"/>
        <v>0</v>
      </c>
      <c r="N3976" s="59">
        <f t="shared" si="343"/>
        <v>0</v>
      </c>
      <c r="O3976" s="59">
        <f t="shared" si="341"/>
        <v>0</v>
      </c>
      <c r="P3976" s="59">
        <f t="shared" si="344"/>
        <v>0</v>
      </c>
    </row>
    <row r="3977" spans="12:16" ht="15" hidden="1" customHeight="1">
      <c r="L3977" s="58" t="str">
        <f t="shared" si="342"/>
        <v>-</v>
      </c>
      <c r="M3977" s="59">
        <f t="shared" si="340"/>
        <v>0</v>
      </c>
      <c r="N3977" s="59">
        <f t="shared" si="343"/>
        <v>0</v>
      </c>
      <c r="O3977" s="59">
        <f t="shared" si="341"/>
        <v>0</v>
      </c>
      <c r="P3977" s="59">
        <f t="shared" si="344"/>
        <v>0</v>
      </c>
    </row>
    <row r="3978" spans="12:16" ht="15" hidden="1" customHeight="1">
      <c r="L3978" s="58" t="str">
        <f t="shared" si="342"/>
        <v>-</v>
      </c>
      <c r="M3978" s="59">
        <f t="shared" si="340"/>
        <v>0</v>
      </c>
      <c r="N3978" s="59">
        <f t="shared" si="343"/>
        <v>0</v>
      </c>
      <c r="O3978" s="59">
        <f t="shared" si="341"/>
        <v>0</v>
      </c>
      <c r="P3978" s="59">
        <f t="shared" si="344"/>
        <v>0</v>
      </c>
    </row>
    <row r="3979" spans="12:16" ht="15" hidden="1" customHeight="1">
      <c r="L3979" s="58" t="str">
        <f t="shared" si="342"/>
        <v>-</v>
      </c>
      <c r="M3979" s="59">
        <f t="shared" si="340"/>
        <v>0</v>
      </c>
      <c r="N3979" s="59">
        <f t="shared" si="343"/>
        <v>0</v>
      </c>
      <c r="O3979" s="59">
        <f t="shared" si="341"/>
        <v>0</v>
      </c>
      <c r="P3979" s="59">
        <f t="shared" si="344"/>
        <v>0</v>
      </c>
    </row>
    <row r="3980" spans="12:16" ht="15" hidden="1" customHeight="1">
      <c r="L3980" s="58" t="str">
        <f t="shared" si="342"/>
        <v>-</v>
      </c>
      <c r="M3980" s="59">
        <f t="shared" si="340"/>
        <v>0</v>
      </c>
      <c r="N3980" s="59">
        <f t="shared" si="343"/>
        <v>0</v>
      </c>
      <c r="O3980" s="59">
        <f t="shared" si="341"/>
        <v>0</v>
      </c>
      <c r="P3980" s="59">
        <f t="shared" si="344"/>
        <v>0</v>
      </c>
    </row>
    <row r="3981" spans="12:16" ht="15" hidden="1" customHeight="1">
      <c r="L3981" s="58" t="str">
        <f t="shared" si="342"/>
        <v>-</v>
      </c>
      <c r="M3981" s="59">
        <f t="shared" si="340"/>
        <v>0</v>
      </c>
      <c r="N3981" s="59">
        <f t="shared" si="343"/>
        <v>0</v>
      </c>
      <c r="O3981" s="59">
        <f t="shared" si="341"/>
        <v>0</v>
      </c>
      <c r="P3981" s="59">
        <f t="shared" si="344"/>
        <v>0</v>
      </c>
    </row>
    <row r="3982" spans="12:16" ht="15" hidden="1" customHeight="1">
      <c r="L3982" s="58" t="str">
        <f t="shared" si="342"/>
        <v>-</v>
      </c>
      <c r="M3982" s="59">
        <f t="shared" si="340"/>
        <v>0</v>
      </c>
      <c r="N3982" s="59">
        <f t="shared" si="343"/>
        <v>0</v>
      </c>
      <c r="O3982" s="59">
        <f t="shared" si="341"/>
        <v>0</v>
      </c>
      <c r="P3982" s="59">
        <f t="shared" si="344"/>
        <v>0</v>
      </c>
    </row>
    <row r="3983" spans="12:16" ht="15" hidden="1" customHeight="1">
      <c r="L3983" s="58" t="str">
        <f t="shared" si="342"/>
        <v>-</v>
      </c>
      <c r="M3983" s="59">
        <f t="shared" si="340"/>
        <v>0</v>
      </c>
      <c r="N3983" s="59">
        <f t="shared" si="343"/>
        <v>0</v>
      </c>
      <c r="O3983" s="59">
        <f t="shared" si="341"/>
        <v>0</v>
      </c>
      <c r="P3983" s="59">
        <f t="shared" si="344"/>
        <v>0</v>
      </c>
    </row>
    <row r="3984" spans="12:16" ht="15" hidden="1" customHeight="1">
      <c r="L3984" s="58" t="str">
        <f t="shared" si="342"/>
        <v>-</v>
      </c>
      <c r="M3984" s="59">
        <f t="shared" si="340"/>
        <v>0</v>
      </c>
      <c r="N3984" s="59">
        <f t="shared" si="343"/>
        <v>0</v>
      </c>
      <c r="O3984" s="59">
        <f t="shared" si="341"/>
        <v>0</v>
      </c>
      <c r="P3984" s="59">
        <f t="shared" si="344"/>
        <v>0</v>
      </c>
    </row>
    <row r="3985" spans="12:16" ht="15" hidden="1" customHeight="1">
      <c r="L3985" s="58" t="str">
        <f t="shared" si="342"/>
        <v>-</v>
      </c>
      <c r="M3985" s="59">
        <f t="shared" si="340"/>
        <v>0</v>
      </c>
      <c r="N3985" s="59">
        <f t="shared" si="343"/>
        <v>0</v>
      </c>
      <c r="O3985" s="59">
        <f t="shared" si="341"/>
        <v>0</v>
      </c>
      <c r="P3985" s="59">
        <f t="shared" si="344"/>
        <v>0</v>
      </c>
    </row>
    <row r="3986" spans="12:16" ht="15" hidden="1" customHeight="1">
      <c r="L3986" s="58" t="str">
        <f t="shared" si="342"/>
        <v>-</v>
      </c>
      <c r="M3986" s="59">
        <f t="shared" si="340"/>
        <v>0</v>
      </c>
      <c r="N3986" s="59">
        <f t="shared" si="343"/>
        <v>0</v>
      </c>
      <c r="O3986" s="59">
        <f t="shared" si="341"/>
        <v>0</v>
      </c>
      <c r="P3986" s="59">
        <f t="shared" si="344"/>
        <v>0</v>
      </c>
    </row>
    <row r="3987" spans="12:16" ht="15" hidden="1" customHeight="1">
      <c r="L3987" s="58" t="str">
        <f t="shared" si="342"/>
        <v>-</v>
      </c>
      <c r="M3987" s="59">
        <f t="shared" ref="M3987:M4050" si="345">IFERROR(VLOOKUP(L3987,$B$19:$E$80,4,FALSE),0)</f>
        <v>0</v>
      </c>
      <c r="N3987" s="59">
        <f t="shared" si="343"/>
        <v>0</v>
      </c>
      <c r="O3987" s="59">
        <f t="shared" ref="O3987:O4050" si="346">IFERROR(IF(ISNUMBER(N3986),N3986,$E$8)*IF(L3987&gt;=$J$8,$E$12,$E$12)/IF(MOD(YEAR(L3987),4),365,366)*IF(ISBLANK(L3986),L3987-$F$5,L3987-L3986),0)</f>
        <v>0</v>
      </c>
      <c r="P3987" s="59">
        <f t="shared" si="344"/>
        <v>0</v>
      </c>
    </row>
    <row r="3988" spans="12:16" ht="15" hidden="1" customHeight="1">
      <c r="L3988" s="58" t="str">
        <f t="shared" si="342"/>
        <v>-</v>
      </c>
      <c r="M3988" s="59">
        <f t="shared" si="345"/>
        <v>0</v>
      </c>
      <c r="N3988" s="59">
        <f t="shared" si="343"/>
        <v>0</v>
      </c>
      <c r="O3988" s="59">
        <f t="shared" si="346"/>
        <v>0</v>
      </c>
      <c r="P3988" s="59">
        <f t="shared" si="344"/>
        <v>0</v>
      </c>
    </row>
    <row r="3989" spans="12:16" ht="15" hidden="1" customHeight="1">
      <c r="L3989" s="58" t="str">
        <f t="shared" si="342"/>
        <v>-</v>
      </c>
      <c r="M3989" s="59">
        <f t="shared" si="345"/>
        <v>0</v>
      </c>
      <c r="N3989" s="59">
        <f t="shared" si="343"/>
        <v>0</v>
      </c>
      <c r="O3989" s="59">
        <f t="shared" si="346"/>
        <v>0</v>
      </c>
      <c r="P3989" s="59">
        <f t="shared" si="344"/>
        <v>0</v>
      </c>
    </row>
    <row r="3990" spans="12:16" ht="15" hidden="1" customHeight="1">
      <c r="L3990" s="58" t="str">
        <f t="shared" si="342"/>
        <v>-</v>
      </c>
      <c r="M3990" s="59">
        <f t="shared" si="345"/>
        <v>0</v>
      </c>
      <c r="N3990" s="59">
        <f t="shared" si="343"/>
        <v>0</v>
      </c>
      <c r="O3990" s="59">
        <f t="shared" si="346"/>
        <v>0</v>
      </c>
      <c r="P3990" s="59">
        <f t="shared" si="344"/>
        <v>0</v>
      </c>
    </row>
    <row r="3991" spans="12:16" ht="15" hidden="1" customHeight="1">
      <c r="L3991" s="58" t="str">
        <f t="shared" si="342"/>
        <v>-</v>
      </c>
      <c r="M3991" s="59">
        <f t="shared" si="345"/>
        <v>0</v>
      </c>
      <c r="N3991" s="59">
        <f t="shared" si="343"/>
        <v>0</v>
      </c>
      <c r="O3991" s="59">
        <f t="shared" si="346"/>
        <v>0</v>
      </c>
      <c r="P3991" s="59">
        <f t="shared" si="344"/>
        <v>0</v>
      </c>
    </row>
    <row r="3992" spans="12:16" ht="15" hidden="1" customHeight="1">
      <c r="L3992" s="58" t="str">
        <f t="shared" si="342"/>
        <v>-</v>
      </c>
      <c r="M3992" s="59">
        <f t="shared" si="345"/>
        <v>0</v>
      </c>
      <c r="N3992" s="59">
        <f t="shared" si="343"/>
        <v>0</v>
      </c>
      <c r="O3992" s="59">
        <f t="shared" si="346"/>
        <v>0</v>
      </c>
      <c r="P3992" s="59">
        <f t="shared" si="344"/>
        <v>0</v>
      </c>
    </row>
    <row r="3993" spans="12:16" ht="15" hidden="1" customHeight="1">
      <c r="L3993" s="58" t="str">
        <f t="shared" si="342"/>
        <v>-</v>
      </c>
      <c r="M3993" s="59">
        <f t="shared" si="345"/>
        <v>0</v>
      </c>
      <c r="N3993" s="59">
        <f t="shared" si="343"/>
        <v>0</v>
      </c>
      <c r="O3993" s="59">
        <f t="shared" si="346"/>
        <v>0</v>
      </c>
      <c r="P3993" s="59">
        <f t="shared" si="344"/>
        <v>0</v>
      </c>
    </row>
    <row r="3994" spans="12:16" ht="15" hidden="1" customHeight="1">
      <c r="L3994" s="58" t="str">
        <f t="shared" si="342"/>
        <v>-</v>
      </c>
      <c r="M3994" s="59">
        <f t="shared" si="345"/>
        <v>0</v>
      </c>
      <c r="N3994" s="59">
        <f t="shared" si="343"/>
        <v>0</v>
      </c>
      <c r="O3994" s="59">
        <f t="shared" si="346"/>
        <v>0</v>
      </c>
      <c r="P3994" s="59">
        <f t="shared" si="344"/>
        <v>0</v>
      </c>
    </row>
    <row r="3995" spans="12:16" ht="15" hidden="1" customHeight="1">
      <c r="L3995" s="58" t="str">
        <f t="shared" si="342"/>
        <v>-</v>
      </c>
      <c r="M3995" s="59">
        <f t="shared" si="345"/>
        <v>0</v>
      </c>
      <c r="N3995" s="59">
        <f t="shared" si="343"/>
        <v>0</v>
      </c>
      <c r="O3995" s="59">
        <f t="shared" si="346"/>
        <v>0</v>
      </c>
      <c r="P3995" s="59">
        <f t="shared" si="344"/>
        <v>0</v>
      </c>
    </row>
    <row r="3996" spans="12:16" ht="15" hidden="1" customHeight="1">
      <c r="L3996" s="58" t="str">
        <f t="shared" si="342"/>
        <v>-</v>
      </c>
      <c r="M3996" s="59">
        <f t="shared" si="345"/>
        <v>0</v>
      </c>
      <c r="N3996" s="59">
        <f t="shared" si="343"/>
        <v>0</v>
      </c>
      <c r="O3996" s="59">
        <f t="shared" si="346"/>
        <v>0</v>
      </c>
      <c r="P3996" s="59">
        <f t="shared" si="344"/>
        <v>0</v>
      </c>
    </row>
    <row r="3997" spans="12:16" ht="15" hidden="1" customHeight="1">
      <c r="L3997" s="58" t="str">
        <f t="shared" si="342"/>
        <v>-</v>
      </c>
      <c r="M3997" s="59">
        <f t="shared" si="345"/>
        <v>0</v>
      </c>
      <c r="N3997" s="59">
        <f t="shared" si="343"/>
        <v>0</v>
      </c>
      <c r="O3997" s="59">
        <f t="shared" si="346"/>
        <v>0</v>
      </c>
      <c r="P3997" s="59">
        <f t="shared" si="344"/>
        <v>0</v>
      </c>
    </row>
    <row r="3998" spans="12:16" ht="15" hidden="1" customHeight="1">
      <c r="L3998" s="58" t="str">
        <f t="shared" si="342"/>
        <v>-</v>
      </c>
      <c r="M3998" s="59">
        <f t="shared" si="345"/>
        <v>0</v>
      </c>
      <c r="N3998" s="59">
        <f t="shared" si="343"/>
        <v>0</v>
      </c>
      <c r="O3998" s="59">
        <f t="shared" si="346"/>
        <v>0</v>
      </c>
      <c r="P3998" s="59">
        <f t="shared" si="344"/>
        <v>0</v>
      </c>
    </row>
    <row r="3999" spans="12:16" ht="15" hidden="1" customHeight="1">
      <c r="L3999" s="58" t="str">
        <f t="shared" si="342"/>
        <v>-</v>
      </c>
      <c r="M3999" s="59">
        <f t="shared" si="345"/>
        <v>0</v>
      </c>
      <c r="N3999" s="59">
        <f t="shared" si="343"/>
        <v>0</v>
      </c>
      <c r="O3999" s="59">
        <f t="shared" si="346"/>
        <v>0</v>
      </c>
      <c r="P3999" s="59">
        <f t="shared" si="344"/>
        <v>0</v>
      </c>
    </row>
    <row r="4000" spans="12:16" ht="15" hidden="1" customHeight="1">
      <c r="L4000" s="58" t="str">
        <f t="shared" si="342"/>
        <v>-</v>
      </c>
      <c r="M4000" s="59">
        <f t="shared" si="345"/>
        <v>0</v>
      </c>
      <c r="N4000" s="59">
        <f t="shared" si="343"/>
        <v>0</v>
      </c>
      <c r="O4000" s="59">
        <f t="shared" si="346"/>
        <v>0</v>
      </c>
      <c r="P4000" s="59">
        <f t="shared" si="344"/>
        <v>0</v>
      </c>
    </row>
    <row r="4001" spans="12:16" ht="15" hidden="1" customHeight="1">
      <c r="L4001" s="58" t="str">
        <f t="shared" ref="L4001:L4064" si="347">IFERROR(IF(MAX(L4000+1,$F$5+1)&gt;Дата_погашения_Займа,"-",MAX(L4000+1,$F$5+1)),"-")</f>
        <v>-</v>
      </c>
      <c r="M4001" s="59">
        <f t="shared" si="345"/>
        <v>0</v>
      </c>
      <c r="N4001" s="59">
        <f t="shared" si="343"/>
        <v>0</v>
      </c>
      <c r="O4001" s="59">
        <f t="shared" si="346"/>
        <v>0</v>
      </c>
      <c r="P4001" s="59">
        <f t="shared" si="344"/>
        <v>0</v>
      </c>
    </row>
    <row r="4002" spans="12:16" ht="15" hidden="1" customHeight="1">
      <c r="L4002" s="58" t="str">
        <f t="shared" si="347"/>
        <v>-</v>
      </c>
      <c r="M4002" s="59">
        <f t="shared" si="345"/>
        <v>0</v>
      </c>
      <c r="N4002" s="59">
        <f t="shared" si="343"/>
        <v>0</v>
      </c>
      <c r="O4002" s="59">
        <f t="shared" si="346"/>
        <v>0</v>
      </c>
      <c r="P4002" s="59">
        <f t="shared" si="344"/>
        <v>0</v>
      </c>
    </row>
    <row r="4003" spans="12:16" ht="15" hidden="1" customHeight="1">
      <c r="L4003" s="58" t="str">
        <f t="shared" si="347"/>
        <v>-</v>
      </c>
      <c r="M4003" s="59">
        <f t="shared" si="345"/>
        <v>0</v>
      </c>
      <c r="N4003" s="59">
        <f t="shared" si="343"/>
        <v>0</v>
      </c>
      <c r="O4003" s="59">
        <f t="shared" si="346"/>
        <v>0</v>
      </c>
      <c r="P4003" s="59">
        <f t="shared" si="344"/>
        <v>0</v>
      </c>
    </row>
    <row r="4004" spans="12:16" ht="15" hidden="1" customHeight="1">
      <c r="L4004" s="58" t="str">
        <f t="shared" si="347"/>
        <v>-</v>
      </c>
      <c r="M4004" s="59">
        <f t="shared" si="345"/>
        <v>0</v>
      </c>
      <c r="N4004" s="59">
        <f t="shared" si="343"/>
        <v>0</v>
      </c>
      <c r="O4004" s="59">
        <f t="shared" si="346"/>
        <v>0</v>
      </c>
      <c r="P4004" s="59">
        <f t="shared" si="344"/>
        <v>0</v>
      </c>
    </row>
    <row r="4005" spans="12:16" ht="15" hidden="1" customHeight="1">
      <c r="L4005" s="58" t="str">
        <f t="shared" si="347"/>
        <v>-</v>
      </c>
      <c r="M4005" s="59">
        <f t="shared" si="345"/>
        <v>0</v>
      </c>
      <c r="N4005" s="59">
        <f t="shared" si="343"/>
        <v>0</v>
      </c>
      <c r="O4005" s="59">
        <f t="shared" si="346"/>
        <v>0</v>
      </c>
      <c r="P4005" s="59">
        <f t="shared" si="344"/>
        <v>0</v>
      </c>
    </row>
    <row r="4006" spans="12:16" ht="15" hidden="1" customHeight="1">
      <c r="L4006" s="58" t="str">
        <f t="shared" si="347"/>
        <v>-</v>
      </c>
      <c r="M4006" s="59">
        <f t="shared" si="345"/>
        <v>0</v>
      </c>
      <c r="N4006" s="59">
        <f t="shared" si="343"/>
        <v>0</v>
      </c>
      <c r="O4006" s="59">
        <f t="shared" si="346"/>
        <v>0</v>
      </c>
      <c r="P4006" s="59">
        <f t="shared" si="344"/>
        <v>0</v>
      </c>
    </row>
    <row r="4007" spans="12:16" ht="15" hidden="1" customHeight="1">
      <c r="L4007" s="58" t="str">
        <f t="shared" si="347"/>
        <v>-</v>
      </c>
      <c r="M4007" s="59">
        <f t="shared" si="345"/>
        <v>0</v>
      </c>
      <c r="N4007" s="59">
        <f t="shared" si="343"/>
        <v>0</v>
      </c>
      <c r="O4007" s="59">
        <f t="shared" si="346"/>
        <v>0</v>
      </c>
      <c r="P4007" s="59">
        <f t="shared" si="344"/>
        <v>0</v>
      </c>
    </row>
    <row r="4008" spans="12:16" ht="15" hidden="1" customHeight="1">
      <c r="L4008" s="58" t="str">
        <f t="shared" si="347"/>
        <v>-</v>
      </c>
      <c r="M4008" s="59">
        <f t="shared" si="345"/>
        <v>0</v>
      </c>
      <c r="N4008" s="59">
        <f t="shared" si="343"/>
        <v>0</v>
      </c>
      <c r="O4008" s="59">
        <f t="shared" si="346"/>
        <v>0</v>
      </c>
      <c r="P4008" s="59">
        <f t="shared" si="344"/>
        <v>0</v>
      </c>
    </row>
    <row r="4009" spans="12:16" ht="15" hidden="1" customHeight="1">
      <c r="L4009" s="58" t="str">
        <f t="shared" si="347"/>
        <v>-</v>
      </c>
      <c r="M4009" s="59">
        <f t="shared" si="345"/>
        <v>0</v>
      </c>
      <c r="N4009" s="59">
        <f t="shared" ref="N4009:N4072" si="348">IF(ISNUMBER(N4008),N4008-M4009,$E$8)</f>
        <v>0</v>
      </c>
      <c r="O4009" s="59">
        <f t="shared" si="346"/>
        <v>0</v>
      </c>
      <c r="P4009" s="59">
        <f t="shared" ref="P4009:P4072" si="349">IFERROR(IF(ISNUMBER(N4008),N4008,$E$8)*3%/IF(MOD(YEAR(L4009),4),365,366)*IF(ISBLANK(L4008),(L4009-$F$5),L4009-L4008),0)</f>
        <v>0</v>
      </c>
    </row>
    <row r="4010" spans="12:16" ht="15" hidden="1" customHeight="1">
      <c r="L4010" s="58" t="str">
        <f t="shared" si="347"/>
        <v>-</v>
      </c>
      <c r="M4010" s="59">
        <f t="shared" si="345"/>
        <v>0</v>
      </c>
      <c r="N4010" s="59">
        <f t="shared" si="348"/>
        <v>0</v>
      </c>
      <c r="O4010" s="59">
        <f t="shared" si="346"/>
        <v>0</v>
      </c>
      <c r="P4010" s="59">
        <f t="shared" si="349"/>
        <v>0</v>
      </c>
    </row>
    <row r="4011" spans="12:16" ht="15" hidden="1" customHeight="1">
      <c r="L4011" s="58" t="str">
        <f t="shared" si="347"/>
        <v>-</v>
      </c>
      <c r="M4011" s="59">
        <f t="shared" si="345"/>
        <v>0</v>
      </c>
      <c r="N4011" s="59">
        <f t="shared" si="348"/>
        <v>0</v>
      </c>
      <c r="O4011" s="59">
        <f t="shared" si="346"/>
        <v>0</v>
      </c>
      <c r="P4011" s="59">
        <f t="shared" si="349"/>
        <v>0</v>
      </c>
    </row>
    <row r="4012" spans="12:16" ht="15" hidden="1" customHeight="1">
      <c r="L4012" s="58" t="str">
        <f t="shared" si="347"/>
        <v>-</v>
      </c>
      <c r="M4012" s="59">
        <f t="shared" si="345"/>
        <v>0</v>
      </c>
      <c r="N4012" s="59">
        <f t="shared" si="348"/>
        <v>0</v>
      </c>
      <c r="O4012" s="59">
        <f t="shared" si="346"/>
        <v>0</v>
      </c>
      <c r="P4012" s="59">
        <f t="shared" si="349"/>
        <v>0</v>
      </c>
    </row>
    <row r="4013" spans="12:16" ht="15" hidden="1" customHeight="1">
      <c r="L4013" s="58" t="str">
        <f t="shared" si="347"/>
        <v>-</v>
      </c>
      <c r="M4013" s="59">
        <f t="shared" si="345"/>
        <v>0</v>
      </c>
      <c r="N4013" s="59">
        <f t="shared" si="348"/>
        <v>0</v>
      </c>
      <c r="O4013" s="59">
        <f t="shared" si="346"/>
        <v>0</v>
      </c>
      <c r="P4013" s="59">
        <f t="shared" si="349"/>
        <v>0</v>
      </c>
    </row>
    <row r="4014" spans="12:16" ht="15" hidden="1" customHeight="1">
      <c r="L4014" s="58" t="str">
        <f t="shared" si="347"/>
        <v>-</v>
      </c>
      <c r="M4014" s="59">
        <f t="shared" si="345"/>
        <v>0</v>
      </c>
      <c r="N4014" s="59">
        <f t="shared" si="348"/>
        <v>0</v>
      </c>
      <c r="O4014" s="59">
        <f t="shared" si="346"/>
        <v>0</v>
      </c>
      <c r="P4014" s="59">
        <f t="shared" si="349"/>
        <v>0</v>
      </c>
    </row>
    <row r="4015" spans="12:16" ht="15" hidden="1" customHeight="1">
      <c r="L4015" s="58" t="str">
        <f t="shared" si="347"/>
        <v>-</v>
      </c>
      <c r="M4015" s="59">
        <f t="shared" si="345"/>
        <v>0</v>
      </c>
      <c r="N4015" s="59">
        <f t="shared" si="348"/>
        <v>0</v>
      </c>
      <c r="O4015" s="59">
        <f t="shared" si="346"/>
        <v>0</v>
      </c>
      <c r="P4015" s="59">
        <f t="shared" si="349"/>
        <v>0</v>
      </c>
    </row>
    <row r="4016" spans="12:16" ht="15" hidden="1" customHeight="1">
      <c r="L4016" s="58" t="str">
        <f t="shared" si="347"/>
        <v>-</v>
      </c>
      <c r="M4016" s="59">
        <f t="shared" si="345"/>
        <v>0</v>
      </c>
      <c r="N4016" s="59">
        <f t="shared" si="348"/>
        <v>0</v>
      </c>
      <c r="O4016" s="59">
        <f t="shared" si="346"/>
        <v>0</v>
      </c>
      <c r="P4016" s="59">
        <f t="shared" si="349"/>
        <v>0</v>
      </c>
    </row>
    <row r="4017" spans="12:16" ht="15" hidden="1" customHeight="1">
      <c r="L4017" s="58" t="str">
        <f t="shared" si="347"/>
        <v>-</v>
      </c>
      <c r="M4017" s="59">
        <f t="shared" si="345"/>
        <v>0</v>
      </c>
      <c r="N4017" s="59">
        <f t="shared" si="348"/>
        <v>0</v>
      </c>
      <c r="O4017" s="59">
        <f t="shared" si="346"/>
        <v>0</v>
      </c>
      <c r="P4017" s="59">
        <f t="shared" si="349"/>
        <v>0</v>
      </c>
    </row>
    <row r="4018" spans="12:16" ht="15" hidden="1" customHeight="1">
      <c r="L4018" s="58" t="str">
        <f t="shared" si="347"/>
        <v>-</v>
      </c>
      <c r="M4018" s="59">
        <f t="shared" si="345"/>
        <v>0</v>
      </c>
      <c r="N4018" s="59">
        <f t="shared" si="348"/>
        <v>0</v>
      </c>
      <c r="O4018" s="59">
        <f t="shared" si="346"/>
        <v>0</v>
      </c>
      <c r="P4018" s="59">
        <f t="shared" si="349"/>
        <v>0</v>
      </c>
    </row>
    <row r="4019" spans="12:16" ht="15" hidden="1" customHeight="1">
      <c r="L4019" s="58" t="str">
        <f t="shared" si="347"/>
        <v>-</v>
      </c>
      <c r="M4019" s="59">
        <f t="shared" si="345"/>
        <v>0</v>
      </c>
      <c r="N4019" s="59">
        <f t="shared" si="348"/>
        <v>0</v>
      </c>
      <c r="O4019" s="59">
        <f t="shared" si="346"/>
        <v>0</v>
      </c>
      <c r="P4019" s="59">
        <f t="shared" si="349"/>
        <v>0</v>
      </c>
    </row>
    <row r="4020" spans="12:16" ht="15" hidden="1" customHeight="1">
      <c r="L4020" s="58" t="str">
        <f t="shared" si="347"/>
        <v>-</v>
      </c>
      <c r="M4020" s="59">
        <f t="shared" si="345"/>
        <v>0</v>
      </c>
      <c r="N4020" s="59">
        <f t="shared" si="348"/>
        <v>0</v>
      </c>
      <c r="O4020" s="59">
        <f t="shared" si="346"/>
        <v>0</v>
      </c>
      <c r="P4020" s="59">
        <f t="shared" si="349"/>
        <v>0</v>
      </c>
    </row>
    <row r="4021" spans="12:16" ht="15" hidden="1" customHeight="1">
      <c r="L4021" s="58" t="str">
        <f t="shared" si="347"/>
        <v>-</v>
      </c>
      <c r="M4021" s="59">
        <f t="shared" si="345"/>
        <v>0</v>
      </c>
      <c r="N4021" s="59">
        <f t="shared" si="348"/>
        <v>0</v>
      </c>
      <c r="O4021" s="59">
        <f t="shared" si="346"/>
        <v>0</v>
      </c>
      <c r="P4021" s="59">
        <f t="shared" si="349"/>
        <v>0</v>
      </c>
    </row>
    <row r="4022" spans="12:16" ht="15" hidden="1" customHeight="1">
      <c r="L4022" s="58" t="str">
        <f t="shared" si="347"/>
        <v>-</v>
      </c>
      <c r="M4022" s="59">
        <f t="shared" si="345"/>
        <v>0</v>
      </c>
      <c r="N4022" s="59">
        <f t="shared" si="348"/>
        <v>0</v>
      </c>
      <c r="O4022" s="59">
        <f t="shared" si="346"/>
        <v>0</v>
      </c>
      <c r="P4022" s="59">
        <f t="shared" si="349"/>
        <v>0</v>
      </c>
    </row>
    <row r="4023" spans="12:16" ht="15" hidden="1" customHeight="1">
      <c r="L4023" s="58" t="str">
        <f t="shared" si="347"/>
        <v>-</v>
      </c>
      <c r="M4023" s="59">
        <f t="shared" si="345"/>
        <v>0</v>
      </c>
      <c r="N4023" s="59">
        <f t="shared" si="348"/>
        <v>0</v>
      </c>
      <c r="O4023" s="59">
        <f t="shared" si="346"/>
        <v>0</v>
      </c>
      <c r="P4023" s="59">
        <f t="shared" si="349"/>
        <v>0</v>
      </c>
    </row>
    <row r="4024" spans="12:16" ht="15" hidden="1" customHeight="1">
      <c r="L4024" s="58" t="str">
        <f t="shared" si="347"/>
        <v>-</v>
      </c>
      <c r="M4024" s="59">
        <f t="shared" si="345"/>
        <v>0</v>
      </c>
      <c r="N4024" s="59">
        <f t="shared" si="348"/>
        <v>0</v>
      </c>
      <c r="O4024" s="59">
        <f t="shared" si="346"/>
        <v>0</v>
      </c>
      <c r="P4024" s="59">
        <f t="shared" si="349"/>
        <v>0</v>
      </c>
    </row>
    <row r="4025" spans="12:16" ht="15" hidden="1" customHeight="1">
      <c r="L4025" s="58" t="str">
        <f t="shared" si="347"/>
        <v>-</v>
      </c>
      <c r="M4025" s="59">
        <f t="shared" si="345"/>
        <v>0</v>
      </c>
      <c r="N4025" s="59">
        <f t="shared" si="348"/>
        <v>0</v>
      </c>
      <c r="O4025" s="59">
        <f t="shared" si="346"/>
        <v>0</v>
      </c>
      <c r="P4025" s="59">
        <f t="shared" si="349"/>
        <v>0</v>
      </c>
    </row>
    <row r="4026" spans="12:16" ht="15" hidden="1" customHeight="1">
      <c r="L4026" s="58" t="str">
        <f t="shared" si="347"/>
        <v>-</v>
      </c>
      <c r="M4026" s="59">
        <f t="shared" si="345"/>
        <v>0</v>
      </c>
      <c r="N4026" s="59">
        <f t="shared" si="348"/>
        <v>0</v>
      </c>
      <c r="O4026" s="59">
        <f t="shared" si="346"/>
        <v>0</v>
      </c>
      <c r="P4026" s="59">
        <f t="shared" si="349"/>
        <v>0</v>
      </c>
    </row>
    <row r="4027" spans="12:16" ht="15" hidden="1" customHeight="1">
      <c r="L4027" s="58" t="str">
        <f t="shared" si="347"/>
        <v>-</v>
      </c>
      <c r="M4027" s="59">
        <f t="shared" si="345"/>
        <v>0</v>
      </c>
      <c r="N4027" s="59">
        <f t="shared" si="348"/>
        <v>0</v>
      </c>
      <c r="O4027" s="59">
        <f t="shared" si="346"/>
        <v>0</v>
      </c>
      <c r="P4027" s="59">
        <f t="shared" si="349"/>
        <v>0</v>
      </c>
    </row>
    <row r="4028" spans="12:16" ht="15" hidden="1" customHeight="1">
      <c r="L4028" s="58" t="str">
        <f t="shared" si="347"/>
        <v>-</v>
      </c>
      <c r="M4028" s="59">
        <f t="shared" si="345"/>
        <v>0</v>
      </c>
      <c r="N4028" s="59">
        <f t="shared" si="348"/>
        <v>0</v>
      </c>
      <c r="O4028" s="59">
        <f t="shared" si="346"/>
        <v>0</v>
      </c>
      <c r="P4028" s="59">
        <f t="shared" si="349"/>
        <v>0</v>
      </c>
    </row>
    <row r="4029" spans="12:16" ht="15" hidden="1" customHeight="1">
      <c r="L4029" s="58" t="str">
        <f t="shared" si="347"/>
        <v>-</v>
      </c>
      <c r="M4029" s="59">
        <f t="shared" si="345"/>
        <v>0</v>
      </c>
      <c r="N4029" s="59">
        <f t="shared" si="348"/>
        <v>0</v>
      </c>
      <c r="O4029" s="59">
        <f t="shared" si="346"/>
        <v>0</v>
      </c>
      <c r="P4029" s="59">
        <f t="shared" si="349"/>
        <v>0</v>
      </c>
    </row>
    <row r="4030" spans="12:16" ht="15" hidden="1" customHeight="1">
      <c r="L4030" s="58" t="str">
        <f t="shared" si="347"/>
        <v>-</v>
      </c>
      <c r="M4030" s="59">
        <f t="shared" si="345"/>
        <v>0</v>
      </c>
      <c r="N4030" s="59">
        <f t="shared" si="348"/>
        <v>0</v>
      </c>
      <c r="O4030" s="59">
        <f t="shared" si="346"/>
        <v>0</v>
      </c>
      <c r="P4030" s="59">
        <f t="shared" si="349"/>
        <v>0</v>
      </c>
    </row>
    <row r="4031" spans="12:16" ht="15" hidden="1" customHeight="1">
      <c r="L4031" s="58" t="str">
        <f t="shared" si="347"/>
        <v>-</v>
      </c>
      <c r="M4031" s="59">
        <f t="shared" si="345"/>
        <v>0</v>
      </c>
      <c r="N4031" s="59">
        <f t="shared" si="348"/>
        <v>0</v>
      </c>
      <c r="O4031" s="59">
        <f t="shared" si="346"/>
        <v>0</v>
      </c>
      <c r="P4031" s="59">
        <f t="shared" si="349"/>
        <v>0</v>
      </c>
    </row>
    <row r="4032" spans="12:16" ht="15" hidden="1" customHeight="1">
      <c r="L4032" s="58" t="str">
        <f t="shared" si="347"/>
        <v>-</v>
      </c>
      <c r="M4032" s="59">
        <f t="shared" si="345"/>
        <v>0</v>
      </c>
      <c r="N4032" s="59">
        <f t="shared" si="348"/>
        <v>0</v>
      </c>
      <c r="O4032" s="59">
        <f t="shared" si="346"/>
        <v>0</v>
      </c>
      <c r="P4032" s="59">
        <f t="shared" si="349"/>
        <v>0</v>
      </c>
    </row>
    <row r="4033" spans="12:16" ht="15" hidden="1" customHeight="1">
      <c r="L4033" s="58" t="str">
        <f t="shared" si="347"/>
        <v>-</v>
      </c>
      <c r="M4033" s="59">
        <f t="shared" si="345"/>
        <v>0</v>
      </c>
      <c r="N4033" s="59">
        <f t="shared" si="348"/>
        <v>0</v>
      </c>
      <c r="O4033" s="59">
        <f t="shared" si="346"/>
        <v>0</v>
      </c>
      <c r="P4033" s="59">
        <f t="shared" si="349"/>
        <v>0</v>
      </c>
    </row>
    <row r="4034" spans="12:16" ht="15" hidden="1" customHeight="1">
      <c r="L4034" s="58" t="str">
        <f t="shared" si="347"/>
        <v>-</v>
      </c>
      <c r="M4034" s="59">
        <f t="shared" si="345"/>
        <v>0</v>
      </c>
      <c r="N4034" s="59">
        <f t="shared" si="348"/>
        <v>0</v>
      </c>
      <c r="O4034" s="59">
        <f t="shared" si="346"/>
        <v>0</v>
      </c>
      <c r="P4034" s="59">
        <f t="shared" si="349"/>
        <v>0</v>
      </c>
    </row>
    <row r="4035" spans="12:16" ht="15" hidden="1" customHeight="1">
      <c r="L4035" s="58" t="str">
        <f t="shared" si="347"/>
        <v>-</v>
      </c>
      <c r="M4035" s="59">
        <f t="shared" si="345"/>
        <v>0</v>
      </c>
      <c r="N4035" s="59">
        <f t="shared" si="348"/>
        <v>0</v>
      </c>
      <c r="O4035" s="59">
        <f t="shared" si="346"/>
        <v>0</v>
      </c>
      <c r="P4035" s="59">
        <f t="shared" si="349"/>
        <v>0</v>
      </c>
    </row>
    <row r="4036" spans="12:16" ht="15" hidden="1" customHeight="1">
      <c r="L4036" s="58" t="str">
        <f t="shared" si="347"/>
        <v>-</v>
      </c>
      <c r="M4036" s="59">
        <f t="shared" si="345"/>
        <v>0</v>
      </c>
      <c r="N4036" s="59">
        <f t="shared" si="348"/>
        <v>0</v>
      </c>
      <c r="O4036" s="59">
        <f t="shared" si="346"/>
        <v>0</v>
      </c>
      <c r="P4036" s="59">
        <f t="shared" si="349"/>
        <v>0</v>
      </c>
    </row>
    <row r="4037" spans="12:16" ht="15" hidden="1" customHeight="1">
      <c r="L4037" s="58" t="str">
        <f t="shared" si="347"/>
        <v>-</v>
      </c>
      <c r="M4037" s="59">
        <f t="shared" si="345"/>
        <v>0</v>
      </c>
      <c r="N4037" s="59">
        <f t="shared" si="348"/>
        <v>0</v>
      </c>
      <c r="O4037" s="59">
        <f t="shared" si="346"/>
        <v>0</v>
      </c>
      <c r="P4037" s="59">
        <f t="shared" si="349"/>
        <v>0</v>
      </c>
    </row>
    <row r="4038" spans="12:16" ht="15" hidden="1" customHeight="1">
      <c r="L4038" s="58" t="str">
        <f t="shared" si="347"/>
        <v>-</v>
      </c>
      <c r="M4038" s="59">
        <f t="shared" si="345"/>
        <v>0</v>
      </c>
      <c r="N4038" s="59">
        <f t="shared" si="348"/>
        <v>0</v>
      </c>
      <c r="O4038" s="59">
        <f t="shared" si="346"/>
        <v>0</v>
      </c>
      <c r="P4038" s="59">
        <f t="shared" si="349"/>
        <v>0</v>
      </c>
    </row>
    <row r="4039" spans="12:16" ht="15" hidden="1" customHeight="1">
      <c r="L4039" s="58" t="str">
        <f t="shared" si="347"/>
        <v>-</v>
      </c>
      <c r="M4039" s="59">
        <f t="shared" si="345"/>
        <v>0</v>
      </c>
      <c r="N4039" s="59">
        <f t="shared" si="348"/>
        <v>0</v>
      </c>
      <c r="O4039" s="59">
        <f t="shared" si="346"/>
        <v>0</v>
      </c>
      <c r="P4039" s="59">
        <f t="shared" si="349"/>
        <v>0</v>
      </c>
    </row>
    <row r="4040" spans="12:16" ht="15" hidden="1" customHeight="1">
      <c r="L4040" s="58" t="str">
        <f t="shared" si="347"/>
        <v>-</v>
      </c>
      <c r="M4040" s="59">
        <f t="shared" si="345"/>
        <v>0</v>
      </c>
      <c r="N4040" s="59">
        <f t="shared" si="348"/>
        <v>0</v>
      </c>
      <c r="O4040" s="59">
        <f t="shared" si="346"/>
        <v>0</v>
      </c>
      <c r="P4040" s="59">
        <f t="shared" si="349"/>
        <v>0</v>
      </c>
    </row>
    <row r="4041" spans="12:16" ht="15" hidden="1" customHeight="1">
      <c r="L4041" s="58" t="str">
        <f t="shared" si="347"/>
        <v>-</v>
      </c>
      <c r="M4041" s="59">
        <f t="shared" si="345"/>
        <v>0</v>
      </c>
      <c r="N4041" s="59">
        <f t="shared" si="348"/>
        <v>0</v>
      </c>
      <c r="O4041" s="59">
        <f t="shared" si="346"/>
        <v>0</v>
      </c>
      <c r="P4041" s="59">
        <f t="shared" si="349"/>
        <v>0</v>
      </c>
    </row>
    <row r="4042" spans="12:16" ht="15" hidden="1" customHeight="1">
      <c r="L4042" s="58" t="str">
        <f t="shared" si="347"/>
        <v>-</v>
      </c>
      <c r="M4042" s="59">
        <f t="shared" si="345"/>
        <v>0</v>
      </c>
      <c r="N4042" s="59">
        <f t="shared" si="348"/>
        <v>0</v>
      </c>
      <c r="O4042" s="59">
        <f t="shared" si="346"/>
        <v>0</v>
      </c>
      <c r="P4042" s="59">
        <f t="shared" si="349"/>
        <v>0</v>
      </c>
    </row>
    <row r="4043" spans="12:16" ht="15" hidden="1" customHeight="1">
      <c r="L4043" s="58" t="str">
        <f t="shared" si="347"/>
        <v>-</v>
      </c>
      <c r="M4043" s="59">
        <f t="shared" si="345"/>
        <v>0</v>
      </c>
      <c r="N4043" s="59">
        <f t="shared" si="348"/>
        <v>0</v>
      </c>
      <c r="O4043" s="59">
        <f t="shared" si="346"/>
        <v>0</v>
      </c>
      <c r="P4043" s="59">
        <f t="shared" si="349"/>
        <v>0</v>
      </c>
    </row>
    <row r="4044" spans="12:16" ht="15" hidden="1" customHeight="1">
      <c r="L4044" s="58" t="str">
        <f t="shared" si="347"/>
        <v>-</v>
      </c>
      <c r="M4044" s="59">
        <f t="shared" si="345"/>
        <v>0</v>
      </c>
      <c r="N4044" s="59">
        <f t="shared" si="348"/>
        <v>0</v>
      </c>
      <c r="O4044" s="59">
        <f t="shared" si="346"/>
        <v>0</v>
      </c>
      <c r="P4044" s="59">
        <f t="shared" si="349"/>
        <v>0</v>
      </c>
    </row>
    <row r="4045" spans="12:16" ht="15" hidden="1" customHeight="1">
      <c r="L4045" s="58" t="str">
        <f t="shared" si="347"/>
        <v>-</v>
      </c>
      <c r="M4045" s="59">
        <f t="shared" si="345"/>
        <v>0</v>
      </c>
      <c r="N4045" s="59">
        <f t="shared" si="348"/>
        <v>0</v>
      </c>
      <c r="O4045" s="59">
        <f t="shared" si="346"/>
        <v>0</v>
      </c>
      <c r="P4045" s="59">
        <f t="shared" si="349"/>
        <v>0</v>
      </c>
    </row>
    <row r="4046" spans="12:16" ht="15" hidden="1" customHeight="1">
      <c r="L4046" s="58" t="str">
        <f t="shared" si="347"/>
        <v>-</v>
      </c>
      <c r="M4046" s="59">
        <f t="shared" si="345"/>
        <v>0</v>
      </c>
      <c r="N4046" s="59">
        <f t="shared" si="348"/>
        <v>0</v>
      </c>
      <c r="O4046" s="59">
        <f t="shared" si="346"/>
        <v>0</v>
      </c>
      <c r="P4046" s="59">
        <f t="shared" si="349"/>
        <v>0</v>
      </c>
    </row>
    <row r="4047" spans="12:16" ht="15" hidden="1" customHeight="1">
      <c r="L4047" s="58" t="str">
        <f t="shared" si="347"/>
        <v>-</v>
      </c>
      <c r="M4047" s="59">
        <f t="shared" si="345"/>
        <v>0</v>
      </c>
      <c r="N4047" s="59">
        <f t="shared" si="348"/>
        <v>0</v>
      </c>
      <c r="O4047" s="59">
        <f t="shared" si="346"/>
        <v>0</v>
      </c>
      <c r="P4047" s="59">
        <f t="shared" si="349"/>
        <v>0</v>
      </c>
    </row>
    <row r="4048" spans="12:16" ht="15" hidden="1" customHeight="1">
      <c r="L4048" s="58" t="str">
        <f t="shared" si="347"/>
        <v>-</v>
      </c>
      <c r="M4048" s="59">
        <f t="shared" si="345"/>
        <v>0</v>
      </c>
      <c r="N4048" s="59">
        <f t="shared" si="348"/>
        <v>0</v>
      </c>
      <c r="O4048" s="59">
        <f t="shared" si="346"/>
        <v>0</v>
      </c>
      <c r="P4048" s="59">
        <f t="shared" si="349"/>
        <v>0</v>
      </c>
    </row>
    <row r="4049" spans="12:16" ht="15" hidden="1" customHeight="1">
      <c r="L4049" s="58" t="str">
        <f t="shared" si="347"/>
        <v>-</v>
      </c>
      <c r="M4049" s="59">
        <f t="shared" si="345"/>
        <v>0</v>
      </c>
      <c r="N4049" s="59">
        <f t="shared" si="348"/>
        <v>0</v>
      </c>
      <c r="O4049" s="59">
        <f t="shared" si="346"/>
        <v>0</v>
      </c>
      <c r="P4049" s="59">
        <f t="shared" si="349"/>
        <v>0</v>
      </c>
    </row>
    <row r="4050" spans="12:16" ht="15" hidden="1" customHeight="1">
      <c r="L4050" s="58" t="str">
        <f t="shared" si="347"/>
        <v>-</v>
      </c>
      <c r="M4050" s="59">
        <f t="shared" si="345"/>
        <v>0</v>
      </c>
      <c r="N4050" s="59">
        <f t="shared" si="348"/>
        <v>0</v>
      </c>
      <c r="O4050" s="59">
        <f t="shared" si="346"/>
        <v>0</v>
      </c>
      <c r="P4050" s="59">
        <f t="shared" si="349"/>
        <v>0</v>
      </c>
    </row>
    <row r="4051" spans="12:16" ht="15" hidden="1" customHeight="1">
      <c r="L4051" s="58" t="str">
        <f t="shared" si="347"/>
        <v>-</v>
      </c>
      <c r="M4051" s="59">
        <f t="shared" ref="M4051:M4114" si="350">IFERROR(VLOOKUP(L4051,$B$19:$E$80,4,FALSE),0)</f>
        <v>0</v>
      </c>
      <c r="N4051" s="59">
        <f t="shared" si="348"/>
        <v>0</v>
      </c>
      <c r="O4051" s="59">
        <f t="shared" ref="O4051:O4114" si="351">IFERROR(IF(ISNUMBER(N4050),N4050,$E$8)*IF(L4051&gt;=$J$8,$E$12,$E$12)/IF(MOD(YEAR(L4051),4),365,366)*IF(ISBLANK(L4050),L4051-$F$5,L4051-L4050),0)</f>
        <v>0</v>
      </c>
      <c r="P4051" s="59">
        <f t="shared" si="349"/>
        <v>0</v>
      </c>
    </row>
    <row r="4052" spans="12:16" ht="15" hidden="1" customHeight="1">
      <c r="L4052" s="58" t="str">
        <f t="shared" si="347"/>
        <v>-</v>
      </c>
      <c r="M4052" s="59">
        <f t="shared" si="350"/>
        <v>0</v>
      </c>
      <c r="N4052" s="59">
        <f t="shared" si="348"/>
        <v>0</v>
      </c>
      <c r="O4052" s="59">
        <f t="shared" si="351"/>
        <v>0</v>
      </c>
      <c r="P4052" s="59">
        <f t="shared" si="349"/>
        <v>0</v>
      </c>
    </row>
    <row r="4053" spans="12:16" ht="15" hidden="1" customHeight="1">
      <c r="L4053" s="58" t="str">
        <f t="shared" si="347"/>
        <v>-</v>
      </c>
      <c r="M4053" s="59">
        <f t="shared" si="350"/>
        <v>0</v>
      </c>
      <c r="N4053" s="59">
        <f t="shared" si="348"/>
        <v>0</v>
      </c>
      <c r="O4053" s="59">
        <f t="shared" si="351"/>
        <v>0</v>
      </c>
      <c r="P4053" s="59">
        <f t="shared" si="349"/>
        <v>0</v>
      </c>
    </row>
    <row r="4054" spans="12:16" ht="15" hidden="1" customHeight="1">
      <c r="L4054" s="58" t="str">
        <f t="shared" si="347"/>
        <v>-</v>
      </c>
      <c r="M4054" s="59">
        <f t="shared" si="350"/>
        <v>0</v>
      </c>
      <c r="N4054" s="59">
        <f t="shared" si="348"/>
        <v>0</v>
      </c>
      <c r="O4054" s="59">
        <f t="shared" si="351"/>
        <v>0</v>
      </c>
      <c r="P4054" s="59">
        <f t="shared" si="349"/>
        <v>0</v>
      </c>
    </row>
    <row r="4055" spans="12:16" ht="15" hidden="1" customHeight="1">
      <c r="L4055" s="58" t="str">
        <f t="shared" si="347"/>
        <v>-</v>
      </c>
      <c r="M4055" s="59">
        <f t="shared" si="350"/>
        <v>0</v>
      </c>
      <c r="N4055" s="59">
        <f t="shared" si="348"/>
        <v>0</v>
      </c>
      <c r="O4055" s="59">
        <f t="shared" si="351"/>
        <v>0</v>
      </c>
      <c r="P4055" s="59">
        <f t="shared" si="349"/>
        <v>0</v>
      </c>
    </row>
    <row r="4056" spans="12:16" ht="15" hidden="1" customHeight="1">
      <c r="L4056" s="58" t="str">
        <f t="shared" si="347"/>
        <v>-</v>
      </c>
      <c r="M4056" s="59">
        <f t="shared" si="350"/>
        <v>0</v>
      </c>
      <c r="N4056" s="59">
        <f t="shared" si="348"/>
        <v>0</v>
      </c>
      <c r="O4056" s="59">
        <f t="shared" si="351"/>
        <v>0</v>
      </c>
      <c r="P4056" s="59">
        <f t="shared" si="349"/>
        <v>0</v>
      </c>
    </row>
    <row r="4057" spans="12:16" ht="15" hidden="1" customHeight="1">
      <c r="L4057" s="58" t="str">
        <f t="shared" si="347"/>
        <v>-</v>
      </c>
      <c r="M4057" s="59">
        <f t="shared" si="350"/>
        <v>0</v>
      </c>
      <c r="N4057" s="59">
        <f t="shared" si="348"/>
        <v>0</v>
      </c>
      <c r="O4057" s="59">
        <f t="shared" si="351"/>
        <v>0</v>
      </c>
      <c r="P4057" s="59">
        <f t="shared" si="349"/>
        <v>0</v>
      </c>
    </row>
    <row r="4058" spans="12:16" ht="15" hidden="1" customHeight="1">
      <c r="L4058" s="58" t="str">
        <f t="shared" si="347"/>
        <v>-</v>
      </c>
      <c r="M4058" s="59">
        <f t="shared" si="350"/>
        <v>0</v>
      </c>
      <c r="N4058" s="59">
        <f t="shared" si="348"/>
        <v>0</v>
      </c>
      <c r="O4058" s="59">
        <f t="shared" si="351"/>
        <v>0</v>
      </c>
      <c r="P4058" s="59">
        <f t="shared" si="349"/>
        <v>0</v>
      </c>
    </row>
    <row r="4059" spans="12:16" ht="15" hidden="1" customHeight="1">
      <c r="L4059" s="58" t="str">
        <f t="shared" si="347"/>
        <v>-</v>
      </c>
      <c r="M4059" s="59">
        <f t="shared" si="350"/>
        <v>0</v>
      </c>
      <c r="N4059" s="59">
        <f t="shared" si="348"/>
        <v>0</v>
      </c>
      <c r="O4059" s="59">
        <f t="shared" si="351"/>
        <v>0</v>
      </c>
      <c r="P4059" s="59">
        <f t="shared" si="349"/>
        <v>0</v>
      </c>
    </row>
    <row r="4060" spans="12:16" ht="15" hidden="1" customHeight="1">
      <c r="L4060" s="58" t="str">
        <f t="shared" si="347"/>
        <v>-</v>
      </c>
      <c r="M4060" s="59">
        <f t="shared" si="350"/>
        <v>0</v>
      </c>
      <c r="N4060" s="59">
        <f t="shared" si="348"/>
        <v>0</v>
      </c>
      <c r="O4060" s="59">
        <f t="shared" si="351"/>
        <v>0</v>
      </c>
      <c r="P4060" s="59">
        <f t="shared" si="349"/>
        <v>0</v>
      </c>
    </row>
    <row r="4061" spans="12:16" ht="15" hidden="1" customHeight="1">
      <c r="L4061" s="58" t="str">
        <f t="shared" si="347"/>
        <v>-</v>
      </c>
      <c r="M4061" s="59">
        <f t="shared" si="350"/>
        <v>0</v>
      </c>
      <c r="N4061" s="59">
        <f t="shared" si="348"/>
        <v>0</v>
      </c>
      <c r="O4061" s="59">
        <f t="shared" si="351"/>
        <v>0</v>
      </c>
      <c r="P4061" s="59">
        <f t="shared" si="349"/>
        <v>0</v>
      </c>
    </row>
    <row r="4062" spans="12:16" ht="15" hidden="1" customHeight="1">
      <c r="L4062" s="58" t="str">
        <f t="shared" si="347"/>
        <v>-</v>
      </c>
      <c r="M4062" s="59">
        <f t="shared" si="350"/>
        <v>0</v>
      </c>
      <c r="N4062" s="59">
        <f t="shared" si="348"/>
        <v>0</v>
      </c>
      <c r="O4062" s="59">
        <f t="shared" si="351"/>
        <v>0</v>
      </c>
      <c r="P4062" s="59">
        <f t="shared" si="349"/>
        <v>0</v>
      </c>
    </row>
    <row r="4063" spans="12:16" ht="15" hidden="1" customHeight="1">
      <c r="L4063" s="58" t="str">
        <f t="shared" si="347"/>
        <v>-</v>
      </c>
      <c r="M4063" s="59">
        <f t="shared" si="350"/>
        <v>0</v>
      </c>
      <c r="N4063" s="59">
        <f t="shared" si="348"/>
        <v>0</v>
      </c>
      <c r="O4063" s="59">
        <f t="shared" si="351"/>
        <v>0</v>
      </c>
      <c r="P4063" s="59">
        <f t="shared" si="349"/>
        <v>0</v>
      </c>
    </row>
    <row r="4064" spans="12:16" ht="15" hidden="1" customHeight="1">
      <c r="L4064" s="58" t="str">
        <f t="shared" si="347"/>
        <v>-</v>
      </c>
      <c r="M4064" s="59">
        <f t="shared" si="350"/>
        <v>0</v>
      </c>
      <c r="N4064" s="59">
        <f t="shared" si="348"/>
        <v>0</v>
      </c>
      <c r="O4064" s="59">
        <f t="shared" si="351"/>
        <v>0</v>
      </c>
      <c r="P4064" s="59">
        <f t="shared" si="349"/>
        <v>0</v>
      </c>
    </row>
    <row r="4065" spans="12:16" ht="15" hidden="1" customHeight="1">
      <c r="L4065" s="58" t="str">
        <f t="shared" ref="L4065:L4128" si="352">IFERROR(IF(MAX(L4064+1,$F$5+1)&gt;Дата_погашения_Займа,"-",MAX(L4064+1,$F$5+1)),"-")</f>
        <v>-</v>
      </c>
      <c r="M4065" s="59">
        <f t="shared" si="350"/>
        <v>0</v>
      </c>
      <c r="N4065" s="59">
        <f t="shared" si="348"/>
        <v>0</v>
      </c>
      <c r="O4065" s="59">
        <f t="shared" si="351"/>
        <v>0</v>
      </c>
      <c r="P4065" s="59">
        <f t="shared" si="349"/>
        <v>0</v>
      </c>
    </row>
    <row r="4066" spans="12:16" ht="15" hidden="1" customHeight="1">
      <c r="L4066" s="58" t="str">
        <f t="shared" si="352"/>
        <v>-</v>
      </c>
      <c r="M4066" s="59">
        <f t="shared" si="350"/>
        <v>0</v>
      </c>
      <c r="N4066" s="59">
        <f t="shared" si="348"/>
        <v>0</v>
      </c>
      <c r="O4066" s="59">
        <f t="shared" si="351"/>
        <v>0</v>
      </c>
      <c r="P4066" s="59">
        <f t="shared" si="349"/>
        <v>0</v>
      </c>
    </row>
    <row r="4067" spans="12:16" ht="15" hidden="1" customHeight="1">
      <c r="L4067" s="58" t="str">
        <f t="shared" si="352"/>
        <v>-</v>
      </c>
      <c r="M4067" s="59">
        <f t="shared" si="350"/>
        <v>0</v>
      </c>
      <c r="N4067" s="59">
        <f t="shared" si="348"/>
        <v>0</v>
      </c>
      <c r="O4067" s="59">
        <f t="shared" si="351"/>
        <v>0</v>
      </c>
      <c r="P4067" s="59">
        <f t="shared" si="349"/>
        <v>0</v>
      </c>
    </row>
    <row r="4068" spans="12:16" ht="15" hidden="1" customHeight="1">
      <c r="L4068" s="58" t="str">
        <f t="shared" si="352"/>
        <v>-</v>
      </c>
      <c r="M4068" s="59">
        <f t="shared" si="350"/>
        <v>0</v>
      </c>
      <c r="N4068" s="59">
        <f t="shared" si="348"/>
        <v>0</v>
      </c>
      <c r="O4068" s="59">
        <f t="shared" si="351"/>
        <v>0</v>
      </c>
      <c r="P4068" s="59">
        <f t="shared" si="349"/>
        <v>0</v>
      </c>
    </row>
    <row r="4069" spans="12:16" ht="15" hidden="1" customHeight="1">
      <c r="L4069" s="58" t="str">
        <f t="shared" si="352"/>
        <v>-</v>
      </c>
      <c r="M4069" s="59">
        <f t="shared" si="350"/>
        <v>0</v>
      </c>
      <c r="N4069" s="59">
        <f t="shared" si="348"/>
        <v>0</v>
      </c>
      <c r="O4069" s="59">
        <f t="shared" si="351"/>
        <v>0</v>
      </c>
      <c r="P4069" s="59">
        <f t="shared" si="349"/>
        <v>0</v>
      </c>
    </row>
    <row r="4070" spans="12:16" ht="15" hidden="1" customHeight="1">
      <c r="L4070" s="58" t="str">
        <f t="shared" si="352"/>
        <v>-</v>
      </c>
      <c r="M4070" s="59">
        <f t="shared" si="350"/>
        <v>0</v>
      </c>
      <c r="N4070" s="59">
        <f t="shared" si="348"/>
        <v>0</v>
      </c>
      <c r="O4070" s="59">
        <f t="shared" si="351"/>
        <v>0</v>
      </c>
      <c r="P4070" s="59">
        <f t="shared" si="349"/>
        <v>0</v>
      </c>
    </row>
    <row r="4071" spans="12:16" ht="15" hidden="1" customHeight="1">
      <c r="L4071" s="58" t="str">
        <f t="shared" si="352"/>
        <v>-</v>
      </c>
      <c r="M4071" s="59">
        <f t="shared" si="350"/>
        <v>0</v>
      </c>
      <c r="N4071" s="59">
        <f t="shared" si="348"/>
        <v>0</v>
      </c>
      <c r="O4071" s="59">
        <f t="shared" si="351"/>
        <v>0</v>
      </c>
      <c r="P4071" s="59">
        <f t="shared" si="349"/>
        <v>0</v>
      </c>
    </row>
    <row r="4072" spans="12:16" ht="15" hidden="1" customHeight="1">
      <c r="L4072" s="58" t="str">
        <f t="shared" si="352"/>
        <v>-</v>
      </c>
      <c r="M4072" s="59">
        <f t="shared" si="350"/>
        <v>0</v>
      </c>
      <c r="N4072" s="59">
        <f t="shared" si="348"/>
        <v>0</v>
      </c>
      <c r="O4072" s="59">
        <f t="shared" si="351"/>
        <v>0</v>
      </c>
      <c r="P4072" s="59">
        <f t="shared" si="349"/>
        <v>0</v>
      </c>
    </row>
    <row r="4073" spans="12:16" ht="15" hidden="1" customHeight="1">
      <c r="L4073" s="58" t="str">
        <f t="shared" si="352"/>
        <v>-</v>
      </c>
      <c r="M4073" s="59">
        <f t="shared" si="350"/>
        <v>0</v>
      </c>
      <c r="N4073" s="59">
        <f t="shared" ref="N4073:N4136" si="353">IF(ISNUMBER(N4072),N4072-M4073,$E$8)</f>
        <v>0</v>
      </c>
      <c r="O4073" s="59">
        <f t="shared" si="351"/>
        <v>0</v>
      </c>
      <c r="P4073" s="59">
        <f t="shared" ref="P4073:P4136" si="354">IFERROR(IF(ISNUMBER(N4072),N4072,$E$8)*3%/IF(MOD(YEAR(L4073),4),365,366)*IF(ISBLANK(L4072),(L4073-$F$5),L4073-L4072),0)</f>
        <v>0</v>
      </c>
    </row>
    <row r="4074" spans="12:16" ht="15" hidden="1" customHeight="1">
      <c r="L4074" s="58" t="str">
        <f t="shared" si="352"/>
        <v>-</v>
      </c>
      <c r="M4074" s="59">
        <f t="shared" si="350"/>
        <v>0</v>
      </c>
      <c r="N4074" s="59">
        <f t="shared" si="353"/>
        <v>0</v>
      </c>
      <c r="O4074" s="59">
        <f t="shared" si="351"/>
        <v>0</v>
      </c>
      <c r="P4074" s="59">
        <f t="shared" si="354"/>
        <v>0</v>
      </c>
    </row>
    <row r="4075" spans="12:16" ht="15" hidden="1" customHeight="1">
      <c r="L4075" s="58" t="str">
        <f t="shared" si="352"/>
        <v>-</v>
      </c>
      <c r="M4075" s="59">
        <f t="shared" si="350"/>
        <v>0</v>
      </c>
      <c r="N4075" s="59">
        <f t="shared" si="353"/>
        <v>0</v>
      </c>
      <c r="O4075" s="59">
        <f t="shared" si="351"/>
        <v>0</v>
      </c>
      <c r="P4075" s="59">
        <f t="shared" si="354"/>
        <v>0</v>
      </c>
    </row>
    <row r="4076" spans="12:16" ht="15" hidden="1" customHeight="1">
      <c r="L4076" s="58" t="str">
        <f t="shared" si="352"/>
        <v>-</v>
      </c>
      <c r="M4076" s="59">
        <f t="shared" si="350"/>
        <v>0</v>
      </c>
      <c r="N4076" s="59">
        <f t="shared" si="353"/>
        <v>0</v>
      </c>
      <c r="O4076" s="59">
        <f t="shared" si="351"/>
        <v>0</v>
      </c>
      <c r="P4076" s="59">
        <f t="shared" si="354"/>
        <v>0</v>
      </c>
    </row>
    <row r="4077" spans="12:16" ht="15" hidden="1" customHeight="1">
      <c r="L4077" s="58" t="str">
        <f t="shared" si="352"/>
        <v>-</v>
      </c>
      <c r="M4077" s="59">
        <f t="shared" si="350"/>
        <v>0</v>
      </c>
      <c r="N4077" s="59">
        <f t="shared" si="353"/>
        <v>0</v>
      </c>
      <c r="O4077" s="59">
        <f t="shared" si="351"/>
        <v>0</v>
      </c>
      <c r="P4077" s="59">
        <f t="shared" si="354"/>
        <v>0</v>
      </c>
    </row>
    <row r="4078" spans="12:16" ht="15" hidden="1" customHeight="1">
      <c r="L4078" s="58" t="str">
        <f t="shared" si="352"/>
        <v>-</v>
      </c>
      <c r="M4078" s="59">
        <f t="shared" si="350"/>
        <v>0</v>
      </c>
      <c r="N4078" s="59">
        <f t="shared" si="353"/>
        <v>0</v>
      </c>
      <c r="O4078" s="59">
        <f t="shared" si="351"/>
        <v>0</v>
      </c>
      <c r="P4078" s="59">
        <f t="shared" si="354"/>
        <v>0</v>
      </c>
    </row>
    <row r="4079" spans="12:16" ht="15" hidden="1" customHeight="1">
      <c r="L4079" s="58" t="str">
        <f t="shared" si="352"/>
        <v>-</v>
      </c>
      <c r="M4079" s="59">
        <f t="shared" si="350"/>
        <v>0</v>
      </c>
      <c r="N4079" s="59">
        <f t="shared" si="353"/>
        <v>0</v>
      </c>
      <c r="O4079" s="59">
        <f t="shared" si="351"/>
        <v>0</v>
      </c>
      <c r="P4079" s="59">
        <f t="shared" si="354"/>
        <v>0</v>
      </c>
    </row>
    <row r="4080" spans="12:16" ht="15" hidden="1" customHeight="1">
      <c r="L4080" s="58" t="str">
        <f t="shared" si="352"/>
        <v>-</v>
      </c>
      <c r="M4080" s="59">
        <f t="shared" si="350"/>
        <v>0</v>
      </c>
      <c r="N4080" s="59">
        <f t="shared" si="353"/>
        <v>0</v>
      </c>
      <c r="O4080" s="59">
        <f t="shared" si="351"/>
        <v>0</v>
      </c>
      <c r="P4080" s="59">
        <f t="shared" si="354"/>
        <v>0</v>
      </c>
    </row>
    <row r="4081" spans="12:16" ht="15" hidden="1" customHeight="1">
      <c r="L4081" s="58" t="str">
        <f t="shared" si="352"/>
        <v>-</v>
      </c>
      <c r="M4081" s="59">
        <f t="shared" si="350"/>
        <v>0</v>
      </c>
      <c r="N4081" s="59">
        <f t="shared" si="353"/>
        <v>0</v>
      </c>
      <c r="O4081" s="59">
        <f t="shared" si="351"/>
        <v>0</v>
      </c>
      <c r="P4081" s="59">
        <f t="shared" si="354"/>
        <v>0</v>
      </c>
    </row>
    <row r="4082" spans="12:16" ht="15" hidden="1" customHeight="1">
      <c r="L4082" s="58" t="str">
        <f t="shared" si="352"/>
        <v>-</v>
      </c>
      <c r="M4082" s="59">
        <f t="shared" si="350"/>
        <v>0</v>
      </c>
      <c r="N4082" s="59">
        <f t="shared" si="353"/>
        <v>0</v>
      </c>
      <c r="O4082" s="59">
        <f t="shared" si="351"/>
        <v>0</v>
      </c>
      <c r="P4082" s="59">
        <f t="shared" si="354"/>
        <v>0</v>
      </c>
    </row>
    <row r="4083" spans="12:16" ht="15" hidden="1" customHeight="1">
      <c r="L4083" s="58" t="str">
        <f t="shared" si="352"/>
        <v>-</v>
      </c>
      <c r="M4083" s="59">
        <f t="shared" si="350"/>
        <v>0</v>
      </c>
      <c r="N4083" s="59">
        <f t="shared" si="353"/>
        <v>0</v>
      </c>
      <c r="O4083" s="59">
        <f t="shared" si="351"/>
        <v>0</v>
      </c>
      <c r="P4083" s="59">
        <f t="shared" si="354"/>
        <v>0</v>
      </c>
    </row>
    <row r="4084" spans="12:16" ht="15" hidden="1" customHeight="1">
      <c r="L4084" s="58" t="str">
        <f t="shared" si="352"/>
        <v>-</v>
      </c>
      <c r="M4084" s="59">
        <f t="shared" si="350"/>
        <v>0</v>
      </c>
      <c r="N4084" s="59">
        <f t="shared" si="353"/>
        <v>0</v>
      </c>
      <c r="O4084" s="59">
        <f t="shared" si="351"/>
        <v>0</v>
      </c>
      <c r="P4084" s="59">
        <f t="shared" si="354"/>
        <v>0</v>
      </c>
    </row>
    <row r="4085" spans="12:16" ht="15" hidden="1" customHeight="1">
      <c r="L4085" s="58" t="str">
        <f t="shared" si="352"/>
        <v>-</v>
      </c>
      <c r="M4085" s="59">
        <f t="shared" si="350"/>
        <v>0</v>
      </c>
      <c r="N4085" s="59">
        <f t="shared" si="353"/>
        <v>0</v>
      </c>
      <c r="O4085" s="59">
        <f t="shared" si="351"/>
        <v>0</v>
      </c>
      <c r="P4085" s="59">
        <f t="shared" si="354"/>
        <v>0</v>
      </c>
    </row>
    <row r="4086" spans="12:16" ht="15" hidden="1" customHeight="1">
      <c r="L4086" s="58" t="str">
        <f t="shared" si="352"/>
        <v>-</v>
      </c>
      <c r="M4086" s="59">
        <f t="shared" si="350"/>
        <v>0</v>
      </c>
      <c r="N4086" s="59">
        <f t="shared" si="353"/>
        <v>0</v>
      </c>
      <c r="O4086" s="59">
        <f t="shared" si="351"/>
        <v>0</v>
      </c>
      <c r="P4086" s="59">
        <f t="shared" si="354"/>
        <v>0</v>
      </c>
    </row>
    <row r="4087" spans="12:16" ht="15" hidden="1" customHeight="1">
      <c r="L4087" s="58" t="str">
        <f t="shared" si="352"/>
        <v>-</v>
      </c>
      <c r="M4087" s="59">
        <f t="shared" si="350"/>
        <v>0</v>
      </c>
      <c r="N4087" s="59">
        <f t="shared" si="353"/>
        <v>0</v>
      </c>
      <c r="O4087" s="59">
        <f t="shared" si="351"/>
        <v>0</v>
      </c>
      <c r="P4087" s="59">
        <f t="shared" si="354"/>
        <v>0</v>
      </c>
    </row>
    <row r="4088" spans="12:16" ht="15" hidden="1" customHeight="1">
      <c r="L4088" s="58" t="str">
        <f t="shared" si="352"/>
        <v>-</v>
      </c>
      <c r="M4088" s="59">
        <f t="shared" si="350"/>
        <v>0</v>
      </c>
      <c r="N4088" s="59">
        <f t="shared" si="353"/>
        <v>0</v>
      </c>
      <c r="O4088" s="59">
        <f t="shared" si="351"/>
        <v>0</v>
      </c>
      <c r="P4088" s="59">
        <f t="shared" si="354"/>
        <v>0</v>
      </c>
    </row>
    <row r="4089" spans="12:16" ht="15" hidden="1" customHeight="1">
      <c r="L4089" s="58" t="str">
        <f t="shared" si="352"/>
        <v>-</v>
      </c>
      <c r="M4089" s="59">
        <f t="shared" si="350"/>
        <v>0</v>
      </c>
      <c r="N4089" s="59">
        <f t="shared" si="353"/>
        <v>0</v>
      </c>
      <c r="O4089" s="59">
        <f t="shared" si="351"/>
        <v>0</v>
      </c>
      <c r="P4089" s="59">
        <f t="shared" si="354"/>
        <v>0</v>
      </c>
    </row>
    <row r="4090" spans="12:16" ht="15" hidden="1" customHeight="1">
      <c r="L4090" s="58" t="str">
        <f t="shared" si="352"/>
        <v>-</v>
      </c>
      <c r="M4090" s="59">
        <f t="shared" si="350"/>
        <v>0</v>
      </c>
      <c r="N4090" s="59">
        <f t="shared" si="353"/>
        <v>0</v>
      </c>
      <c r="O4090" s="59">
        <f t="shared" si="351"/>
        <v>0</v>
      </c>
      <c r="P4090" s="59">
        <f t="shared" si="354"/>
        <v>0</v>
      </c>
    </row>
    <row r="4091" spans="12:16" ht="15" hidden="1" customHeight="1">
      <c r="L4091" s="58" t="str">
        <f t="shared" si="352"/>
        <v>-</v>
      </c>
      <c r="M4091" s="59">
        <f t="shared" si="350"/>
        <v>0</v>
      </c>
      <c r="N4091" s="59">
        <f t="shared" si="353"/>
        <v>0</v>
      </c>
      <c r="O4091" s="59">
        <f t="shared" si="351"/>
        <v>0</v>
      </c>
      <c r="P4091" s="59">
        <f t="shared" si="354"/>
        <v>0</v>
      </c>
    </row>
    <row r="4092" spans="12:16" ht="15" hidden="1" customHeight="1">
      <c r="L4092" s="58" t="str">
        <f t="shared" si="352"/>
        <v>-</v>
      </c>
      <c r="M4092" s="59">
        <f t="shared" si="350"/>
        <v>0</v>
      </c>
      <c r="N4092" s="59">
        <f t="shared" si="353"/>
        <v>0</v>
      </c>
      <c r="O4092" s="59">
        <f t="shared" si="351"/>
        <v>0</v>
      </c>
      <c r="P4092" s="59">
        <f t="shared" si="354"/>
        <v>0</v>
      </c>
    </row>
    <row r="4093" spans="12:16" ht="15" hidden="1" customHeight="1">
      <c r="L4093" s="58" t="str">
        <f t="shared" si="352"/>
        <v>-</v>
      </c>
      <c r="M4093" s="59">
        <f t="shared" si="350"/>
        <v>0</v>
      </c>
      <c r="N4093" s="59">
        <f t="shared" si="353"/>
        <v>0</v>
      </c>
      <c r="O4093" s="59">
        <f t="shared" si="351"/>
        <v>0</v>
      </c>
      <c r="P4093" s="59">
        <f t="shared" si="354"/>
        <v>0</v>
      </c>
    </row>
    <row r="4094" spans="12:16" ht="15" hidden="1" customHeight="1">
      <c r="L4094" s="58" t="str">
        <f t="shared" si="352"/>
        <v>-</v>
      </c>
      <c r="M4094" s="59">
        <f t="shared" si="350"/>
        <v>0</v>
      </c>
      <c r="N4094" s="59">
        <f t="shared" si="353"/>
        <v>0</v>
      </c>
      <c r="O4094" s="59">
        <f t="shared" si="351"/>
        <v>0</v>
      </c>
      <c r="P4094" s="59">
        <f t="shared" si="354"/>
        <v>0</v>
      </c>
    </row>
    <row r="4095" spans="12:16" ht="15" hidden="1" customHeight="1">
      <c r="L4095" s="58" t="str">
        <f t="shared" si="352"/>
        <v>-</v>
      </c>
      <c r="M4095" s="59">
        <f t="shared" si="350"/>
        <v>0</v>
      </c>
      <c r="N4095" s="59">
        <f t="shared" si="353"/>
        <v>0</v>
      </c>
      <c r="O4095" s="59">
        <f t="shared" si="351"/>
        <v>0</v>
      </c>
      <c r="P4095" s="59">
        <f t="shared" si="354"/>
        <v>0</v>
      </c>
    </row>
    <row r="4096" spans="12:16" ht="15" hidden="1" customHeight="1">
      <c r="L4096" s="58" t="str">
        <f t="shared" si="352"/>
        <v>-</v>
      </c>
      <c r="M4096" s="59">
        <f t="shared" si="350"/>
        <v>0</v>
      </c>
      <c r="N4096" s="59">
        <f t="shared" si="353"/>
        <v>0</v>
      </c>
      <c r="O4096" s="59">
        <f t="shared" si="351"/>
        <v>0</v>
      </c>
      <c r="P4096" s="59">
        <f t="shared" si="354"/>
        <v>0</v>
      </c>
    </row>
    <row r="4097" spans="12:16" ht="15" hidden="1" customHeight="1">
      <c r="L4097" s="58" t="str">
        <f t="shared" si="352"/>
        <v>-</v>
      </c>
      <c r="M4097" s="59">
        <f t="shared" si="350"/>
        <v>0</v>
      </c>
      <c r="N4097" s="59">
        <f t="shared" si="353"/>
        <v>0</v>
      </c>
      <c r="O4097" s="59">
        <f t="shared" si="351"/>
        <v>0</v>
      </c>
      <c r="P4097" s="59">
        <f t="shared" si="354"/>
        <v>0</v>
      </c>
    </row>
    <row r="4098" spans="12:16" ht="15" hidden="1" customHeight="1">
      <c r="L4098" s="58" t="str">
        <f t="shared" si="352"/>
        <v>-</v>
      </c>
      <c r="M4098" s="59">
        <f t="shared" si="350"/>
        <v>0</v>
      </c>
      <c r="N4098" s="59">
        <f t="shared" si="353"/>
        <v>0</v>
      </c>
      <c r="O4098" s="59">
        <f t="shared" si="351"/>
        <v>0</v>
      </c>
      <c r="P4098" s="59">
        <f t="shared" si="354"/>
        <v>0</v>
      </c>
    </row>
    <row r="4099" spans="12:16" ht="15" hidden="1" customHeight="1">
      <c r="L4099" s="58" t="str">
        <f t="shared" si="352"/>
        <v>-</v>
      </c>
      <c r="M4099" s="59">
        <f t="shared" si="350"/>
        <v>0</v>
      </c>
      <c r="N4099" s="59">
        <f t="shared" si="353"/>
        <v>0</v>
      </c>
      <c r="O4099" s="59">
        <f t="shared" si="351"/>
        <v>0</v>
      </c>
      <c r="P4099" s="59">
        <f t="shared" si="354"/>
        <v>0</v>
      </c>
    </row>
    <row r="4100" spans="12:16" ht="15" hidden="1" customHeight="1">
      <c r="L4100" s="58" t="str">
        <f t="shared" si="352"/>
        <v>-</v>
      </c>
      <c r="M4100" s="59">
        <f t="shared" si="350"/>
        <v>0</v>
      </c>
      <c r="N4100" s="59">
        <f t="shared" si="353"/>
        <v>0</v>
      </c>
      <c r="O4100" s="59">
        <f t="shared" si="351"/>
        <v>0</v>
      </c>
      <c r="P4100" s="59">
        <f t="shared" si="354"/>
        <v>0</v>
      </c>
    </row>
    <row r="4101" spans="12:16" ht="15" hidden="1" customHeight="1">
      <c r="L4101" s="58" t="str">
        <f t="shared" si="352"/>
        <v>-</v>
      </c>
      <c r="M4101" s="59">
        <f t="shared" si="350"/>
        <v>0</v>
      </c>
      <c r="N4101" s="59">
        <f t="shared" si="353"/>
        <v>0</v>
      </c>
      <c r="O4101" s="59">
        <f t="shared" si="351"/>
        <v>0</v>
      </c>
      <c r="P4101" s="59">
        <f t="shared" si="354"/>
        <v>0</v>
      </c>
    </row>
    <row r="4102" spans="12:16" ht="15" hidden="1" customHeight="1">
      <c r="L4102" s="58" t="str">
        <f t="shared" si="352"/>
        <v>-</v>
      </c>
      <c r="M4102" s="59">
        <f t="shared" si="350"/>
        <v>0</v>
      </c>
      <c r="N4102" s="59">
        <f t="shared" si="353"/>
        <v>0</v>
      </c>
      <c r="O4102" s="59">
        <f t="shared" si="351"/>
        <v>0</v>
      </c>
      <c r="P4102" s="59">
        <f t="shared" si="354"/>
        <v>0</v>
      </c>
    </row>
    <row r="4103" spans="12:16" ht="15" hidden="1" customHeight="1">
      <c r="L4103" s="58" t="str">
        <f t="shared" si="352"/>
        <v>-</v>
      </c>
      <c r="M4103" s="59">
        <f t="shared" si="350"/>
        <v>0</v>
      </c>
      <c r="N4103" s="59">
        <f t="shared" si="353"/>
        <v>0</v>
      </c>
      <c r="O4103" s="59">
        <f t="shared" si="351"/>
        <v>0</v>
      </c>
      <c r="P4103" s="59">
        <f t="shared" si="354"/>
        <v>0</v>
      </c>
    </row>
    <row r="4104" spans="12:16" ht="15" hidden="1" customHeight="1">
      <c r="L4104" s="58" t="str">
        <f t="shared" si="352"/>
        <v>-</v>
      </c>
      <c r="M4104" s="59">
        <f t="shared" si="350"/>
        <v>0</v>
      </c>
      <c r="N4104" s="59">
        <f t="shared" si="353"/>
        <v>0</v>
      </c>
      <c r="O4104" s="59">
        <f t="shared" si="351"/>
        <v>0</v>
      </c>
      <c r="P4104" s="59">
        <f t="shared" si="354"/>
        <v>0</v>
      </c>
    </row>
    <row r="4105" spans="12:16" ht="15" hidden="1" customHeight="1">
      <c r="L4105" s="58" t="str">
        <f t="shared" si="352"/>
        <v>-</v>
      </c>
      <c r="M4105" s="59">
        <f t="shared" si="350"/>
        <v>0</v>
      </c>
      <c r="N4105" s="59">
        <f t="shared" si="353"/>
        <v>0</v>
      </c>
      <c r="O4105" s="59">
        <f t="shared" si="351"/>
        <v>0</v>
      </c>
      <c r="P4105" s="59">
        <f t="shared" si="354"/>
        <v>0</v>
      </c>
    </row>
    <row r="4106" spans="12:16" ht="15" hidden="1" customHeight="1">
      <c r="L4106" s="58" t="str">
        <f t="shared" si="352"/>
        <v>-</v>
      </c>
      <c r="M4106" s="59">
        <f t="shared" si="350"/>
        <v>0</v>
      </c>
      <c r="N4106" s="59">
        <f t="shared" si="353"/>
        <v>0</v>
      </c>
      <c r="O4106" s="59">
        <f t="shared" si="351"/>
        <v>0</v>
      </c>
      <c r="P4106" s="59">
        <f t="shared" si="354"/>
        <v>0</v>
      </c>
    </row>
    <row r="4107" spans="12:16" ht="15" hidden="1" customHeight="1">
      <c r="L4107" s="58" t="str">
        <f t="shared" si="352"/>
        <v>-</v>
      </c>
      <c r="M4107" s="59">
        <f t="shared" si="350"/>
        <v>0</v>
      </c>
      <c r="N4107" s="59">
        <f t="shared" si="353"/>
        <v>0</v>
      </c>
      <c r="O4107" s="59">
        <f t="shared" si="351"/>
        <v>0</v>
      </c>
      <c r="P4107" s="59">
        <f t="shared" si="354"/>
        <v>0</v>
      </c>
    </row>
    <row r="4108" spans="12:16" ht="15" hidden="1" customHeight="1">
      <c r="L4108" s="58" t="str">
        <f t="shared" si="352"/>
        <v>-</v>
      </c>
      <c r="M4108" s="59">
        <f t="shared" si="350"/>
        <v>0</v>
      </c>
      <c r="N4108" s="59">
        <f t="shared" si="353"/>
        <v>0</v>
      </c>
      <c r="O4108" s="59">
        <f t="shared" si="351"/>
        <v>0</v>
      </c>
      <c r="P4108" s="59">
        <f t="shared" si="354"/>
        <v>0</v>
      </c>
    </row>
    <row r="4109" spans="12:16" ht="15" hidden="1" customHeight="1">
      <c r="L4109" s="58" t="str">
        <f t="shared" si="352"/>
        <v>-</v>
      </c>
      <c r="M4109" s="59">
        <f t="shared" si="350"/>
        <v>0</v>
      </c>
      <c r="N4109" s="59">
        <f t="shared" si="353"/>
        <v>0</v>
      </c>
      <c r="O4109" s="59">
        <f t="shared" si="351"/>
        <v>0</v>
      </c>
      <c r="P4109" s="59">
        <f t="shared" si="354"/>
        <v>0</v>
      </c>
    </row>
    <row r="4110" spans="12:16" ht="15" hidden="1" customHeight="1">
      <c r="L4110" s="58" t="str">
        <f t="shared" si="352"/>
        <v>-</v>
      </c>
      <c r="M4110" s="59">
        <f t="shared" si="350"/>
        <v>0</v>
      </c>
      <c r="N4110" s="59">
        <f t="shared" si="353"/>
        <v>0</v>
      </c>
      <c r="O4110" s="59">
        <f t="shared" si="351"/>
        <v>0</v>
      </c>
      <c r="P4110" s="59">
        <f t="shared" si="354"/>
        <v>0</v>
      </c>
    </row>
    <row r="4111" spans="12:16" ht="15" hidden="1" customHeight="1">
      <c r="L4111" s="58" t="str">
        <f t="shared" si="352"/>
        <v>-</v>
      </c>
      <c r="M4111" s="59">
        <f t="shared" si="350"/>
        <v>0</v>
      </c>
      <c r="N4111" s="59">
        <f t="shared" si="353"/>
        <v>0</v>
      </c>
      <c r="O4111" s="59">
        <f t="shared" si="351"/>
        <v>0</v>
      </c>
      <c r="P4111" s="59">
        <f t="shared" si="354"/>
        <v>0</v>
      </c>
    </row>
    <row r="4112" spans="12:16" ht="15" hidden="1" customHeight="1">
      <c r="L4112" s="58" t="str">
        <f t="shared" si="352"/>
        <v>-</v>
      </c>
      <c r="M4112" s="59">
        <f t="shared" si="350"/>
        <v>0</v>
      </c>
      <c r="N4112" s="59">
        <f t="shared" si="353"/>
        <v>0</v>
      </c>
      <c r="O4112" s="59">
        <f t="shared" si="351"/>
        <v>0</v>
      </c>
      <c r="P4112" s="59">
        <f t="shared" si="354"/>
        <v>0</v>
      </c>
    </row>
    <row r="4113" spans="12:16" ht="15" hidden="1" customHeight="1">
      <c r="L4113" s="58" t="str">
        <f t="shared" si="352"/>
        <v>-</v>
      </c>
      <c r="M4113" s="59">
        <f t="shared" si="350"/>
        <v>0</v>
      </c>
      <c r="N4113" s="59">
        <f t="shared" si="353"/>
        <v>0</v>
      </c>
      <c r="O4113" s="59">
        <f t="shared" si="351"/>
        <v>0</v>
      </c>
      <c r="P4113" s="59">
        <f t="shared" si="354"/>
        <v>0</v>
      </c>
    </row>
    <row r="4114" spans="12:16" ht="15" hidden="1" customHeight="1">
      <c r="L4114" s="58" t="str">
        <f t="shared" si="352"/>
        <v>-</v>
      </c>
      <c r="M4114" s="59">
        <f t="shared" si="350"/>
        <v>0</v>
      </c>
      <c r="N4114" s="59">
        <f t="shared" si="353"/>
        <v>0</v>
      </c>
      <c r="O4114" s="59">
        <f t="shared" si="351"/>
        <v>0</v>
      </c>
      <c r="P4114" s="59">
        <f t="shared" si="354"/>
        <v>0</v>
      </c>
    </row>
    <row r="4115" spans="12:16" ht="15" hidden="1" customHeight="1">
      <c r="L4115" s="58" t="str">
        <f t="shared" si="352"/>
        <v>-</v>
      </c>
      <c r="M4115" s="59">
        <f t="shared" ref="M4115:M4178" si="355">IFERROR(VLOOKUP(L4115,$B$19:$E$80,4,FALSE),0)</f>
        <v>0</v>
      </c>
      <c r="N4115" s="59">
        <f t="shared" si="353"/>
        <v>0</v>
      </c>
      <c r="O4115" s="59">
        <f t="shared" ref="O4115:O4178" si="356">IFERROR(IF(ISNUMBER(N4114),N4114,$E$8)*IF(L4115&gt;=$J$8,$E$12,$E$12)/IF(MOD(YEAR(L4115),4),365,366)*IF(ISBLANK(L4114),L4115-$F$5,L4115-L4114),0)</f>
        <v>0</v>
      </c>
      <c r="P4115" s="59">
        <f t="shared" si="354"/>
        <v>0</v>
      </c>
    </row>
    <row r="4116" spans="12:16" ht="15" hidden="1" customHeight="1">
      <c r="L4116" s="58" t="str">
        <f t="shared" si="352"/>
        <v>-</v>
      </c>
      <c r="M4116" s="59">
        <f t="shared" si="355"/>
        <v>0</v>
      </c>
      <c r="N4116" s="59">
        <f t="shared" si="353"/>
        <v>0</v>
      </c>
      <c r="O4116" s="59">
        <f t="shared" si="356"/>
        <v>0</v>
      </c>
      <c r="P4116" s="59">
        <f t="shared" si="354"/>
        <v>0</v>
      </c>
    </row>
    <row r="4117" spans="12:16" ht="15" hidden="1" customHeight="1">
      <c r="L4117" s="58" t="str">
        <f t="shared" si="352"/>
        <v>-</v>
      </c>
      <c r="M4117" s="59">
        <f t="shared" si="355"/>
        <v>0</v>
      </c>
      <c r="N4117" s="59">
        <f t="shared" si="353"/>
        <v>0</v>
      </c>
      <c r="O4117" s="59">
        <f t="shared" si="356"/>
        <v>0</v>
      </c>
      <c r="P4117" s="59">
        <f t="shared" si="354"/>
        <v>0</v>
      </c>
    </row>
    <row r="4118" spans="12:16" ht="15" hidden="1" customHeight="1">
      <c r="L4118" s="58" t="str">
        <f t="shared" si="352"/>
        <v>-</v>
      </c>
      <c r="M4118" s="59">
        <f t="shared" si="355"/>
        <v>0</v>
      </c>
      <c r="N4118" s="59">
        <f t="shared" si="353"/>
        <v>0</v>
      </c>
      <c r="O4118" s="59">
        <f t="shared" si="356"/>
        <v>0</v>
      </c>
      <c r="P4118" s="59">
        <f t="shared" si="354"/>
        <v>0</v>
      </c>
    </row>
    <row r="4119" spans="12:16" ht="15" hidden="1" customHeight="1">
      <c r="L4119" s="58" t="str">
        <f t="shared" si="352"/>
        <v>-</v>
      </c>
      <c r="M4119" s="59">
        <f t="shared" si="355"/>
        <v>0</v>
      </c>
      <c r="N4119" s="59">
        <f t="shared" si="353"/>
        <v>0</v>
      </c>
      <c r="O4119" s="59">
        <f t="shared" si="356"/>
        <v>0</v>
      </c>
      <c r="P4119" s="59">
        <f t="shared" si="354"/>
        <v>0</v>
      </c>
    </row>
    <row r="4120" spans="12:16" ht="15" hidden="1" customHeight="1">
      <c r="L4120" s="58" t="str">
        <f t="shared" si="352"/>
        <v>-</v>
      </c>
      <c r="M4120" s="59">
        <f t="shared" si="355"/>
        <v>0</v>
      </c>
      <c r="N4120" s="59">
        <f t="shared" si="353"/>
        <v>0</v>
      </c>
      <c r="O4120" s="59">
        <f t="shared" si="356"/>
        <v>0</v>
      </c>
      <c r="P4120" s="59">
        <f t="shared" si="354"/>
        <v>0</v>
      </c>
    </row>
    <row r="4121" spans="12:16" ht="15" hidden="1" customHeight="1">
      <c r="L4121" s="58" t="str">
        <f t="shared" si="352"/>
        <v>-</v>
      </c>
      <c r="M4121" s="59">
        <f t="shared" si="355"/>
        <v>0</v>
      </c>
      <c r="N4121" s="59">
        <f t="shared" si="353"/>
        <v>0</v>
      </c>
      <c r="O4121" s="59">
        <f t="shared" si="356"/>
        <v>0</v>
      </c>
      <c r="P4121" s="59">
        <f t="shared" si="354"/>
        <v>0</v>
      </c>
    </row>
    <row r="4122" spans="12:16" ht="15" hidden="1" customHeight="1">
      <c r="L4122" s="58" t="str">
        <f t="shared" si="352"/>
        <v>-</v>
      </c>
      <c r="M4122" s="59">
        <f t="shared" si="355"/>
        <v>0</v>
      </c>
      <c r="N4122" s="59">
        <f t="shared" si="353"/>
        <v>0</v>
      </c>
      <c r="O4122" s="59">
        <f t="shared" si="356"/>
        <v>0</v>
      </c>
      <c r="P4122" s="59">
        <f t="shared" si="354"/>
        <v>0</v>
      </c>
    </row>
    <row r="4123" spans="12:16" ht="15" hidden="1" customHeight="1">
      <c r="L4123" s="58" t="str">
        <f t="shared" si="352"/>
        <v>-</v>
      </c>
      <c r="M4123" s="59">
        <f t="shared" si="355"/>
        <v>0</v>
      </c>
      <c r="N4123" s="59">
        <f t="shared" si="353"/>
        <v>0</v>
      </c>
      <c r="O4123" s="59">
        <f t="shared" si="356"/>
        <v>0</v>
      </c>
      <c r="P4123" s="59">
        <f t="shared" si="354"/>
        <v>0</v>
      </c>
    </row>
    <row r="4124" spans="12:16" ht="15" hidden="1" customHeight="1">
      <c r="L4124" s="58" t="str">
        <f t="shared" si="352"/>
        <v>-</v>
      </c>
      <c r="M4124" s="59">
        <f t="shared" si="355"/>
        <v>0</v>
      </c>
      <c r="N4124" s="59">
        <f t="shared" si="353"/>
        <v>0</v>
      </c>
      <c r="O4124" s="59">
        <f t="shared" si="356"/>
        <v>0</v>
      </c>
      <c r="P4124" s="59">
        <f t="shared" si="354"/>
        <v>0</v>
      </c>
    </row>
    <row r="4125" spans="12:16" ht="15" hidden="1" customHeight="1">
      <c r="L4125" s="58" t="str">
        <f t="shared" si="352"/>
        <v>-</v>
      </c>
      <c r="M4125" s="59">
        <f t="shared" si="355"/>
        <v>0</v>
      </c>
      <c r="N4125" s="59">
        <f t="shared" si="353"/>
        <v>0</v>
      </c>
      <c r="O4125" s="59">
        <f t="shared" si="356"/>
        <v>0</v>
      </c>
      <c r="P4125" s="59">
        <f t="shared" si="354"/>
        <v>0</v>
      </c>
    </row>
    <row r="4126" spans="12:16" ht="15" hidden="1" customHeight="1">
      <c r="L4126" s="58" t="str">
        <f t="shared" si="352"/>
        <v>-</v>
      </c>
      <c r="M4126" s="59">
        <f t="shared" si="355"/>
        <v>0</v>
      </c>
      <c r="N4126" s="59">
        <f t="shared" si="353"/>
        <v>0</v>
      </c>
      <c r="O4126" s="59">
        <f t="shared" si="356"/>
        <v>0</v>
      </c>
      <c r="P4126" s="59">
        <f t="shared" si="354"/>
        <v>0</v>
      </c>
    </row>
    <row r="4127" spans="12:16" ht="15" hidden="1" customHeight="1">
      <c r="L4127" s="58" t="str">
        <f t="shared" si="352"/>
        <v>-</v>
      </c>
      <c r="M4127" s="59">
        <f t="shared" si="355"/>
        <v>0</v>
      </c>
      <c r="N4127" s="59">
        <f t="shared" si="353"/>
        <v>0</v>
      </c>
      <c r="O4127" s="59">
        <f t="shared" si="356"/>
        <v>0</v>
      </c>
      <c r="P4127" s="59">
        <f t="shared" si="354"/>
        <v>0</v>
      </c>
    </row>
    <row r="4128" spans="12:16" ht="15" hidden="1" customHeight="1">
      <c r="L4128" s="58" t="str">
        <f t="shared" si="352"/>
        <v>-</v>
      </c>
      <c r="M4128" s="59">
        <f t="shared" si="355"/>
        <v>0</v>
      </c>
      <c r="N4128" s="59">
        <f t="shared" si="353"/>
        <v>0</v>
      </c>
      <c r="O4128" s="59">
        <f t="shared" si="356"/>
        <v>0</v>
      </c>
      <c r="P4128" s="59">
        <f t="shared" si="354"/>
        <v>0</v>
      </c>
    </row>
    <row r="4129" spans="12:16" ht="15" hidden="1" customHeight="1">
      <c r="L4129" s="58" t="str">
        <f t="shared" ref="L4129:L4192" si="357">IFERROR(IF(MAX(L4128+1,$F$5+1)&gt;Дата_погашения_Займа,"-",MAX(L4128+1,$F$5+1)),"-")</f>
        <v>-</v>
      </c>
      <c r="M4129" s="59">
        <f t="shared" si="355"/>
        <v>0</v>
      </c>
      <c r="N4129" s="59">
        <f t="shared" si="353"/>
        <v>0</v>
      </c>
      <c r="O4129" s="59">
        <f t="shared" si="356"/>
        <v>0</v>
      </c>
      <c r="P4129" s="59">
        <f t="shared" si="354"/>
        <v>0</v>
      </c>
    </row>
    <row r="4130" spans="12:16" ht="15" hidden="1" customHeight="1">
      <c r="L4130" s="58" t="str">
        <f t="shared" si="357"/>
        <v>-</v>
      </c>
      <c r="M4130" s="59">
        <f t="shared" si="355"/>
        <v>0</v>
      </c>
      <c r="N4130" s="59">
        <f t="shared" si="353"/>
        <v>0</v>
      </c>
      <c r="O4130" s="59">
        <f t="shared" si="356"/>
        <v>0</v>
      </c>
      <c r="P4130" s="59">
        <f t="shared" si="354"/>
        <v>0</v>
      </c>
    </row>
    <row r="4131" spans="12:16" ht="15" hidden="1" customHeight="1">
      <c r="L4131" s="58" t="str">
        <f t="shared" si="357"/>
        <v>-</v>
      </c>
      <c r="M4131" s="59">
        <f t="shared" si="355"/>
        <v>0</v>
      </c>
      <c r="N4131" s="59">
        <f t="shared" si="353"/>
        <v>0</v>
      </c>
      <c r="O4131" s="59">
        <f t="shared" si="356"/>
        <v>0</v>
      </c>
      <c r="P4131" s="59">
        <f t="shared" si="354"/>
        <v>0</v>
      </c>
    </row>
    <row r="4132" spans="12:16" ht="15" hidden="1" customHeight="1">
      <c r="L4132" s="58" t="str">
        <f t="shared" si="357"/>
        <v>-</v>
      </c>
      <c r="M4132" s="59">
        <f t="shared" si="355"/>
        <v>0</v>
      </c>
      <c r="N4132" s="59">
        <f t="shared" si="353"/>
        <v>0</v>
      </c>
      <c r="O4132" s="59">
        <f t="shared" si="356"/>
        <v>0</v>
      </c>
      <c r="P4132" s="59">
        <f t="shared" si="354"/>
        <v>0</v>
      </c>
    </row>
    <row r="4133" spans="12:16" ht="15" hidden="1" customHeight="1">
      <c r="L4133" s="58" t="str">
        <f t="shared" si="357"/>
        <v>-</v>
      </c>
      <c r="M4133" s="59">
        <f t="shared" si="355"/>
        <v>0</v>
      </c>
      <c r="N4133" s="59">
        <f t="shared" si="353"/>
        <v>0</v>
      </c>
      <c r="O4133" s="59">
        <f t="shared" si="356"/>
        <v>0</v>
      </c>
      <c r="P4133" s="59">
        <f t="shared" si="354"/>
        <v>0</v>
      </c>
    </row>
    <row r="4134" spans="12:16" ht="15" hidden="1" customHeight="1">
      <c r="L4134" s="58" t="str">
        <f t="shared" si="357"/>
        <v>-</v>
      </c>
      <c r="M4134" s="59">
        <f t="shared" si="355"/>
        <v>0</v>
      </c>
      <c r="N4134" s="59">
        <f t="shared" si="353"/>
        <v>0</v>
      </c>
      <c r="O4134" s="59">
        <f t="shared" si="356"/>
        <v>0</v>
      </c>
      <c r="P4134" s="59">
        <f t="shared" si="354"/>
        <v>0</v>
      </c>
    </row>
    <row r="4135" spans="12:16" ht="15" hidden="1" customHeight="1">
      <c r="L4135" s="58" t="str">
        <f t="shared" si="357"/>
        <v>-</v>
      </c>
      <c r="M4135" s="59">
        <f t="shared" si="355"/>
        <v>0</v>
      </c>
      <c r="N4135" s="59">
        <f t="shared" si="353"/>
        <v>0</v>
      </c>
      <c r="O4135" s="59">
        <f t="shared" si="356"/>
        <v>0</v>
      </c>
      <c r="P4135" s="59">
        <f t="shared" si="354"/>
        <v>0</v>
      </c>
    </row>
    <row r="4136" spans="12:16" ht="15" hidden="1" customHeight="1">
      <c r="L4136" s="58" t="str">
        <f t="shared" si="357"/>
        <v>-</v>
      </c>
      <c r="M4136" s="59">
        <f t="shared" si="355"/>
        <v>0</v>
      </c>
      <c r="N4136" s="59">
        <f t="shared" si="353"/>
        <v>0</v>
      </c>
      <c r="O4136" s="59">
        <f t="shared" si="356"/>
        <v>0</v>
      </c>
      <c r="P4136" s="59">
        <f t="shared" si="354"/>
        <v>0</v>
      </c>
    </row>
    <row r="4137" spans="12:16" ht="15" hidden="1" customHeight="1">
      <c r="L4137" s="58" t="str">
        <f t="shared" si="357"/>
        <v>-</v>
      </c>
      <c r="M4137" s="59">
        <f t="shared" si="355"/>
        <v>0</v>
      </c>
      <c r="N4137" s="59">
        <f t="shared" ref="N4137:N4200" si="358">IF(ISNUMBER(N4136),N4136-M4137,$E$8)</f>
        <v>0</v>
      </c>
      <c r="O4137" s="59">
        <f t="shared" si="356"/>
        <v>0</v>
      </c>
      <c r="P4137" s="59">
        <f t="shared" ref="P4137:P4200" si="359">IFERROR(IF(ISNUMBER(N4136),N4136,$E$8)*3%/IF(MOD(YEAR(L4137),4),365,366)*IF(ISBLANK(L4136),(L4137-$F$5),L4137-L4136),0)</f>
        <v>0</v>
      </c>
    </row>
    <row r="4138" spans="12:16" ht="15" hidden="1" customHeight="1">
      <c r="L4138" s="58" t="str">
        <f t="shared" si="357"/>
        <v>-</v>
      </c>
      <c r="M4138" s="59">
        <f t="shared" si="355"/>
        <v>0</v>
      </c>
      <c r="N4138" s="59">
        <f t="shared" si="358"/>
        <v>0</v>
      </c>
      <c r="O4138" s="59">
        <f t="shared" si="356"/>
        <v>0</v>
      </c>
      <c r="P4138" s="59">
        <f t="shared" si="359"/>
        <v>0</v>
      </c>
    </row>
    <row r="4139" spans="12:16" ht="15" hidden="1" customHeight="1">
      <c r="L4139" s="58" t="str">
        <f t="shared" si="357"/>
        <v>-</v>
      </c>
      <c r="M4139" s="59">
        <f t="shared" si="355"/>
        <v>0</v>
      </c>
      <c r="N4139" s="59">
        <f t="shared" si="358"/>
        <v>0</v>
      </c>
      <c r="O4139" s="59">
        <f t="shared" si="356"/>
        <v>0</v>
      </c>
      <c r="P4139" s="59">
        <f t="shared" si="359"/>
        <v>0</v>
      </c>
    </row>
    <row r="4140" spans="12:16" ht="15" hidden="1" customHeight="1">
      <c r="L4140" s="58" t="str">
        <f t="shared" si="357"/>
        <v>-</v>
      </c>
      <c r="M4140" s="59">
        <f t="shared" si="355"/>
        <v>0</v>
      </c>
      <c r="N4140" s="59">
        <f t="shared" si="358"/>
        <v>0</v>
      </c>
      <c r="O4140" s="59">
        <f t="shared" si="356"/>
        <v>0</v>
      </c>
      <c r="P4140" s="59">
        <f t="shared" si="359"/>
        <v>0</v>
      </c>
    </row>
    <row r="4141" spans="12:16" ht="15" hidden="1" customHeight="1">
      <c r="L4141" s="58" t="str">
        <f t="shared" si="357"/>
        <v>-</v>
      </c>
      <c r="M4141" s="59">
        <f t="shared" si="355"/>
        <v>0</v>
      </c>
      <c r="N4141" s="59">
        <f t="shared" si="358"/>
        <v>0</v>
      </c>
      <c r="O4141" s="59">
        <f t="shared" si="356"/>
        <v>0</v>
      </c>
      <c r="P4141" s="59">
        <f t="shared" si="359"/>
        <v>0</v>
      </c>
    </row>
    <row r="4142" spans="12:16" ht="15" hidden="1" customHeight="1">
      <c r="L4142" s="58" t="str">
        <f t="shared" si="357"/>
        <v>-</v>
      </c>
      <c r="M4142" s="59">
        <f t="shared" si="355"/>
        <v>0</v>
      </c>
      <c r="N4142" s="59">
        <f t="shared" si="358"/>
        <v>0</v>
      </c>
      <c r="O4142" s="59">
        <f t="shared" si="356"/>
        <v>0</v>
      </c>
      <c r="P4142" s="59">
        <f t="shared" si="359"/>
        <v>0</v>
      </c>
    </row>
    <row r="4143" spans="12:16" ht="15" hidden="1" customHeight="1">
      <c r="L4143" s="58" t="str">
        <f t="shared" si="357"/>
        <v>-</v>
      </c>
      <c r="M4143" s="59">
        <f t="shared" si="355"/>
        <v>0</v>
      </c>
      <c r="N4143" s="59">
        <f t="shared" si="358"/>
        <v>0</v>
      </c>
      <c r="O4143" s="59">
        <f t="shared" si="356"/>
        <v>0</v>
      </c>
      <c r="P4143" s="59">
        <f t="shared" si="359"/>
        <v>0</v>
      </c>
    </row>
    <row r="4144" spans="12:16" ht="15" hidden="1" customHeight="1">
      <c r="L4144" s="58" t="str">
        <f t="shared" si="357"/>
        <v>-</v>
      </c>
      <c r="M4144" s="59">
        <f t="shared" si="355"/>
        <v>0</v>
      </c>
      <c r="N4144" s="59">
        <f t="shared" si="358"/>
        <v>0</v>
      </c>
      <c r="O4144" s="59">
        <f t="shared" si="356"/>
        <v>0</v>
      </c>
      <c r="P4144" s="59">
        <f t="shared" si="359"/>
        <v>0</v>
      </c>
    </row>
    <row r="4145" spans="12:16" ht="15" hidden="1" customHeight="1">
      <c r="L4145" s="58" t="str">
        <f t="shared" si="357"/>
        <v>-</v>
      </c>
      <c r="M4145" s="59">
        <f t="shared" si="355"/>
        <v>0</v>
      </c>
      <c r="N4145" s="59">
        <f t="shared" si="358"/>
        <v>0</v>
      </c>
      <c r="O4145" s="59">
        <f t="shared" si="356"/>
        <v>0</v>
      </c>
      <c r="P4145" s="59">
        <f t="shared" si="359"/>
        <v>0</v>
      </c>
    </row>
    <row r="4146" spans="12:16" ht="15" hidden="1" customHeight="1">
      <c r="L4146" s="58" t="str">
        <f t="shared" si="357"/>
        <v>-</v>
      </c>
      <c r="M4146" s="59">
        <f t="shared" si="355"/>
        <v>0</v>
      </c>
      <c r="N4146" s="59">
        <f t="shared" si="358"/>
        <v>0</v>
      </c>
      <c r="O4146" s="59">
        <f t="shared" si="356"/>
        <v>0</v>
      </c>
      <c r="P4146" s="59">
        <f t="shared" si="359"/>
        <v>0</v>
      </c>
    </row>
    <row r="4147" spans="12:16" ht="15" hidden="1" customHeight="1">
      <c r="L4147" s="58" t="str">
        <f t="shared" si="357"/>
        <v>-</v>
      </c>
      <c r="M4147" s="59">
        <f t="shared" si="355"/>
        <v>0</v>
      </c>
      <c r="N4147" s="59">
        <f t="shared" si="358"/>
        <v>0</v>
      </c>
      <c r="O4147" s="59">
        <f t="shared" si="356"/>
        <v>0</v>
      </c>
      <c r="P4147" s="59">
        <f t="shared" si="359"/>
        <v>0</v>
      </c>
    </row>
    <row r="4148" spans="12:16" ht="15" hidden="1" customHeight="1">
      <c r="L4148" s="58" t="str">
        <f t="shared" si="357"/>
        <v>-</v>
      </c>
      <c r="M4148" s="59">
        <f t="shared" si="355"/>
        <v>0</v>
      </c>
      <c r="N4148" s="59">
        <f t="shared" si="358"/>
        <v>0</v>
      </c>
      <c r="O4148" s="59">
        <f t="shared" si="356"/>
        <v>0</v>
      </c>
      <c r="P4148" s="59">
        <f t="shared" si="359"/>
        <v>0</v>
      </c>
    </row>
    <row r="4149" spans="12:16" ht="15" hidden="1" customHeight="1">
      <c r="L4149" s="58" t="str">
        <f t="shared" si="357"/>
        <v>-</v>
      </c>
      <c r="M4149" s="59">
        <f t="shared" si="355"/>
        <v>0</v>
      </c>
      <c r="N4149" s="59">
        <f t="shared" si="358"/>
        <v>0</v>
      </c>
      <c r="O4149" s="59">
        <f t="shared" si="356"/>
        <v>0</v>
      </c>
      <c r="P4149" s="59">
        <f t="shared" si="359"/>
        <v>0</v>
      </c>
    </row>
    <row r="4150" spans="12:16" ht="15" hidden="1" customHeight="1">
      <c r="L4150" s="58" t="str">
        <f t="shared" si="357"/>
        <v>-</v>
      </c>
      <c r="M4150" s="59">
        <f t="shared" si="355"/>
        <v>0</v>
      </c>
      <c r="N4150" s="59">
        <f t="shared" si="358"/>
        <v>0</v>
      </c>
      <c r="O4150" s="59">
        <f t="shared" si="356"/>
        <v>0</v>
      </c>
      <c r="P4150" s="59">
        <f t="shared" si="359"/>
        <v>0</v>
      </c>
    </row>
    <row r="4151" spans="12:16" ht="15" hidden="1" customHeight="1">
      <c r="L4151" s="58" t="str">
        <f t="shared" si="357"/>
        <v>-</v>
      </c>
      <c r="M4151" s="59">
        <f t="shared" si="355"/>
        <v>0</v>
      </c>
      <c r="N4151" s="59">
        <f t="shared" si="358"/>
        <v>0</v>
      </c>
      <c r="O4151" s="59">
        <f t="shared" si="356"/>
        <v>0</v>
      </c>
      <c r="P4151" s="59">
        <f t="shared" si="359"/>
        <v>0</v>
      </c>
    </row>
    <row r="4152" spans="12:16" ht="15" hidden="1" customHeight="1">
      <c r="L4152" s="58" t="str">
        <f t="shared" si="357"/>
        <v>-</v>
      </c>
      <c r="M4152" s="59">
        <f t="shared" si="355"/>
        <v>0</v>
      </c>
      <c r="N4152" s="59">
        <f t="shared" si="358"/>
        <v>0</v>
      </c>
      <c r="O4152" s="59">
        <f t="shared" si="356"/>
        <v>0</v>
      </c>
      <c r="P4152" s="59">
        <f t="shared" si="359"/>
        <v>0</v>
      </c>
    </row>
    <row r="4153" spans="12:16" ht="15" hidden="1" customHeight="1">
      <c r="L4153" s="58" t="str">
        <f t="shared" si="357"/>
        <v>-</v>
      </c>
      <c r="M4153" s="59">
        <f t="shared" si="355"/>
        <v>0</v>
      </c>
      <c r="N4153" s="59">
        <f t="shared" si="358"/>
        <v>0</v>
      </c>
      <c r="O4153" s="59">
        <f t="shared" si="356"/>
        <v>0</v>
      </c>
      <c r="P4153" s="59">
        <f t="shared" si="359"/>
        <v>0</v>
      </c>
    </row>
    <row r="4154" spans="12:16" ht="15" hidden="1" customHeight="1">
      <c r="L4154" s="58" t="str">
        <f t="shared" si="357"/>
        <v>-</v>
      </c>
      <c r="M4154" s="59">
        <f t="shared" si="355"/>
        <v>0</v>
      </c>
      <c r="N4154" s="59">
        <f t="shared" si="358"/>
        <v>0</v>
      </c>
      <c r="O4154" s="59">
        <f t="shared" si="356"/>
        <v>0</v>
      </c>
      <c r="P4154" s="59">
        <f t="shared" si="359"/>
        <v>0</v>
      </c>
    </row>
    <row r="4155" spans="12:16" ht="15" hidden="1" customHeight="1">
      <c r="L4155" s="58" t="str">
        <f t="shared" si="357"/>
        <v>-</v>
      </c>
      <c r="M4155" s="59">
        <f t="shared" si="355"/>
        <v>0</v>
      </c>
      <c r="N4155" s="59">
        <f t="shared" si="358"/>
        <v>0</v>
      </c>
      <c r="O4155" s="59">
        <f t="shared" si="356"/>
        <v>0</v>
      </c>
      <c r="P4155" s="59">
        <f t="shared" si="359"/>
        <v>0</v>
      </c>
    </row>
    <row r="4156" spans="12:16" ht="15" hidden="1" customHeight="1">
      <c r="L4156" s="58" t="str">
        <f t="shared" si="357"/>
        <v>-</v>
      </c>
      <c r="M4156" s="59">
        <f t="shared" si="355"/>
        <v>0</v>
      </c>
      <c r="N4156" s="59">
        <f t="shared" si="358"/>
        <v>0</v>
      </c>
      <c r="O4156" s="59">
        <f t="shared" si="356"/>
        <v>0</v>
      </c>
      <c r="P4156" s="59">
        <f t="shared" si="359"/>
        <v>0</v>
      </c>
    </row>
    <row r="4157" spans="12:16" ht="15" hidden="1" customHeight="1">
      <c r="L4157" s="58" t="str">
        <f t="shared" si="357"/>
        <v>-</v>
      </c>
      <c r="M4157" s="59">
        <f t="shared" si="355"/>
        <v>0</v>
      </c>
      <c r="N4157" s="59">
        <f t="shared" si="358"/>
        <v>0</v>
      </c>
      <c r="O4157" s="59">
        <f t="shared" si="356"/>
        <v>0</v>
      </c>
      <c r="P4157" s="59">
        <f t="shared" si="359"/>
        <v>0</v>
      </c>
    </row>
    <row r="4158" spans="12:16" ht="15" hidden="1" customHeight="1">
      <c r="L4158" s="58" t="str">
        <f t="shared" si="357"/>
        <v>-</v>
      </c>
      <c r="M4158" s="59">
        <f t="shared" si="355"/>
        <v>0</v>
      </c>
      <c r="N4158" s="59">
        <f t="shared" si="358"/>
        <v>0</v>
      </c>
      <c r="O4158" s="59">
        <f t="shared" si="356"/>
        <v>0</v>
      </c>
      <c r="P4158" s="59">
        <f t="shared" si="359"/>
        <v>0</v>
      </c>
    </row>
    <row r="4159" spans="12:16" ht="15" hidden="1" customHeight="1">
      <c r="L4159" s="58" t="str">
        <f t="shared" si="357"/>
        <v>-</v>
      </c>
      <c r="M4159" s="59">
        <f t="shared" si="355"/>
        <v>0</v>
      </c>
      <c r="N4159" s="59">
        <f t="shared" si="358"/>
        <v>0</v>
      </c>
      <c r="O4159" s="59">
        <f t="shared" si="356"/>
        <v>0</v>
      </c>
      <c r="P4159" s="59">
        <f t="shared" si="359"/>
        <v>0</v>
      </c>
    </row>
    <row r="4160" spans="12:16" ht="15" hidden="1" customHeight="1">
      <c r="L4160" s="58" t="str">
        <f t="shared" si="357"/>
        <v>-</v>
      </c>
      <c r="M4160" s="59">
        <f t="shared" si="355"/>
        <v>0</v>
      </c>
      <c r="N4160" s="59">
        <f t="shared" si="358"/>
        <v>0</v>
      </c>
      <c r="O4160" s="59">
        <f t="shared" si="356"/>
        <v>0</v>
      </c>
      <c r="P4160" s="59">
        <f t="shared" si="359"/>
        <v>0</v>
      </c>
    </row>
    <row r="4161" spans="12:16" ht="15" hidden="1" customHeight="1">
      <c r="L4161" s="58" t="str">
        <f t="shared" si="357"/>
        <v>-</v>
      </c>
      <c r="M4161" s="59">
        <f t="shared" si="355"/>
        <v>0</v>
      </c>
      <c r="N4161" s="59">
        <f t="shared" si="358"/>
        <v>0</v>
      </c>
      <c r="O4161" s="59">
        <f t="shared" si="356"/>
        <v>0</v>
      </c>
      <c r="P4161" s="59">
        <f t="shared" si="359"/>
        <v>0</v>
      </c>
    </row>
    <row r="4162" spans="12:16" ht="15" hidden="1" customHeight="1">
      <c r="L4162" s="58" t="str">
        <f t="shared" si="357"/>
        <v>-</v>
      </c>
      <c r="M4162" s="59">
        <f t="shared" si="355"/>
        <v>0</v>
      </c>
      <c r="N4162" s="59">
        <f t="shared" si="358"/>
        <v>0</v>
      </c>
      <c r="O4162" s="59">
        <f t="shared" si="356"/>
        <v>0</v>
      </c>
      <c r="P4162" s="59">
        <f t="shared" si="359"/>
        <v>0</v>
      </c>
    </row>
    <row r="4163" spans="12:16" ht="15" hidden="1" customHeight="1">
      <c r="L4163" s="58" t="str">
        <f t="shared" si="357"/>
        <v>-</v>
      </c>
      <c r="M4163" s="59">
        <f t="shared" si="355"/>
        <v>0</v>
      </c>
      <c r="N4163" s="59">
        <f t="shared" si="358"/>
        <v>0</v>
      </c>
      <c r="O4163" s="59">
        <f t="shared" si="356"/>
        <v>0</v>
      </c>
      <c r="P4163" s="59">
        <f t="shared" si="359"/>
        <v>0</v>
      </c>
    </row>
    <row r="4164" spans="12:16" ht="15" hidden="1" customHeight="1">
      <c r="L4164" s="58" t="str">
        <f t="shared" si="357"/>
        <v>-</v>
      </c>
      <c r="M4164" s="59">
        <f t="shared" si="355"/>
        <v>0</v>
      </c>
      <c r="N4164" s="59">
        <f t="shared" si="358"/>
        <v>0</v>
      </c>
      <c r="O4164" s="59">
        <f t="shared" si="356"/>
        <v>0</v>
      </c>
      <c r="P4164" s="59">
        <f t="shared" si="359"/>
        <v>0</v>
      </c>
    </row>
    <row r="4165" spans="12:16" ht="15" hidden="1" customHeight="1">
      <c r="L4165" s="58" t="str">
        <f t="shared" si="357"/>
        <v>-</v>
      </c>
      <c r="M4165" s="59">
        <f t="shared" si="355"/>
        <v>0</v>
      </c>
      <c r="N4165" s="59">
        <f t="shared" si="358"/>
        <v>0</v>
      </c>
      <c r="O4165" s="59">
        <f t="shared" si="356"/>
        <v>0</v>
      </c>
      <c r="P4165" s="59">
        <f t="shared" si="359"/>
        <v>0</v>
      </c>
    </row>
    <row r="4166" spans="12:16" ht="15" hidden="1" customHeight="1">
      <c r="L4166" s="58" t="str">
        <f t="shared" si="357"/>
        <v>-</v>
      </c>
      <c r="M4166" s="59">
        <f t="shared" si="355"/>
        <v>0</v>
      </c>
      <c r="N4166" s="59">
        <f t="shared" si="358"/>
        <v>0</v>
      </c>
      <c r="O4166" s="59">
        <f t="shared" si="356"/>
        <v>0</v>
      </c>
      <c r="P4166" s="59">
        <f t="shared" si="359"/>
        <v>0</v>
      </c>
    </row>
    <row r="4167" spans="12:16" ht="15" hidden="1" customHeight="1">
      <c r="L4167" s="58" t="str">
        <f t="shared" si="357"/>
        <v>-</v>
      </c>
      <c r="M4167" s="59">
        <f t="shared" si="355"/>
        <v>0</v>
      </c>
      <c r="N4167" s="59">
        <f t="shared" si="358"/>
        <v>0</v>
      </c>
      <c r="O4167" s="59">
        <f t="shared" si="356"/>
        <v>0</v>
      </c>
      <c r="P4167" s="59">
        <f t="shared" si="359"/>
        <v>0</v>
      </c>
    </row>
    <row r="4168" spans="12:16" ht="15" hidden="1" customHeight="1">
      <c r="L4168" s="58" t="str">
        <f t="shared" si="357"/>
        <v>-</v>
      </c>
      <c r="M4168" s="59">
        <f t="shared" si="355"/>
        <v>0</v>
      </c>
      <c r="N4168" s="59">
        <f t="shared" si="358"/>
        <v>0</v>
      </c>
      <c r="O4168" s="59">
        <f t="shared" si="356"/>
        <v>0</v>
      </c>
      <c r="P4168" s="59">
        <f t="shared" si="359"/>
        <v>0</v>
      </c>
    </row>
    <row r="4169" spans="12:16" ht="15" hidden="1" customHeight="1">
      <c r="L4169" s="58" t="str">
        <f t="shared" si="357"/>
        <v>-</v>
      </c>
      <c r="M4169" s="59">
        <f t="shared" si="355"/>
        <v>0</v>
      </c>
      <c r="N4169" s="59">
        <f t="shared" si="358"/>
        <v>0</v>
      </c>
      <c r="O4169" s="59">
        <f t="shared" si="356"/>
        <v>0</v>
      </c>
      <c r="P4169" s="59">
        <f t="shared" si="359"/>
        <v>0</v>
      </c>
    </row>
    <row r="4170" spans="12:16" ht="15" hidden="1" customHeight="1">
      <c r="L4170" s="58" t="str">
        <f t="shared" si="357"/>
        <v>-</v>
      </c>
      <c r="M4170" s="59">
        <f t="shared" si="355"/>
        <v>0</v>
      </c>
      <c r="N4170" s="59">
        <f t="shared" si="358"/>
        <v>0</v>
      </c>
      <c r="O4170" s="59">
        <f t="shared" si="356"/>
        <v>0</v>
      </c>
      <c r="P4170" s="59">
        <f t="shared" si="359"/>
        <v>0</v>
      </c>
    </row>
    <row r="4171" spans="12:16" ht="15" hidden="1" customHeight="1">
      <c r="L4171" s="58" t="str">
        <f t="shared" si="357"/>
        <v>-</v>
      </c>
      <c r="M4171" s="59">
        <f t="shared" si="355"/>
        <v>0</v>
      </c>
      <c r="N4171" s="59">
        <f t="shared" si="358"/>
        <v>0</v>
      </c>
      <c r="O4171" s="59">
        <f t="shared" si="356"/>
        <v>0</v>
      </c>
      <c r="P4171" s="59">
        <f t="shared" si="359"/>
        <v>0</v>
      </c>
    </row>
    <row r="4172" spans="12:16" ht="15" hidden="1" customHeight="1">
      <c r="L4172" s="58" t="str">
        <f t="shared" si="357"/>
        <v>-</v>
      </c>
      <c r="M4172" s="59">
        <f t="shared" si="355"/>
        <v>0</v>
      </c>
      <c r="N4172" s="59">
        <f t="shared" si="358"/>
        <v>0</v>
      </c>
      <c r="O4172" s="59">
        <f t="shared" si="356"/>
        <v>0</v>
      </c>
      <c r="P4172" s="59">
        <f t="shared" si="359"/>
        <v>0</v>
      </c>
    </row>
    <row r="4173" spans="12:16" ht="15" hidden="1" customHeight="1">
      <c r="L4173" s="58" t="str">
        <f t="shared" si="357"/>
        <v>-</v>
      </c>
      <c r="M4173" s="59">
        <f t="shared" si="355"/>
        <v>0</v>
      </c>
      <c r="N4173" s="59">
        <f t="shared" si="358"/>
        <v>0</v>
      </c>
      <c r="O4173" s="59">
        <f t="shared" si="356"/>
        <v>0</v>
      </c>
      <c r="P4173" s="59">
        <f t="shared" si="359"/>
        <v>0</v>
      </c>
    </row>
    <row r="4174" spans="12:16" ht="15" hidden="1" customHeight="1">
      <c r="L4174" s="58" t="str">
        <f t="shared" si="357"/>
        <v>-</v>
      </c>
      <c r="M4174" s="59">
        <f t="shared" si="355"/>
        <v>0</v>
      </c>
      <c r="N4174" s="59">
        <f t="shared" si="358"/>
        <v>0</v>
      </c>
      <c r="O4174" s="59">
        <f t="shared" si="356"/>
        <v>0</v>
      </c>
      <c r="P4174" s="59">
        <f t="shared" si="359"/>
        <v>0</v>
      </c>
    </row>
    <row r="4175" spans="12:16" ht="15" hidden="1" customHeight="1">
      <c r="L4175" s="58" t="str">
        <f t="shared" si="357"/>
        <v>-</v>
      </c>
      <c r="M4175" s="59">
        <f t="shared" si="355"/>
        <v>0</v>
      </c>
      <c r="N4175" s="59">
        <f t="shared" si="358"/>
        <v>0</v>
      </c>
      <c r="O4175" s="59">
        <f t="shared" si="356"/>
        <v>0</v>
      </c>
      <c r="P4175" s="59">
        <f t="shared" si="359"/>
        <v>0</v>
      </c>
    </row>
    <row r="4176" spans="12:16" ht="15" hidden="1" customHeight="1">
      <c r="L4176" s="58" t="str">
        <f t="shared" si="357"/>
        <v>-</v>
      </c>
      <c r="M4176" s="59">
        <f t="shared" si="355"/>
        <v>0</v>
      </c>
      <c r="N4176" s="59">
        <f t="shared" si="358"/>
        <v>0</v>
      </c>
      <c r="O4176" s="59">
        <f t="shared" si="356"/>
        <v>0</v>
      </c>
      <c r="P4176" s="59">
        <f t="shared" si="359"/>
        <v>0</v>
      </c>
    </row>
    <row r="4177" spans="12:16" ht="15" hidden="1" customHeight="1">
      <c r="L4177" s="58" t="str">
        <f t="shared" si="357"/>
        <v>-</v>
      </c>
      <c r="M4177" s="59">
        <f t="shared" si="355"/>
        <v>0</v>
      </c>
      <c r="N4177" s="59">
        <f t="shared" si="358"/>
        <v>0</v>
      </c>
      <c r="O4177" s="59">
        <f t="shared" si="356"/>
        <v>0</v>
      </c>
      <c r="P4177" s="59">
        <f t="shared" si="359"/>
        <v>0</v>
      </c>
    </row>
    <row r="4178" spans="12:16" ht="15" hidden="1" customHeight="1">
      <c r="L4178" s="58" t="str">
        <f t="shared" si="357"/>
        <v>-</v>
      </c>
      <c r="M4178" s="59">
        <f t="shared" si="355"/>
        <v>0</v>
      </c>
      <c r="N4178" s="59">
        <f t="shared" si="358"/>
        <v>0</v>
      </c>
      <c r="O4178" s="59">
        <f t="shared" si="356"/>
        <v>0</v>
      </c>
      <c r="P4178" s="59">
        <f t="shared" si="359"/>
        <v>0</v>
      </c>
    </row>
    <row r="4179" spans="12:16" ht="15" hidden="1" customHeight="1">
      <c r="L4179" s="58" t="str">
        <f t="shared" si="357"/>
        <v>-</v>
      </c>
      <c r="M4179" s="59">
        <f t="shared" ref="M4179:M4242" si="360">IFERROR(VLOOKUP(L4179,$B$19:$E$80,4,FALSE),0)</f>
        <v>0</v>
      </c>
      <c r="N4179" s="59">
        <f t="shared" si="358"/>
        <v>0</v>
      </c>
      <c r="O4179" s="59">
        <f t="shared" ref="O4179:O4242" si="361">IFERROR(IF(ISNUMBER(N4178),N4178,$E$8)*IF(L4179&gt;=$J$8,$E$12,$E$12)/IF(MOD(YEAR(L4179),4),365,366)*IF(ISBLANK(L4178),L4179-$F$5,L4179-L4178),0)</f>
        <v>0</v>
      </c>
      <c r="P4179" s="59">
        <f t="shared" si="359"/>
        <v>0</v>
      </c>
    </row>
    <row r="4180" spans="12:16" ht="15" hidden="1" customHeight="1">
      <c r="L4180" s="58" t="str">
        <f t="shared" si="357"/>
        <v>-</v>
      </c>
      <c r="M4180" s="59">
        <f t="shared" si="360"/>
        <v>0</v>
      </c>
      <c r="N4180" s="59">
        <f t="shared" si="358"/>
        <v>0</v>
      </c>
      <c r="O4180" s="59">
        <f t="shared" si="361"/>
        <v>0</v>
      </c>
      <c r="P4180" s="59">
        <f t="shared" si="359"/>
        <v>0</v>
      </c>
    </row>
    <row r="4181" spans="12:16" ht="15" hidden="1" customHeight="1">
      <c r="L4181" s="58" t="str">
        <f t="shared" si="357"/>
        <v>-</v>
      </c>
      <c r="M4181" s="59">
        <f t="shared" si="360"/>
        <v>0</v>
      </c>
      <c r="N4181" s="59">
        <f t="shared" si="358"/>
        <v>0</v>
      </c>
      <c r="O4181" s="59">
        <f t="shared" si="361"/>
        <v>0</v>
      </c>
      <c r="P4181" s="59">
        <f t="shared" si="359"/>
        <v>0</v>
      </c>
    </row>
    <row r="4182" spans="12:16" ht="15" hidden="1" customHeight="1">
      <c r="L4182" s="58" t="str">
        <f t="shared" si="357"/>
        <v>-</v>
      </c>
      <c r="M4182" s="59">
        <f t="shared" si="360"/>
        <v>0</v>
      </c>
      <c r="N4182" s="59">
        <f t="shared" si="358"/>
        <v>0</v>
      </c>
      <c r="O4182" s="59">
        <f t="shared" si="361"/>
        <v>0</v>
      </c>
      <c r="P4182" s="59">
        <f t="shared" si="359"/>
        <v>0</v>
      </c>
    </row>
    <row r="4183" spans="12:16" ht="15" hidden="1" customHeight="1">
      <c r="L4183" s="58" t="str">
        <f t="shared" si="357"/>
        <v>-</v>
      </c>
      <c r="M4183" s="59">
        <f t="shared" si="360"/>
        <v>0</v>
      </c>
      <c r="N4183" s="59">
        <f t="shared" si="358"/>
        <v>0</v>
      </c>
      <c r="O4183" s="59">
        <f t="shared" si="361"/>
        <v>0</v>
      </c>
      <c r="P4183" s="59">
        <f t="shared" si="359"/>
        <v>0</v>
      </c>
    </row>
    <row r="4184" spans="12:16" ht="15" hidden="1" customHeight="1">
      <c r="L4184" s="58" t="str">
        <f t="shared" si="357"/>
        <v>-</v>
      </c>
      <c r="M4184" s="59">
        <f t="shared" si="360"/>
        <v>0</v>
      </c>
      <c r="N4184" s="59">
        <f t="shared" si="358"/>
        <v>0</v>
      </c>
      <c r="O4184" s="59">
        <f t="shared" si="361"/>
        <v>0</v>
      </c>
      <c r="P4184" s="59">
        <f t="shared" si="359"/>
        <v>0</v>
      </c>
    </row>
    <row r="4185" spans="12:16" ht="15" hidden="1" customHeight="1">
      <c r="L4185" s="58" t="str">
        <f t="shared" si="357"/>
        <v>-</v>
      </c>
      <c r="M4185" s="59">
        <f t="shared" si="360"/>
        <v>0</v>
      </c>
      <c r="N4185" s="59">
        <f t="shared" si="358"/>
        <v>0</v>
      </c>
      <c r="O4185" s="59">
        <f t="shared" si="361"/>
        <v>0</v>
      </c>
      <c r="P4185" s="59">
        <f t="shared" si="359"/>
        <v>0</v>
      </c>
    </row>
    <row r="4186" spans="12:16" ht="15" hidden="1" customHeight="1">
      <c r="L4186" s="58" t="str">
        <f t="shared" si="357"/>
        <v>-</v>
      </c>
      <c r="M4186" s="59">
        <f t="shared" si="360"/>
        <v>0</v>
      </c>
      <c r="N4186" s="59">
        <f t="shared" si="358"/>
        <v>0</v>
      </c>
      <c r="O4186" s="59">
        <f t="shared" si="361"/>
        <v>0</v>
      </c>
      <c r="P4186" s="59">
        <f t="shared" si="359"/>
        <v>0</v>
      </c>
    </row>
    <row r="4187" spans="12:16" ht="15" hidden="1" customHeight="1">
      <c r="L4187" s="58" t="str">
        <f t="shared" si="357"/>
        <v>-</v>
      </c>
      <c r="M4187" s="59">
        <f t="shared" si="360"/>
        <v>0</v>
      </c>
      <c r="N4187" s="59">
        <f t="shared" si="358"/>
        <v>0</v>
      </c>
      <c r="O4187" s="59">
        <f t="shared" si="361"/>
        <v>0</v>
      </c>
      <c r="P4187" s="59">
        <f t="shared" si="359"/>
        <v>0</v>
      </c>
    </row>
    <row r="4188" spans="12:16" ht="15" hidden="1" customHeight="1">
      <c r="L4188" s="58" t="str">
        <f t="shared" si="357"/>
        <v>-</v>
      </c>
      <c r="M4188" s="59">
        <f t="shared" si="360"/>
        <v>0</v>
      </c>
      <c r="N4188" s="59">
        <f t="shared" si="358"/>
        <v>0</v>
      </c>
      <c r="O4188" s="59">
        <f t="shared" si="361"/>
        <v>0</v>
      </c>
      <c r="P4188" s="59">
        <f t="shared" si="359"/>
        <v>0</v>
      </c>
    </row>
    <row r="4189" spans="12:16" ht="15" hidden="1" customHeight="1">
      <c r="L4189" s="58" t="str">
        <f t="shared" si="357"/>
        <v>-</v>
      </c>
      <c r="M4189" s="59">
        <f t="shared" si="360"/>
        <v>0</v>
      </c>
      <c r="N4189" s="59">
        <f t="shared" si="358"/>
        <v>0</v>
      </c>
      <c r="O4189" s="59">
        <f t="shared" si="361"/>
        <v>0</v>
      </c>
      <c r="P4189" s="59">
        <f t="shared" si="359"/>
        <v>0</v>
      </c>
    </row>
    <row r="4190" spans="12:16" ht="15" hidden="1" customHeight="1">
      <c r="L4190" s="58" t="str">
        <f t="shared" si="357"/>
        <v>-</v>
      </c>
      <c r="M4190" s="59">
        <f t="shared" si="360"/>
        <v>0</v>
      </c>
      <c r="N4190" s="59">
        <f t="shared" si="358"/>
        <v>0</v>
      </c>
      <c r="O4190" s="59">
        <f t="shared" si="361"/>
        <v>0</v>
      </c>
      <c r="P4190" s="59">
        <f t="shared" si="359"/>
        <v>0</v>
      </c>
    </row>
    <row r="4191" spans="12:16" ht="15" hidden="1" customHeight="1">
      <c r="L4191" s="58" t="str">
        <f t="shared" si="357"/>
        <v>-</v>
      </c>
      <c r="M4191" s="59">
        <f t="shared" si="360"/>
        <v>0</v>
      </c>
      <c r="N4191" s="59">
        <f t="shared" si="358"/>
        <v>0</v>
      </c>
      <c r="O4191" s="59">
        <f t="shared" si="361"/>
        <v>0</v>
      </c>
      <c r="P4191" s="59">
        <f t="shared" si="359"/>
        <v>0</v>
      </c>
    </row>
    <row r="4192" spans="12:16" ht="15" hidden="1" customHeight="1">
      <c r="L4192" s="58" t="str">
        <f t="shared" si="357"/>
        <v>-</v>
      </c>
      <c r="M4192" s="59">
        <f t="shared" si="360"/>
        <v>0</v>
      </c>
      <c r="N4192" s="59">
        <f t="shared" si="358"/>
        <v>0</v>
      </c>
      <c r="O4192" s="59">
        <f t="shared" si="361"/>
        <v>0</v>
      </c>
      <c r="P4192" s="59">
        <f t="shared" si="359"/>
        <v>0</v>
      </c>
    </row>
    <row r="4193" spans="12:16" ht="15" hidden="1" customHeight="1">
      <c r="L4193" s="58" t="str">
        <f t="shared" ref="L4193:L4256" si="362">IFERROR(IF(MAX(L4192+1,$F$5+1)&gt;Дата_погашения_Займа,"-",MAX(L4192+1,$F$5+1)),"-")</f>
        <v>-</v>
      </c>
      <c r="M4193" s="59">
        <f t="shared" si="360"/>
        <v>0</v>
      </c>
      <c r="N4193" s="59">
        <f t="shared" si="358"/>
        <v>0</v>
      </c>
      <c r="O4193" s="59">
        <f t="shared" si="361"/>
        <v>0</v>
      </c>
      <c r="P4193" s="59">
        <f t="shared" si="359"/>
        <v>0</v>
      </c>
    </row>
    <row r="4194" spans="12:16" ht="15" hidden="1" customHeight="1">
      <c r="L4194" s="58" t="str">
        <f t="shared" si="362"/>
        <v>-</v>
      </c>
      <c r="M4194" s="59">
        <f t="shared" si="360"/>
        <v>0</v>
      </c>
      <c r="N4194" s="59">
        <f t="shared" si="358"/>
        <v>0</v>
      </c>
      <c r="O4194" s="59">
        <f t="shared" si="361"/>
        <v>0</v>
      </c>
      <c r="P4194" s="59">
        <f t="shared" si="359"/>
        <v>0</v>
      </c>
    </row>
    <row r="4195" spans="12:16" ht="15" hidden="1" customHeight="1">
      <c r="L4195" s="58" t="str">
        <f t="shared" si="362"/>
        <v>-</v>
      </c>
      <c r="M4195" s="59">
        <f t="shared" si="360"/>
        <v>0</v>
      </c>
      <c r="N4195" s="59">
        <f t="shared" si="358"/>
        <v>0</v>
      </c>
      <c r="O4195" s="59">
        <f t="shared" si="361"/>
        <v>0</v>
      </c>
      <c r="P4195" s="59">
        <f t="shared" si="359"/>
        <v>0</v>
      </c>
    </row>
    <row r="4196" spans="12:16" ht="15" hidden="1" customHeight="1">
      <c r="L4196" s="58" t="str">
        <f t="shared" si="362"/>
        <v>-</v>
      </c>
      <c r="M4196" s="59">
        <f t="shared" si="360"/>
        <v>0</v>
      </c>
      <c r="N4196" s="59">
        <f t="shared" si="358"/>
        <v>0</v>
      </c>
      <c r="O4196" s="59">
        <f t="shared" si="361"/>
        <v>0</v>
      </c>
      <c r="P4196" s="59">
        <f t="shared" si="359"/>
        <v>0</v>
      </c>
    </row>
    <row r="4197" spans="12:16" ht="15" hidden="1" customHeight="1">
      <c r="L4197" s="58" t="str">
        <f t="shared" si="362"/>
        <v>-</v>
      </c>
      <c r="M4197" s="59">
        <f t="shared" si="360"/>
        <v>0</v>
      </c>
      <c r="N4197" s="59">
        <f t="shared" si="358"/>
        <v>0</v>
      </c>
      <c r="O4197" s="59">
        <f t="shared" si="361"/>
        <v>0</v>
      </c>
      <c r="P4197" s="59">
        <f t="shared" si="359"/>
        <v>0</v>
      </c>
    </row>
    <row r="4198" spans="12:16" ht="15" hidden="1" customHeight="1">
      <c r="L4198" s="58" t="str">
        <f t="shared" si="362"/>
        <v>-</v>
      </c>
      <c r="M4198" s="59">
        <f t="shared" si="360"/>
        <v>0</v>
      </c>
      <c r="N4198" s="59">
        <f t="shared" si="358"/>
        <v>0</v>
      </c>
      <c r="O4198" s="59">
        <f t="shared" si="361"/>
        <v>0</v>
      </c>
      <c r="P4198" s="59">
        <f t="shared" si="359"/>
        <v>0</v>
      </c>
    </row>
    <row r="4199" spans="12:16" ht="15" hidden="1" customHeight="1">
      <c r="L4199" s="58" t="str">
        <f t="shared" si="362"/>
        <v>-</v>
      </c>
      <c r="M4199" s="59">
        <f t="shared" si="360"/>
        <v>0</v>
      </c>
      <c r="N4199" s="59">
        <f t="shared" si="358"/>
        <v>0</v>
      </c>
      <c r="O4199" s="59">
        <f t="shared" si="361"/>
        <v>0</v>
      </c>
      <c r="P4199" s="59">
        <f t="shared" si="359"/>
        <v>0</v>
      </c>
    </row>
    <row r="4200" spans="12:16" ht="15" hidden="1" customHeight="1">
      <c r="L4200" s="58" t="str">
        <f t="shared" si="362"/>
        <v>-</v>
      </c>
      <c r="M4200" s="59">
        <f t="shared" si="360"/>
        <v>0</v>
      </c>
      <c r="N4200" s="59">
        <f t="shared" si="358"/>
        <v>0</v>
      </c>
      <c r="O4200" s="59">
        <f t="shared" si="361"/>
        <v>0</v>
      </c>
      <c r="P4200" s="59">
        <f t="shared" si="359"/>
        <v>0</v>
      </c>
    </row>
    <row r="4201" spans="12:16" ht="15" hidden="1" customHeight="1">
      <c r="L4201" s="58" t="str">
        <f t="shared" si="362"/>
        <v>-</v>
      </c>
      <c r="M4201" s="59">
        <f t="shared" si="360"/>
        <v>0</v>
      </c>
      <c r="N4201" s="59">
        <f t="shared" ref="N4201:N4264" si="363">IF(ISNUMBER(N4200),N4200-M4201,$E$8)</f>
        <v>0</v>
      </c>
      <c r="O4201" s="59">
        <f t="shared" si="361"/>
        <v>0</v>
      </c>
      <c r="P4201" s="59">
        <f t="shared" ref="P4201:P4264" si="364">IFERROR(IF(ISNUMBER(N4200),N4200,$E$8)*3%/IF(MOD(YEAR(L4201),4),365,366)*IF(ISBLANK(L4200),(L4201-$F$5),L4201-L4200),0)</f>
        <v>0</v>
      </c>
    </row>
    <row r="4202" spans="12:16" ht="15" hidden="1" customHeight="1">
      <c r="L4202" s="58" t="str">
        <f t="shared" si="362"/>
        <v>-</v>
      </c>
      <c r="M4202" s="59">
        <f t="shared" si="360"/>
        <v>0</v>
      </c>
      <c r="N4202" s="59">
        <f t="shared" si="363"/>
        <v>0</v>
      </c>
      <c r="O4202" s="59">
        <f t="shared" si="361"/>
        <v>0</v>
      </c>
      <c r="P4202" s="59">
        <f t="shared" si="364"/>
        <v>0</v>
      </c>
    </row>
    <row r="4203" spans="12:16" ht="15" hidden="1" customHeight="1">
      <c r="L4203" s="58" t="str">
        <f t="shared" si="362"/>
        <v>-</v>
      </c>
      <c r="M4203" s="59">
        <f t="shared" si="360"/>
        <v>0</v>
      </c>
      <c r="N4203" s="59">
        <f t="shared" si="363"/>
        <v>0</v>
      </c>
      <c r="O4203" s="59">
        <f t="shared" si="361"/>
        <v>0</v>
      </c>
      <c r="P4203" s="59">
        <f t="shared" si="364"/>
        <v>0</v>
      </c>
    </row>
    <row r="4204" spans="12:16" ht="15" hidden="1" customHeight="1">
      <c r="L4204" s="58" t="str">
        <f t="shared" si="362"/>
        <v>-</v>
      </c>
      <c r="M4204" s="59">
        <f t="shared" si="360"/>
        <v>0</v>
      </c>
      <c r="N4204" s="59">
        <f t="shared" si="363"/>
        <v>0</v>
      </c>
      <c r="O4204" s="59">
        <f t="shared" si="361"/>
        <v>0</v>
      </c>
      <c r="P4204" s="59">
        <f t="shared" si="364"/>
        <v>0</v>
      </c>
    </row>
    <row r="4205" spans="12:16" ht="15" hidden="1" customHeight="1">
      <c r="L4205" s="58" t="str">
        <f t="shared" si="362"/>
        <v>-</v>
      </c>
      <c r="M4205" s="59">
        <f t="shared" si="360"/>
        <v>0</v>
      </c>
      <c r="N4205" s="59">
        <f t="shared" si="363"/>
        <v>0</v>
      </c>
      <c r="O4205" s="59">
        <f t="shared" si="361"/>
        <v>0</v>
      </c>
      <c r="P4205" s="59">
        <f t="shared" si="364"/>
        <v>0</v>
      </c>
    </row>
    <row r="4206" spans="12:16" ht="15" hidden="1" customHeight="1">
      <c r="L4206" s="58" t="str">
        <f t="shared" si="362"/>
        <v>-</v>
      </c>
      <c r="M4206" s="59">
        <f t="shared" si="360"/>
        <v>0</v>
      </c>
      <c r="N4206" s="59">
        <f t="shared" si="363"/>
        <v>0</v>
      </c>
      <c r="O4206" s="59">
        <f t="shared" si="361"/>
        <v>0</v>
      </c>
      <c r="P4206" s="59">
        <f t="shared" si="364"/>
        <v>0</v>
      </c>
    </row>
    <row r="4207" spans="12:16" ht="15" hidden="1" customHeight="1">
      <c r="L4207" s="58" t="str">
        <f t="shared" si="362"/>
        <v>-</v>
      </c>
      <c r="M4207" s="59">
        <f t="shared" si="360"/>
        <v>0</v>
      </c>
      <c r="N4207" s="59">
        <f t="shared" si="363"/>
        <v>0</v>
      </c>
      <c r="O4207" s="59">
        <f t="shared" si="361"/>
        <v>0</v>
      </c>
      <c r="P4207" s="59">
        <f t="shared" si="364"/>
        <v>0</v>
      </c>
    </row>
    <row r="4208" spans="12:16" ht="15" hidden="1" customHeight="1">
      <c r="L4208" s="58" t="str">
        <f t="shared" si="362"/>
        <v>-</v>
      </c>
      <c r="M4208" s="59">
        <f t="shared" si="360"/>
        <v>0</v>
      </c>
      <c r="N4208" s="59">
        <f t="shared" si="363"/>
        <v>0</v>
      </c>
      <c r="O4208" s="59">
        <f t="shared" si="361"/>
        <v>0</v>
      </c>
      <c r="P4208" s="59">
        <f t="shared" si="364"/>
        <v>0</v>
      </c>
    </row>
    <row r="4209" spans="12:16" ht="15" hidden="1" customHeight="1">
      <c r="L4209" s="58" t="str">
        <f t="shared" si="362"/>
        <v>-</v>
      </c>
      <c r="M4209" s="59">
        <f t="shared" si="360"/>
        <v>0</v>
      </c>
      <c r="N4209" s="59">
        <f t="shared" si="363"/>
        <v>0</v>
      </c>
      <c r="O4209" s="59">
        <f t="shared" si="361"/>
        <v>0</v>
      </c>
      <c r="P4209" s="59">
        <f t="shared" si="364"/>
        <v>0</v>
      </c>
    </row>
    <row r="4210" spans="12:16" ht="15" hidden="1" customHeight="1">
      <c r="L4210" s="58" t="str">
        <f t="shared" si="362"/>
        <v>-</v>
      </c>
      <c r="M4210" s="59">
        <f t="shared" si="360"/>
        <v>0</v>
      </c>
      <c r="N4210" s="59">
        <f t="shared" si="363"/>
        <v>0</v>
      </c>
      <c r="O4210" s="59">
        <f t="shared" si="361"/>
        <v>0</v>
      </c>
      <c r="P4210" s="59">
        <f t="shared" si="364"/>
        <v>0</v>
      </c>
    </row>
    <row r="4211" spans="12:16" ht="15" hidden="1" customHeight="1">
      <c r="L4211" s="58" t="str">
        <f t="shared" si="362"/>
        <v>-</v>
      </c>
      <c r="M4211" s="59">
        <f t="shared" si="360"/>
        <v>0</v>
      </c>
      <c r="N4211" s="59">
        <f t="shared" si="363"/>
        <v>0</v>
      </c>
      <c r="O4211" s="59">
        <f t="shared" si="361"/>
        <v>0</v>
      </c>
      <c r="P4211" s="59">
        <f t="shared" si="364"/>
        <v>0</v>
      </c>
    </row>
    <row r="4212" spans="12:16" ht="15" hidden="1" customHeight="1">
      <c r="L4212" s="58" t="str">
        <f t="shared" si="362"/>
        <v>-</v>
      </c>
      <c r="M4212" s="59">
        <f t="shared" si="360"/>
        <v>0</v>
      </c>
      <c r="N4212" s="59">
        <f t="shared" si="363"/>
        <v>0</v>
      </c>
      <c r="O4212" s="59">
        <f t="shared" si="361"/>
        <v>0</v>
      </c>
      <c r="P4212" s="59">
        <f t="shared" si="364"/>
        <v>0</v>
      </c>
    </row>
    <row r="4213" spans="12:16" ht="15" hidden="1" customHeight="1">
      <c r="L4213" s="58" t="str">
        <f t="shared" si="362"/>
        <v>-</v>
      </c>
      <c r="M4213" s="59">
        <f t="shared" si="360"/>
        <v>0</v>
      </c>
      <c r="N4213" s="59">
        <f t="shared" si="363"/>
        <v>0</v>
      </c>
      <c r="O4213" s="59">
        <f t="shared" si="361"/>
        <v>0</v>
      </c>
      <c r="P4213" s="59">
        <f t="shared" si="364"/>
        <v>0</v>
      </c>
    </row>
    <row r="4214" spans="12:16" ht="15" hidden="1" customHeight="1">
      <c r="L4214" s="58" t="str">
        <f t="shared" si="362"/>
        <v>-</v>
      </c>
      <c r="M4214" s="59">
        <f t="shared" si="360"/>
        <v>0</v>
      </c>
      <c r="N4214" s="59">
        <f t="shared" si="363"/>
        <v>0</v>
      </c>
      <c r="O4214" s="59">
        <f t="shared" si="361"/>
        <v>0</v>
      </c>
      <c r="P4214" s="59">
        <f t="shared" si="364"/>
        <v>0</v>
      </c>
    </row>
    <row r="4215" spans="12:16" ht="15" hidden="1" customHeight="1">
      <c r="L4215" s="58" t="str">
        <f t="shared" si="362"/>
        <v>-</v>
      </c>
      <c r="M4215" s="59">
        <f t="shared" si="360"/>
        <v>0</v>
      </c>
      <c r="N4215" s="59">
        <f t="shared" si="363"/>
        <v>0</v>
      </c>
      <c r="O4215" s="59">
        <f t="shared" si="361"/>
        <v>0</v>
      </c>
      <c r="P4215" s="59">
        <f t="shared" si="364"/>
        <v>0</v>
      </c>
    </row>
    <row r="4216" spans="12:16" ht="15" hidden="1" customHeight="1">
      <c r="L4216" s="58" t="str">
        <f t="shared" si="362"/>
        <v>-</v>
      </c>
      <c r="M4216" s="59">
        <f t="shared" si="360"/>
        <v>0</v>
      </c>
      <c r="N4216" s="59">
        <f t="shared" si="363"/>
        <v>0</v>
      </c>
      <c r="O4216" s="59">
        <f t="shared" si="361"/>
        <v>0</v>
      </c>
      <c r="P4216" s="59">
        <f t="shared" si="364"/>
        <v>0</v>
      </c>
    </row>
    <row r="4217" spans="12:16" ht="15" hidden="1" customHeight="1">
      <c r="L4217" s="58" t="str">
        <f t="shared" si="362"/>
        <v>-</v>
      </c>
      <c r="M4217" s="59">
        <f t="shared" si="360"/>
        <v>0</v>
      </c>
      <c r="N4217" s="59">
        <f t="shared" si="363"/>
        <v>0</v>
      </c>
      <c r="O4217" s="59">
        <f t="shared" si="361"/>
        <v>0</v>
      </c>
      <c r="P4217" s="59">
        <f t="shared" si="364"/>
        <v>0</v>
      </c>
    </row>
    <row r="4218" spans="12:16" ht="15" hidden="1" customHeight="1">
      <c r="L4218" s="58" t="str">
        <f t="shared" si="362"/>
        <v>-</v>
      </c>
      <c r="M4218" s="59">
        <f t="shared" si="360"/>
        <v>0</v>
      </c>
      <c r="N4218" s="59">
        <f t="shared" si="363"/>
        <v>0</v>
      </c>
      <c r="O4218" s="59">
        <f t="shared" si="361"/>
        <v>0</v>
      </c>
      <c r="P4218" s="59">
        <f t="shared" si="364"/>
        <v>0</v>
      </c>
    </row>
    <row r="4219" spans="12:16" ht="15" hidden="1" customHeight="1">
      <c r="L4219" s="58" t="str">
        <f t="shared" si="362"/>
        <v>-</v>
      </c>
      <c r="M4219" s="59">
        <f t="shared" si="360"/>
        <v>0</v>
      </c>
      <c r="N4219" s="59">
        <f t="shared" si="363"/>
        <v>0</v>
      </c>
      <c r="O4219" s="59">
        <f t="shared" si="361"/>
        <v>0</v>
      </c>
      <c r="P4219" s="59">
        <f t="shared" si="364"/>
        <v>0</v>
      </c>
    </row>
    <row r="4220" spans="12:16" ht="15" hidden="1" customHeight="1">
      <c r="L4220" s="58" t="str">
        <f t="shared" si="362"/>
        <v>-</v>
      </c>
      <c r="M4220" s="59">
        <f t="shared" si="360"/>
        <v>0</v>
      </c>
      <c r="N4220" s="59">
        <f t="shared" si="363"/>
        <v>0</v>
      </c>
      <c r="O4220" s="59">
        <f t="shared" si="361"/>
        <v>0</v>
      </c>
      <c r="P4220" s="59">
        <f t="shared" si="364"/>
        <v>0</v>
      </c>
    </row>
    <row r="4221" spans="12:16" ht="15" hidden="1" customHeight="1">
      <c r="L4221" s="58" t="str">
        <f t="shared" si="362"/>
        <v>-</v>
      </c>
      <c r="M4221" s="59">
        <f t="shared" si="360"/>
        <v>0</v>
      </c>
      <c r="N4221" s="59">
        <f t="shared" si="363"/>
        <v>0</v>
      </c>
      <c r="O4221" s="59">
        <f t="shared" si="361"/>
        <v>0</v>
      </c>
      <c r="P4221" s="59">
        <f t="shared" si="364"/>
        <v>0</v>
      </c>
    </row>
    <row r="4222" spans="12:16" ht="15" hidden="1" customHeight="1">
      <c r="L4222" s="58" t="str">
        <f t="shared" si="362"/>
        <v>-</v>
      </c>
      <c r="M4222" s="59">
        <f t="shared" si="360"/>
        <v>0</v>
      </c>
      <c r="N4222" s="59">
        <f t="shared" si="363"/>
        <v>0</v>
      </c>
      <c r="O4222" s="59">
        <f t="shared" si="361"/>
        <v>0</v>
      </c>
      <c r="P4222" s="59">
        <f t="shared" si="364"/>
        <v>0</v>
      </c>
    </row>
    <row r="4223" spans="12:16" ht="15" hidden="1" customHeight="1">
      <c r="L4223" s="58" t="str">
        <f t="shared" si="362"/>
        <v>-</v>
      </c>
      <c r="M4223" s="59">
        <f t="shared" si="360"/>
        <v>0</v>
      </c>
      <c r="N4223" s="59">
        <f t="shared" si="363"/>
        <v>0</v>
      </c>
      <c r="O4223" s="59">
        <f t="shared" si="361"/>
        <v>0</v>
      </c>
      <c r="P4223" s="59">
        <f t="shared" si="364"/>
        <v>0</v>
      </c>
    </row>
    <row r="4224" spans="12:16" ht="15" hidden="1" customHeight="1">
      <c r="L4224" s="58" t="str">
        <f t="shared" si="362"/>
        <v>-</v>
      </c>
      <c r="M4224" s="59">
        <f t="shared" si="360"/>
        <v>0</v>
      </c>
      <c r="N4224" s="59">
        <f t="shared" si="363"/>
        <v>0</v>
      </c>
      <c r="O4224" s="59">
        <f t="shared" si="361"/>
        <v>0</v>
      </c>
      <c r="P4224" s="59">
        <f t="shared" si="364"/>
        <v>0</v>
      </c>
    </row>
    <row r="4225" spans="12:16" ht="15" hidden="1" customHeight="1">
      <c r="L4225" s="58" t="str">
        <f t="shared" si="362"/>
        <v>-</v>
      </c>
      <c r="M4225" s="59">
        <f t="shared" si="360"/>
        <v>0</v>
      </c>
      <c r="N4225" s="59">
        <f t="shared" si="363"/>
        <v>0</v>
      </c>
      <c r="O4225" s="59">
        <f t="shared" si="361"/>
        <v>0</v>
      </c>
      <c r="P4225" s="59">
        <f t="shared" si="364"/>
        <v>0</v>
      </c>
    </row>
    <row r="4226" spans="12:16" ht="15" hidden="1" customHeight="1">
      <c r="L4226" s="58" t="str">
        <f t="shared" si="362"/>
        <v>-</v>
      </c>
      <c r="M4226" s="59">
        <f t="shared" si="360"/>
        <v>0</v>
      </c>
      <c r="N4226" s="59">
        <f t="shared" si="363"/>
        <v>0</v>
      </c>
      <c r="O4226" s="59">
        <f t="shared" si="361"/>
        <v>0</v>
      </c>
      <c r="P4226" s="59">
        <f t="shared" si="364"/>
        <v>0</v>
      </c>
    </row>
    <row r="4227" spans="12:16" ht="15" hidden="1" customHeight="1">
      <c r="L4227" s="58" t="str">
        <f t="shared" si="362"/>
        <v>-</v>
      </c>
      <c r="M4227" s="59">
        <f t="shared" si="360"/>
        <v>0</v>
      </c>
      <c r="N4227" s="59">
        <f t="shared" si="363"/>
        <v>0</v>
      </c>
      <c r="O4227" s="59">
        <f t="shared" si="361"/>
        <v>0</v>
      </c>
      <c r="P4227" s="59">
        <f t="shared" si="364"/>
        <v>0</v>
      </c>
    </row>
    <row r="4228" spans="12:16" ht="15" hidden="1" customHeight="1">
      <c r="L4228" s="58" t="str">
        <f t="shared" si="362"/>
        <v>-</v>
      </c>
      <c r="M4228" s="59">
        <f t="shared" si="360"/>
        <v>0</v>
      </c>
      <c r="N4228" s="59">
        <f t="shared" si="363"/>
        <v>0</v>
      </c>
      <c r="O4228" s="59">
        <f t="shared" si="361"/>
        <v>0</v>
      </c>
      <c r="P4228" s="59">
        <f t="shared" si="364"/>
        <v>0</v>
      </c>
    </row>
    <row r="4229" spans="12:16" ht="15" hidden="1" customHeight="1">
      <c r="L4229" s="58" t="str">
        <f t="shared" si="362"/>
        <v>-</v>
      </c>
      <c r="M4229" s="59">
        <f t="shared" si="360"/>
        <v>0</v>
      </c>
      <c r="N4229" s="59">
        <f t="shared" si="363"/>
        <v>0</v>
      </c>
      <c r="O4229" s="59">
        <f t="shared" si="361"/>
        <v>0</v>
      </c>
      <c r="P4229" s="59">
        <f t="shared" si="364"/>
        <v>0</v>
      </c>
    </row>
    <row r="4230" spans="12:16" ht="15" hidden="1" customHeight="1">
      <c r="L4230" s="58" t="str">
        <f t="shared" si="362"/>
        <v>-</v>
      </c>
      <c r="M4230" s="59">
        <f t="shared" si="360"/>
        <v>0</v>
      </c>
      <c r="N4230" s="59">
        <f t="shared" si="363"/>
        <v>0</v>
      </c>
      <c r="O4230" s="59">
        <f t="shared" si="361"/>
        <v>0</v>
      </c>
      <c r="P4230" s="59">
        <f t="shared" si="364"/>
        <v>0</v>
      </c>
    </row>
    <row r="4231" spans="12:16" ht="15" hidden="1" customHeight="1">
      <c r="L4231" s="58" t="str">
        <f t="shared" si="362"/>
        <v>-</v>
      </c>
      <c r="M4231" s="59">
        <f t="shared" si="360"/>
        <v>0</v>
      </c>
      <c r="N4231" s="59">
        <f t="shared" si="363"/>
        <v>0</v>
      </c>
      <c r="O4231" s="59">
        <f t="shared" si="361"/>
        <v>0</v>
      </c>
      <c r="P4231" s="59">
        <f t="shared" si="364"/>
        <v>0</v>
      </c>
    </row>
    <row r="4232" spans="12:16" ht="15" hidden="1" customHeight="1">
      <c r="L4232" s="58" t="str">
        <f t="shared" si="362"/>
        <v>-</v>
      </c>
      <c r="M4232" s="59">
        <f t="shared" si="360"/>
        <v>0</v>
      </c>
      <c r="N4232" s="59">
        <f t="shared" si="363"/>
        <v>0</v>
      </c>
      <c r="O4232" s="59">
        <f t="shared" si="361"/>
        <v>0</v>
      </c>
      <c r="P4232" s="59">
        <f t="shared" si="364"/>
        <v>0</v>
      </c>
    </row>
    <row r="4233" spans="12:16" ht="15" hidden="1" customHeight="1">
      <c r="L4233" s="58" t="str">
        <f t="shared" si="362"/>
        <v>-</v>
      </c>
      <c r="M4233" s="59">
        <f t="shared" si="360"/>
        <v>0</v>
      </c>
      <c r="N4233" s="59">
        <f t="shared" si="363"/>
        <v>0</v>
      </c>
      <c r="O4233" s="59">
        <f t="shared" si="361"/>
        <v>0</v>
      </c>
      <c r="P4233" s="59">
        <f t="shared" si="364"/>
        <v>0</v>
      </c>
    </row>
    <row r="4234" spans="12:16" ht="15" hidden="1" customHeight="1">
      <c r="L4234" s="58" t="str">
        <f t="shared" si="362"/>
        <v>-</v>
      </c>
      <c r="M4234" s="59">
        <f t="shared" si="360"/>
        <v>0</v>
      </c>
      <c r="N4234" s="59">
        <f t="shared" si="363"/>
        <v>0</v>
      </c>
      <c r="O4234" s="59">
        <f t="shared" si="361"/>
        <v>0</v>
      </c>
      <c r="P4234" s="59">
        <f t="shared" si="364"/>
        <v>0</v>
      </c>
    </row>
    <row r="4235" spans="12:16" ht="15" hidden="1" customHeight="1">
      <c r="L4235" s="58" t="str">
        <f t="shared" si="362"/>
        <v>-</v>
      </c>
      <c r="M4235" s="59">
        <f t="shared" si="360"/>
        <v>0</v>
      </c>
      <c r="N4235" s="59">
        <f t="shared" si="363"/>
        <v>0</v>
      </c>
      <c r="O4235" s="59">
        <f t="shared" si="361"/>
        <v>0</v>
      </c>
      <c r="P4235" s="59">
        <f t="shared" si="364"/>
        <v>0</v>
      </c>
    </row>
    <row r="4236" spans="12:16" ht="15" hidden="1" customHeight="1">
      <c r="L4236" s="58" t="str">
        <f t="shared" si="362"/>
        <v>-</v>
      </c>
      <c r="M4236" s="59">
        <f t="shared" si="360"/>
        <v>0</v>
      </c>
      <c r="N4236" s="59">
        <f t="shared" si="363"/>
        <v>0</v>
      </c>
      <c r="O4236" s="59">
        <f t="shared" si="361"/>
        <v>0</v>
      </c>
      <c r="P4236" s="59">
        <f t="shared" si="364"/>
        <v>0</v>
      </c>
    </row>
    <row r="4237" spans="12:16" ht="15" hidden="1" customHeight="1">
      <c r="L4237" s="58" t="str">
        <f t="shared" si="362"/>
        <v>-</v>
      </c>
      <c r="M4237" s="59">
        <f t="shared" si="360"/>
        <v>0</v>
      </c>
      <c r="N4237" s="59">
        <f t="shared" si="363"/>
        <v>0</v>
      </c>
      <c r="O4237" s="59">
        <f t="shared" si="361"/>
        <v>0</v>
      </c>
      <c r="P4237" s="59">
        <f t="shared" si="364"/>
        <v>0</v>
      </c>
    </row>
    <row r="4238" spans="12:16" ht="15" hidden="1" customHeight="1">
      <c r="L4238" s="58" t="str">
        <f t="shared" si="362"/>
        <v>-</v>
      </c>
      <c r="M4238" s="59">
        <f t="shared" si="360"/>
        <v>0</v>
      </c>
      <c r="N4238" s="59">
        <f t="shared" si="363"/>
        <v>0</v>
      </c>
      <c r="O4238" s="59">
        <f t="shared" si="361"/>
        <v>0</v>
      </c>
      <c r="P4238" s="59">
        <f t="shared" si="364"/>
        <v>0</v>
      </c>
    </row>
    <row r="4239" spans="12:16" ht="15" hidden="1" customHeight="1">
      <c r="L4239" s="58" t="str">
        <f t="shared" si="362"/>
        <v>-</v>
      </c>
      <c r="M4239" s="59">
        <f t="shared" si="360"/>
        <v>0</v>
      </c>
      <c r="N4239" s="59">
        <f t="shared" si="363"/>
        <v>0</v>
      </c>
      <c r="O4239" s="59">
        <f t="shared" si="361"/>
        <v>0</v>
      </c>
      <c r="P4239" s="59">
        <f t="shared" si="364"/>
        <v>0</v>
      </c>
    </row>
    <row r="4240" spans="12:16" ht="15" hidden="1" customHeight="1">
      <c r="L4240" s="58" t="str">
        <f t="shared" si="362"/>
        <v>-</v>
      </c>
      <c r="M4240" s="59">
        <f t="shared" si="360"/>
        <v>0</v>
      </c>
      <c r="N4240" s="59">
        <f t="shared" si="363"/>
        <v>0</v>
      </c>
      <c r="O4240" s="59">
        <f t="shared" si="361"/>
        <v>0</v>
      </c>
      <c r="P4240" s="59">
        <f t="shared" si="364"/>
        <v>0</v>
      </c>
    </row>
    <row r="4241" spans="12:16" ht="15" hidden="1" customHeight="1">
      <c r="L4241" s="58" t="str">
        <f t="shared" si="362"/>
        <v>-</v>
      </c>
      <c r="M4241" s="59">
        <f t="shared" si="360"/>
        <v>0</v>
      </c>
      <c r="N4241" s="59">
        <f t="shared" si="363"/>
        <v>0</v>
      </c>
      <c r="O4241" s="59">
        <f t="shared" si="361"/>
        <v>0</v>
      </c>
      <c r="P4241" s="59">
        <f t="shared" si="364"/>
        <v>0</v>
      </c>
    </row>
    <row r="4242" spans="12:16" ht="15" hidden="1" customHeight="1">
      <c r="L4242" s="58" t="str">
        <f t="shared" si="362"/>
        <v>-</v>
      </c>
      <c r="M4242" s="59">
        <f t="shared" si="360"/>
        <v>0</v>
      </c>
      <c r="N4242" s="59">
        <f t="shared" si="363"/>
        <v>0</v>
      </c>
      <c r="O4242" s="59">
        <f t="shared" si="361"/>
        <v>0</v>
      </c>
      <c r="P4242" s="59">
        <f t="shared" si="364"/>
        <v>0</v>
      </c>
    </row>
    <row r="4243" spans="12:16" ht="15" hidden="1" customHeight="1">
      <c r="L4243" s="58" t="str">
        <f t="shared" si="362"/>
        <v>-</v>
      </c>
      <c r="M4243" s="59">
        <f t="shared" ref="M4243:M4306" si="365">IFERROR(VLOOKUP(L4243,$B$19:$E$80,4,FALSE),0)</f>
        <v>0</v>
      </c>
      <c r="N4243" s="59">
        <f t="shared" si="363"/>
        <v>0</v>
      </c>
      <c r="O4243" s="59">
        <f t="shared" ref="O4243:O4306" si="366">IFERROR(IF(ISNUMBER(N4242),N4242,$E$8)*IF(L4243&gt;=$J$8,$E$12,$E$12)/IF(MOD(YEAR(L4243),4),365,366)*IF(ISBLANK(L4242),L4243-$F$5,L4243-L4242),0)</f>
        <v>0</v>
      </c>
      <c r="P4243" s="59">
        <f t="shared" si="364"/>
        <v>0</v>
      </c>
    </row>
    <row r="4244" spans="12:16" ht="15" hidden="1" customHeight="1">
      <c r="L4244" s="58" t="str">
        <f t="shared" si="362"/>
        <v>-</v>
      </c>
      <c r="M4244" s="59">
        <f t="shared" si="365"/>
        <v>0</v>
      </c>
      <c r="N4244" s="59">
        <f t="shared" si="363"/>
        <v>0</v>
      </c>
      <c r="O4244" s="59">
        <f t="shared" si="366"/>
        <v>0</v>
      </c>
      <c r="P4244" s="59">
        <f t="shared" si="364"/>
        <v>0</v>
      </c>
    </row>
    <row r="4245" spans="12:16" ht="15" hidden="1" customHeight="1">
      <c r="L4245" s="58" t="str">
        <f t="shared" si="362"/>
        <v>-</v>
      </c>
      <c r="M4245" s="59">
        <f t="shared" si="365"/>
        <v>0</v>
      </c>
      <c r="N4245" s="59">
        <f t="shared" si="363"/>
        <v>0</v>
      </c>
      <c r="O4245" s="59">
        <f t="shared" si="366"/>
        <v>0</v>
      </c>
      <c r="P4245" s="59">
        <f t="shared" si="364"/>
        <v>0</v>
      </c>
    </row>
    <row r="4246" spans="12:16" ht="15" hidden="1" customHeight="1">
      <c r="L4246" s="58" t="str">
        <f t="shared" si="362"/>
        <v>-</v>
      </c>
      <c r="M4246" s="59">
        <f t="shared" si="365"/>
        <v>0</v>
      </c>
      <c r="N4246" s="59">
        <f t="shared" si="363"/>
        <v>0</v>
      </c>
      <c r="O4246" s="59">
        <f t="shared" si="366"/>
        <v>0</v>
      </c>
      <c r="P4246" s="59">
        <f t="shared" si="364"/>
        <v>0</v>
      </c>
    </row>
    <row r="4247" spans="12:16" ht="15" hidden="1" customHeight="1">
      <c r="L4247" s="58" t="str">
        <f t="shared" si="362"/>
        <v>-</v>
      </c>
      <c r="M4247" s="59">
        <f t="shared" si="365"/>
        <v>0</v>
      </c>
      <c r="N4247" s="59">
        <f t="shared" si="363"/>
        <v>0</v>
      </c>
      <c r="O4247" s="59">
        <f t="shared" si="366"/>
        <v>0</v>
      </c>
      <c r="P4247" s="59">
        <f t="shared" si="364"/>
        <v>0</v>
      </c>
    </row>
    <row r="4248" spans="12:16" ht="15" hidden="1" customHeight="1">
      <c r="L4248" s="58" t="str">
        <f t="shared" si="362"/>
        <v>-</v>
      </c>
      <c r="M4248" s="59">
        <f t="shared" si="365"/>
        <v>0</v>
      </c>
      <c r="N4248" s="59">
        <f t="shared" si="363"/>
        <v>0</v>
      </c>
      <c r="O4248" s="59">
        <f t="shared" si="366"/>
        <v>0</v>
      </c>
      <c r="P4248" s="59">
        <f t="shared" si="364"/>
        <v>0</v>
      </c>
    </row>
    <row r="4249" spans="12:16" ht="15" hidden="1" customHeight="1">
      <c r="L4249" s="58" t="str">
        <f t="shared" si="362"/>
        <v>-</v>
      </c>
      <c r="M4249" s="59">
        <f t="shared" si="365"/>
        <v>0</v>
      </c>
      <c r="N4249" s="59">
        <f t="shared" si="363"/>
        <v>0</v>
      </c>
      <c r="O4249" s="59">
        <f t="shared" si="366"/>
        <v>0</v>
      </c>
      <c r="P4249" s="59">
        <f t="shared" si="364"/>
        <v>0</v>
      </c>
    </row>
    <row r="4250" spans="12:16" ht="15" hidden="1" customHeight="1">
      <c r="L4250" s="58" t="str">
        <f t="shared" si="362"/>
        <v>-</v>
      </c>
      <c r="M4250" s="59">
        <f t="shared" si="365"/>
        <v>0</v>
      </c>
      <c r="N4250" s="59">
        <f t="shared" si="363"/>
        <v>0</v>
      </c>
      <c r="O4250" s="59">
        <f t="shared" si="366"/>
        <v>0</v>
      </c>
      <c r="P4250" s="59">
        <f t="shared" si="364"/>
        <v>0</v>
      </c>
    </row>
    <row r="4251" spans="12:16" ht="15" hidden="1" customHeight="1">
      <c r="L4251" s="58" t="str">
        <f t="shared" si="362"/>
        <v>-</v>
      </c>
      <c r="M4251" s="59">
        <f t="shared" si="365"/>
        <v>0</v>
      </c>
      <c r="N4251" s="59">
        <f t="shared" si="363"/>
        <v>0</v>
      </c>
      <c r="O4251" s="59">
        <f t="shared" si="366"/>
        <v>0</v>
      </c>
      <c r="P4251" s="59">
        <f t="shared" si="364"/>
        <v>0</v>
      </c>
    </row>
    <row r="4252" spans="12:16" ht="15" hidden="1" customHeight="1">
      <c r="L4252" s="58" t="str">
        <f t="shared" si="362"/>
        <v>-</v>
      </c>
      <c r="M4252" s="59">
        <f t="shared" si="365"/>
        <v>0</v>
      </c>
      <c r="N4252" s="59">
        <f t="shared" si="363"/>
        <v>0</v>
      </c>
      <c r="O4252" s="59">
        <f t="shared" si="366"/>
        <v>0</v>
      </c>
      <c r="P4252" s="59">
        <f t="shared" si="364"/>
        <v>0</v>
      </c>
    </row>
    <row r="4253" spans="12:16" ht="15" hidden="1" customHeight="1">
      <c r="L4253" s="58" t="str">
        <f t="shared" si="362"/>
        <v>-</v>
      </c>
      <c r="M4253" s="59">
        <f t="shared" si="365"/>
        <v>0</v>
      </c>
      <c r="N4253" s="59">
        <f t="shared" si="363"/>
        <v>0</v>
      </c>
      <c r="O4253" s="59">
        <f t="shared" si="366"/>
        <v>0</v>
      </c>
      <c r="P4253" s="59">
        <f t="shared" si="364"/>
        <v>0</v>
      </c>
    </row>
    <row r="4254" spans="12:16" ht="15" hidden="1" customHeight="1">
      <c r="L4254" s="58" t="str">
        <f t="shared" si="362"/>
        <v>-</v>
      </c>
      <c r="M4254" s="59">
        <f t="shared" si="365"/>
        <v>0</v>
      </c>
      <c r="N4254" s="59">
        <f t="shared" si="363"/>
        <v>0</v>
      </c>
      <c r="O4254" s="59">
        <f t="shared" si="366"/>
        <v>0</v>
      </c>
      <c r="P4254" s="59">
        <f t="shared" si="364"/>
        <v>0</v>
      </c>
    </row>
    <row r="4255" spans="12:16" ht="15" hidden="1" customHeight="1">
      <c r="L4255" s="58" t="str">
        <f t="shared" si="362"/>
        <v>-</v>
      </c>
      <c r="M4255" s="59">
        <f t="shared" si="365"/>
        <v>0</v>
      </c>
      <c r="N4255" s="59">
        <f t="shared" si="363"/>
        <v>0</v>
      </c>
      <c r="O4255" s="59">
        <f t="shared" si="366"/>
        <v>0</v>
      </c>
      <c r="P4255" s="59">
        <f t="shared" si="364"/>
        <v>0</v>
      </c>
    </row>
    <row r="4256" spans="12:16" ht="15" hidden="1" customHeight="1">
      <c r="L4256" s="58" t="str">
        <f t="shared" si="362"/>
        <v>-</v>
      </c>
      <c r="M4256" s="59">
        <f t="shared" si="365"/>
        <v>0</v>
      </c>
      <c r="N4256" s="59">
        <f t="shared" si="363"/>
        <v>0</v>
      </c>
      <c r="O4256" s="59">
        <f t="shared" si="366"/>
        <v>0</v>
      </c>
      <c r="P4256" s="59">
        <f t="shared" si="364"/>
        <v>0</v>
      </c>
    </row>
    <row r="4257" spans="12:16" ht="15" hidden="1" customHeight="1">
      <c r="L4257" s="58" t="str">
        <f t="shared" ref="L4257:L4320" si="367">IFERROR(IF(MAX(L4256+1,$F$5+1)&gt;Дата_погашения_Займа,"-",MAX(L4256+1,$F$5+1)),"-")</f>
        <v>-</v>
      </c>
      <c r="M4257" s="59">
        <f t="shared" si="365"/>
        <v>0</v>
      </c>
      <c r="N4257" s="59">
        <f t="shared" si="363"/>
        <v>0</v>
      </c>
      <c r="O4257" s="59">
        <f t="shared" si="366"/>
        <v>0</v>
      </c>
      <c r="P4257" s="59">
        <f t="shared" si="364"/>
        <v>0</v>
      </c>
    </row>
    <row r="4258" spans="12:16" ht="15" hidden="1" customHeight="1">
      <c r="L4258" s="58" t="str">
        <f t="shared" si="367"/>
        <v>-</v>
      </c>
      <c r="M4258" s="59">
        <f t="shared" si="365"/>
        <v>0</v>
      </c>
      <c r="N4258" s="59">
        <f t="shared" si="363"/>
        <v>0</v>
      </c>
      <c r="O4258" s="59">
        <f t="shared" si="366"/>
        <v>0</v>
      </c>
      <c r="P4258" s="59">
        <f t="shared" si="364"/>
        <v>0</v>
      </c>
    </row>
    <row r="4259" spans="12:16" ht="15" hidden="1" customHeight="1">
      <c r="L4259" s="58" t="str">
        <f t="shared" si="367"/>
        <v>-</v>
      </c>
      <c r="M4259" s="59">
        <f t="shared" si="365"/>
        <v>0</v>
      </c>
      <c r="N4259" s="59">
        <f t="shared" si="363"/>
        <v>0</v>
      </c>
      <c r="O4259" s="59">
        <f t="shared" si="366"/>
        <v>0</v>
      </c>
      <c r="P4259" s="59">
        <f t="shared" si="364"/>
        <v>0</v>
      </c>
    </row>
    <row r="4260" spans="12:16" ht="15" hidden="1" customHeight="1">
      <c r="L4260" s="58" t="str">
        <f t="shared" si="367"/>
        <v>-</v>
      </c>
      <c r="M4260" s="59">
        <f t="shared" si="365"/>
        <v>0</v>
      </c>
      <c r="N4260" s="59">
        <f t="shared" si="363"/>
        <v>0</v>
      </c>
      <c r="O4260" s="59">
        <f t="shared" si="366"/>
        <v>0</v>
      </c>
      <c r="P4260" s="59">
        <f t="shared" si="364"/>
        <v>0</v>
      </c>
    </row>
    <row r="4261" spans="12:16" ht="15" hidden="1" customHeight="1">
      <c r="L4261" s="58" t="str">
        <f t="shared" si="367"/>
        <v>-</v>
      </c>
      <c r="M4261" s="59">
        <f t="shared" si="365"/>
        <v>0</v>
      </c>
      <c r="N4261" s="59">
        <f t="shared" si="363"/>
        <v>0</v>
      </c>
      <c r="O4261" s="59">
        <f t="shared" si="366"/>
        <v>0</v>
      </c>
      <c r="P4261" s="59">
        <f t="shared" si="364"/>
        <v>0</v>
      </c>
    </row>
    <row r="4262" spans="12:16" ht="15" hidden="1" customHeight="1">
      <c r="L4262" s="58" t="str">
        <f t="shared" si="367"/>
        <v>-</v>
      </c>
      <c r="M4262" s="59">
        <f t="shared" si="365"/>
        <v>0</v>
      </c>
      <c r="N4262" s="59">
        <f t="shared" si="363"/>
        <v>0</v>
      </c>
      <c r="O4262" s="59">
        <f t="shared" si="366"/>
        <v>0</v>
      </c>
      <c r="P4262" s="59">
        <f t="shared" si="364"/>
        <v>0</v>
      </c>
    </row>
    <row r="4263" spans="12:16" ht="15" hidden="1" customHeight="1">
      <c r="L4263" s="58" t="str">
        <f t="shared" si="367"/>
        <v>-</v>
      </c>
      <c r="M4263" s="59">
        <f t="shared" si="365"/>
        <v>0</v>
      </c>
      <c r="N4263" s="59">
        <f t="shared" si="363"/>
        <v>0</v>
      </c>
      <c r="O4263" s="59">
        <f t="shared" si="366"/>
        <v>0</v>
      </c>
      <c r="P4263" s="59">
        <f t="shared" si="364"/>
        <v>0</v>
      </c>
    </row>
    <row r="4264" spans="12:16" ht="15" hidden="1" customHeight="1">
      <c r="L4264" s="58" t="str">
        <f t="shared" si="367"/>
        <v>-</v>
      </c>
      <c r="M4264" s="59">
        <f t="shared" si="365"/>
        <v>0</v>
      </c>
      <c r="N4264" s="59">
        <f t="shared" si="363"/>
        <v>0</v>
      </c>
      <c r="O4264" s="59">
        <f t="shared" si="366"/>
        <v>0</v>
      </c>
      <c r="P4264" s="59">
        <f t="shared" si="364"/>
        <v>0</v>
      </c>
    </row>
    <row r="4265" spans="12:16" ht="15" hidden="1" customHeight="1">
      <c r="L4265" s="58" t="str">
        <f t="shared" si="367"/>
        <v>-</v>
      </c>
      <c r="M4265" s="59">
        <f t="shared" si="365"/>
        <v>0</v>
      </c>
      <c r="N4265" s="59">
        <f t="shared" ref="N4265:N4328" si="368">IF(ISNUMBER(N4264),N4264-M4265,$E$8)</f>
        <v>0</v>
      </c>
      <c r="O4265" s="59">
        <f t="shared" si="366"/>
        <v>0</v>
      </c>
      <c r="P4265" s="59">
        <f t="shared" ref="P4265:P4328" si="369">IFERROR(IF(ISNUMBER(N4264),N4264,$E$8)*3%/IF(MOD(YEAR(L4265),4),365,366)*IF(ISBLANK(L4264),(L4265-$F$5),L4265-L4264),0)</f>
        <v>0</v>
      </c>
    </row>
    <row r="4266" spans="12:16" ht="15" hidden="1" customHeight="1">
      <c r="L4266" s="58" t="str">
        <f t="shared" si="367"/>
        <v>-</v>
      </c>
      <c r="M4266" s="59">
        <f t="shared" si="365"/>
        <v>0</v>
      </c>
      <c r="N4266" s="59">
        <f t="shared" si="368"/>
        <v>0</v>
      </c>
      <c r="O4266" s="59">
        <f t="shared" si="366"/>
        <v>0</v>
      </c>
      <c r="P4266" s="59">
        <f t="shared" si="369"/>
        <v>0</v>
      </c>
    </row>
    <row r="4267" spans="12:16" ht="15" hidden="1" customHeight="1">
      <c r="L4267" s="58" t="str">
        <f t="shared" si="367"/>
        <v>-</v>
      </c>
      <c r="M4267" s="59">
        <f t="shared" si="365"/>
        <v>0</v>
      </c>
      <c r="N4267" s="59">
        <f t="shared" si="368"/>
        <v>0</v>
      </c>
      <c r="O4267" s="59">
        <f t="shared" si="366"/>
        <v>0</v>
      </c>
      <c r="P4267" s="59">
        <f t="shared" si="369"/>
        <v>0</v>
      </c>
    </row>
    <row r="4268" spans="12:16" ht="15" hidden="1" customHeight="1">
      <c r="L4268" s="58" t="str">
        <f t="shared" si="367"/>
        <v>-</v>
      </c>
      <c r="M4268" s="59">
        <f t="shared" si="365"/>
        <v>0</v>
      </c>
      <c r="N4268" s="59">
        <f t="shared" si="368"/>
        <v>0</v>
      </c>
      <c r="O4268" s="59">
        <f t="shared" si="366"/>
        <v>0</v>
      </c>
      <c r="P4268" s="59">
        <f t="shared" si="369"/>
        <v>0</v>
      </c>
    </row>
    <row r="4269" spans="12:16" ht="15" hidden="1" customHeight="1">
      <c r="L4269" s="58" t="str">
        <f t="shared" si="367"/>
        <v>-</v>
      </c>
      <c r="M4269" s="59">
        <f t="shared" si="365"/>
        <v>0</v>
      </c>
      <c r="N4269" s="59">
        <f t="shared" si="368"/>
        <v>0</v>
      </c>
      <c r="O4269" s="59">
        <f t="shared" si="366"/>
        <v>0</v>
      </c>
      <c r="P4269" s="59">
        <f t="shared" si="369"/>
        <v>0</v>
      </c>
    </row>
    <row r="4270" spans="12:16" ht="15" hidden="1" customHeight="1">
      <c r="L4270" s="58" t="str">
        <f t="shared" si="367"/>
        <v>-</v>
      </c>
      <c r="M4270" s="59">
        <f t="shared" si="365"/>
        <v>0</v>
      </c>
      <c r="N4270" s="59">
        <f t="shared" si="368"/>
        <v>0</v>
      </c>
      <c r="O4270" s="59">
        <f t="shared" si="366"/>
        <v>0</v>
      </c>
      <c r="P4270" s="59">
        <f t="shared" si="369"/>
        <v>0</v>
      </c>
    </row>
    <row r="4271" spans="12:16" ht="15" hidden="1" customHeight="1">
      <c r="L4271" s="58" t="str">
        <f t="shared" si="367"/>
        <v>-</v>
      </c>
      <c r="M4271" s="59">
        <f t="shared" si="365"/>
        <v>0</v>
      </c>
      <c r="N4271" s="59">
        <f t="shared" si="368"/>
        <v>0</v>
      </c>
      <c r="O4271" s="59">
        <f t="shared" si="366"/>
        <v>0</v>
      </c>
      <c r="P4271" s="59">
        <f t="shared" si="369"/>
        <v>0</v>
      </c>
    </row>
    <row r="4272" spans="12:16" ht="15" hidden="1" customHeight="1">
      <c r="L4272" s="58" t="str">
        <f t="shared" si="367"/>
        <v>-</v>
      </c>
      <c r="M4272" s="59">
        <f t="shared" si="365"/>
        <v>0</v>
      </c>
      <c r="N4272" s="59">
        <f t="shared" si="368"/>
        <v>0</v>
      </c>
      <c r="O4272" s="59">
        <f t="shared" si="366"/>
        <v>0</v>
      </c>
      <c r="P4272" s="59">
        <f t="shared" si="369"/>
        <v>0</v>
      </c>
    </row>
    <row r="4273" spans="12:16" ht="15" hidden="1" customHeight="1">
      <c r="L4273" s="58" t="str">
        <f t="shared" si="367"/>
        <v>-</v>
      </c>
      <c r="M4273" s="59">
        <f t="shared" si="365"/>
        <v>0</v>
      </c>
      <c r="N4273" s="59">
        <f t="shared" si="368"/>
        <v>0</v>
      </c>
      <c r="O4273" s="59">
        <f t="shared" si="366"/>
        <v>0</v>
      </c>
      <c r="P4273" s="59">
        <f t="shared" si="369"/>
        <v>0</v>
      </c>
    </row>
    <row r="4274" spans="12:16" ht="15" hidden="1" customHeight="1">
      <c r="L4274" s="58" t="str">
        <f t="shared" si="367"/>
        <v>-</v>
      </c>
      <c r="M4274" s="59">
        <f t="shared" si="365"/>
        <v>0</v>
      </c>
      <c r="N4274" s="59">
        <f t="shared" si="368"/>
        <v>0</v>
      </c>
      <c r="O4274" s="59">
        <f t="shared" si="366"/>
        <v>0</v>
      </c>
      <c r="P4274" s="59">
        <f t="shared" si="369"/>
        <v>0</v>
      </c>
    </row>
    <row r="4275" spans="12:16" ht="15" hidden="1" customHeight="1">
      <c r="L4275" s="58" t="str">
        <f t="shared" si="367"/>
        <v>-</v>
      </c>
      <c r="M4275" s="59">
        <f t="shared" si="365"/>
        <v>0</v>
      </c>
      <c r="N4275" s="59">
        <f t="shared" si="368"/>
        <v>0</v>
      </c>
      <c r="O4275" s="59">
        <f t="shared" si="366"/>
        <v>0</v>
      </c>
      <c r="P4275" s="59">
        <f t="shared" si="369"/>
        <v>0</v>
      </c>
    </row>
    <row r="4276" spans="12:16" ht="15" hidden="1" customHeight="1">
      <c r="L4276" s="58" t="str">
        <f t="shared" si="367"/>
        <v>-</v>
      </c>
      <c r="M4276" s="59">
        <f t="shared" si="365"/>
        <v>0</v>
      </c>
      <c r="N4276" s="59">
        <f t="shared" si="368"/>
        <v>0</v>
      </c>
      <c r="O4276" s="59">
        <f t="shared" si="366"/>
        <v>0</v>
      </c>
      <c r="P4276" s="59">
        <f t="shared" si="369"/>
        <v>0</v>
      </c>
    </row>
    <row r="4277" spans="12:16" ht="15" hidden="1" customHeight="1">
      <c r="L4277" s="58" t="str">
        <f t="shared" si="367"/>
        <v>-</v>
      </c>
      <c r="M4277" s="59">
        <f t="shared" si="365"/>
        <v>0</v>
      </c>
      <c r="N4277" s="59">
        <f t="shared" si="368"/>
        <v>0</v>
      </c>
      <c r="O4277" s="59">
        <f t="shared" si="366"/>
        <v>0</v>
      </c>
      <c r="P4277" s="59">
        <f t="shared" si="369"/>
        <v>0</v>
      </c>
    </row>
    <row r="4278" spans="12:16" ht="15" hidden="1" customHeight="1">
      <c r="L4278" s="58" t="str">
        <f t="shared" si="367"/>
        <v>-</v>
      </c>
      <c r="M4278" s="59">
        <f t="shared" si="365"/>
        <v>0</v>
      </c>
      <c r="N4278" s="59">
        <f t="shared" si="368"/>
        <v>0</v>
      </c>
      <c r="O4278" s="59">
        <f t="shared" si="366"/>
        <v>0</v>
      </c>
      <c r="P4278" s="59">
        <f t="shared" si="369"/>
        <v>0</v>
      </c>
    </row>
    <row r="4279" spans="12:16" ht="15" hidden="1" customHeight="1">
      <c r="L4279" s="58" t="str">
        <f t="shared" si="367"/>
        <v>-</v>
      </c>
      <c r="M4279" s="59">
        <f t="shared" si="365"/>
        <v>0</v>
      </c>
      <c r="N4279" s="59">
        <f t="shared" si="368"/>
        <v>0</v>
      </c>
      <c r="O4279" s="59">
        <f t="shared" si="366"/>
        <v>0</v>
      </c>
      <c r="P4279" s="59">
        <f t="shared" si="369"/>
        <v>0</v>
      </c>
    </row>
    <row r="4280" spans="12:16" ht="15" hidden="1" customHeight="1">
      <c r="L4280" s="58" t="str">
        <f t="shared" si="367"/>
        <v>-</v>
      </c>
      <c r="M4280" s="59">
        <f t="shared" si="365"/>
        <v>0</v>
      </c>
      <c r="N4280" s="59">
        <f t="shared" si="368"/>
        <v>0</v>
      </c>
      <c r="O4280" s="59">
        <f t="shared" si="366"/>
        <v>0</v>
      </c>
      <c r="P4280" s="59">
        <f t="shared" si="369"/>
        <v>0</v>
      </c>
    </row>
    <row r="4281" spans="12:16" ht="15" hidden="1" customHeight="1">
      <c r="L4281" s="58" t="str">
        <f t="shared" si="367"/>
        <v>-</v>
      </c>
      <c r="M4281" s="59">
        <f t="shared" si="365"/>
        <v>0</v>
      </c>
      <c r="N4281" s="59">
        <f t="shared" si="368"/>
        <v>0</v>
      </c>
      <c r="O4281" s="59">
        <f t="shared" si="366"/>
        <v>0</v>
      </c>
      <c r="P4281" s="59">
        <f t="shared" si="369"/>
        <v>0</v>
      </c>
    </row>
    <row r="4282" spans="12:16" ht="15" hidden="1" customHeight="1">
      <c r="L4282" s="58" t="str">
        <f t="shared" si="367"/>
        <v>-</v>
      </c>
      <c r="M4282" s="59">
        <f t="shared" si="365"/>
        <v>0</v>
      </c>
      <c r="N4282" s="59">
        <f t="shared" si="368"/>
        <v>0</v>
      </c>
      <c r="O4282" s="59">
        <f t="shared" si="366"/>
        <v>0</v>
      </c>
      <c r="P4282" s="59">
        <f t="shared" si="369"/>
        <v>0</v>
      </c>
    </row>
    <row r="4283" spans="12:16" ht="15" hidden="1" customHeight="1">
      <c r="L4283" s="58" t="str">
        <f t="shared" si="367"/>
        <v>-</v>
      </c>
      <c r="M4283" s="59">
        <f t="shared" si="365"/>
        <v>0</v>
      </c>
      <c r="N4283" s="59">
        <f t="shared" si="368"/>
        <v>0</v>
      </c>
      <c r="O4283" s="59">
        <f t="shared" si="366"/>
        <v>0</v>
      </c>
      <c r="P4283" s="59">
        <f t="shared" si="369"/>
        <v>0</v>
      </c>
    </row>
    <row r="4284" spans="12:16" ht="15" hidden="1" customHeight="1">
      <c r="L4284" s="58" t="str">
        <f t="shared" si="367"/>
        <v>-</v>
      </c>
      <c r="M4284" s="59">
        <f t="shared" si="365"/>
        <v>0</v>
      </c>
      <c r="N4284" s="59">
        <f t="shared" si="368"/>
        <v>0</v>
      </c>
      <c r="O4284" s="59">
        <f t="shared" si="366"/>
        <v>0</v>
      </c>
      <c r="P4284" s="59">
        <f t="shared" si="369"/>
        <v>0</v>
      </c>
    </row>
    <row r="4285" spans="12:16" ht="15" hidden="1" customHeight="1">
      <c r="L4285" s="58" t="str">
        <f t="shared" si="367"/>
        <v>-</v>
      </c>
      <c r="M4285" s="59">
        <f t="shared" si="365"/>
        <v>0</v>
      </c>
      <c r="N4285" s="59">
        <f t="shared" si="368"/>
        <v>0</v>
      </c>
      <c r="O4285" s="59">
        <f t="shared" si="366"/>
        <v>0</v>
      </c>
      <c r="P4285" s="59">
        <f t="shared" si="369"/>
        <v>0</v>
      </c>
    </row>
    <row r="4286" spans="12:16" ht="15" hidden="1" customHeight="1">
      <c r="L4286" s="58" t="str">
        <f t="shared" si="367"/>
        <v>-</v>
      </c>
      <c r="M4286" s="59">
        <f t="shared" si="365"/>
        <v>0</v>
      </c>
      <c r="N4286" s="59">
        <f t="shared" si="368"/>
        <v>0</v>
      </c>
      <c r="O4286" s="59">
        <f t="shared" si="366"/>
        <v>0</v>
      </c>
      <c r="P4286" s="59">
        <f t="shared" si="369"/>
        <v>0</v>
      </c>
    </row>
    <row r="4287" spans="12:16" ht="15" hidden="1" customHeight="1">
      <c r="L4287" s="58" t="str">
        <f t="shared" si="367"/>
        <v>-</v>
      </c>
      <c r="M4287" s="59">
        <f t="shared" si="365"/>
        <v>0</v>
      </c>
      <c r="N4287" s="59">
        <f t="shared" si="368"/>
        <v>0</v>
      </c>
      <c r="O4287" s="59">
        <f t="shared" si="366"/>
        <v>0</v>
      </c>
      <c r="P4287" s="59">
        <f t="shared" si="369"/>
        <v>0</v>
      </c>
    </row>
    <row r="4288" spans="12:16" ht="15" hidden="1" customHeight="1">
      <c r="L4288" s="58" t="str">
        <f t="shared" si="367"/>
        <v>-</v>
      </c>
      <c r="M4288" s="59">
        <f t="shared" si="365"/>
        <v>0</v>
      </c>
      <c r="N4288" s="59">
        <f t="shared" si="368"/>
        <v>0</v>
      </c>
      <c r="O4288" s="59">
        <f t="shared" si="366"/>
        <v>0</v>
      </c>
      <c r="P4288" s="59">
        <f t="shared" si="369"/>
        <v>0</v>
      </c>
    </row>
    <row r="4289" spans="12:16" ht="15" hidden="1" customHeight="1">
      <c r="L4289" s="58" t="str">
        <f t="shared" si="367"/>
        <v>-</v>
      </c>
      <c r="M4289" s="59">
        <f t="shared" si="365"/>
        <v>0</v>
      </c>
      <c r="N4289" s="59">
        <f t="shared" si="368"/>
        <v>0</v>
      </c>
      <c r="O4289" s="59">
        <f t="shared" si="366"/>
        <v>0</v>
      </c>
      <c r="P4289" s="59">
        <f t="shared" si="369"/>
        <v>0</v>
      </c>
    </row>
    <row r="4290" spans="12:16" ht="15" hidden="1" customHeight="1">
      <c r="L4290" s="58" t="str">
        <f t="shared" si="367"/>
        <v>-</v>
      </c>
      <c r="M4290" s="59">
        <f t="shared" si="365"/>
        <v>0</v>
      </c>
      <c r="N4290" s="59">
        <f t="shared" si="368"/>
        <v>0</v>
      </c>
      <c r="O4290" s="59">
        <f t="shared" si="366"/>
        <v>0</v>
      </c>
      <c r="P4290" s="59">
        <f t="shared" si="369"/>
        <v>0</v>
      </c>
    </row>
    <row r="4291" spans="12:16" ht="15" hidden="1" customHeight="1">
      <c r="L4291" s="58" t="str">
        <f t="shared" si="367"/>
        <v>-</v>
      </c>
      <c r="M4291" s="59">
        <f t="shared" si="365"/>
        <v>0</v>
      </c>
      <c r="N4291" s="59">
        <f t="shared" si="368"/>
        <v>0</v>
      </c>
      <c r="O4291" s="59">
        <f t="shared" si="366"/>
        <v>0</v>
      </c>
      <c r="P4291" s="59">
        <f t="shared" si="369"/>
        <v>0</v>
      </c>
    </row>
    <row r="4292" spans="12:16" ht="15" hidden="1" customHeight="1">
      <c r="L4292" s="58" t="str">
        <f t="shared" si="367"/>
        <v>-</v>
      </c>
      <c r="M4292" s="59">
        <f t="shared" si="365"/>
        <v>0</v>
      </c>
      <c r="N4292" s="59">
        <f t="shared" si="368"/>
        <v>0</v>
      </c>
      <c r="O4292" s="59">
        <f t="shared" si="366"/>
        <v>0</v>
      </c>
      <c r="P4292" s="59">
        <f t="shared" si="369"/>
        <v>0</v>
      </c>
    </row>
    <row r="4293" spans="12:16" ht="15" hidden="1" customHeight="1">
      <c r="L4293" s="58" t="str">
        <f t="shared" si="367"/>
        <v>-</v>
      </c>
      <c r="M4293" s="59">
        <f t="shared" si="365"/>
        <v>0</v>
      </c>
      <c r="N4293" s="59">
        <f t="shared" si="368"/>
        <v>0</v>
      </c>
      <c r="O4293" s="59">
        <f t="shared" si="366"/>
        <v>0</v>
      </c>
      <c r="P4293" s="59">
        <f t="shared" si="369"/>
        <v>0</v>
      </c>
    </row>
    <row r="4294" spans="12:16" ht="15" hidden="1" customHeight="1">
      <c r="L4294" s="58" t="str">
        <f t="shared" si="367"/>
        <v>-</v>
      </c>
      <c r="M4294" s="59">
        <f t="shared" si="365"/>
        <v>0</v>
      </c>
      <c r="N4294" s="59">
        <f t="shared" si="368"/>
        <v>0</v>
      </c>
      <c r="O4294" s="59">
        <f t="shared" si="366"/>
        <v>0</v>
      </c>
      <c r="P4294" s="59">
        <f t="shared" si="369"/>
        <v>0</v>
      </c>
    </row>
    <row r="4295" spans="12:16" ht="15" hidden="1" customHeight="1">
      <c r="L4295" s="58" t="str">
        <f t="shared" si="367"/>
        <v>-</v>
      </c>
      <c r="M4295" s="59">
        <f t="shared" si="365"/>
        <v>0</v>
      </c>
      <c r="N4295" s="59">
        <f t="shared" si="368"/>
        <v>0</v>
      </c>
      <c r="O4295" s="59">
        <f t="shared" si="366"/>
        <v>0</v>
      </c>
      <c r="P4295" s="59">
        <f t="shared" si="369"/>
        <v>0</v>
      </c>
    </row>
    <row r="4296" spans="12:16" ht="15" hidden="1" customHeight="1">
      <c r="L4296" s="58" t="str">
        <f t="shared" si="367"/>
        <v>-</v>
      </c>
      <c r="M4296" s="59">
        <f t="shared" si="365"/>
        <v>0</v>
      </c>
      <c r="N4296" s="59">
        <f t="shared" si="368"/>
        <v>0</v>
      </c>
      <c r="O4296" s="59">
        <f t="shared" si="366"/>
        <v>0</v>
      </c>
      <c r="P4296" s="59">
        <f t="shared" si="369"/>
        <v>0</v>
      </c>
    </row>
    <row r="4297" spans="12:16" ht="15" hidden="1" customHeight="1">
      <c r="L4297" s="58" t="str">
        <f t="shared" si="367"/>
        <v>-</v>
      </c>
      <c r="M4297" s="59">
        <f t="shared" si="365"/>
        <v>0</v>
      </c>
      <c r="N4297" s="59">
        <f t="shared" si="368"/>
        <v>0</v>
      </c>
      <c r="O4297" s="59">
        <f t="shared" si="366"/>
        <v>0</v>
      </c>
      <c r="P4297" s="59">
        <f t="shared" si="369"/>
        <v>0</v>
      </c>
    </row>
    <row r="4298" spans="12:16" ht="15" hidden="1" customHeight="1">
      <c r="L4298" s="58" t="str">
        <f t="shared" si="367"/>
        <v>-</v>
      </c>
      <c r="M4298" s="59">
        <f t="shared" si="365"/>
        <v>0</v>
      </c>
      <c r="N4298" s="59">
        <f t="shared" si="368"/>
        <v>0</v>
      </c>
      <c r="O4298" s="59">
        <f t="shared" si="366"/>
        <v>0</v>
      </c>
      <c r="P4298" s="59">
        <f t="shared" si="369"/>
        <v>0</v>
      </c>
    </row>
    <row r="4299" spans="12:16" ht="15" hidden="1" customHeight="1">
      <c r="L4299" s="58" t="str">
        <f t="shared" si="367"/>
        <v>-</v>
      </c>
      <c r="M4299" s="59">
        <f t="shared" si="365"/>
        <v>0</v>
      </c>
      <c r="N4299" s="59">
        <f t="shared" si="368"/>
        <v>0</v>
      </c>
      <c r="O4299" s="59">
        <f t="shared" si="366"/>
        <v>0</v>
      </c>
      <c r="P4299" s="59">
        <f t="shared" si="369"/>
        <v>0</v>
      </c>
    </row>
    <row r="4300" spans="12:16" ht="15" hidden="1" customHeight="1">
      <c r="L4300" s="58" t="str">
        <f t="shared" si="367"/>
        <v>-</v>
      </c>
      <c r="M4300" s="59">
        <f t="shared" si="365"/>
        <v>0</v>
      </c>
      <c r="N4300" s="59">
        <f t="shared" si="368"/>
        <v>0</v>
      </c>
      <c r="O4300" s="59">
        <f t="shared" si="366"/>
        <v>0</v>
      </c>
      <c r="P4300" s="59">
        <f t="shared" si="369"/>
        <v>0</v>
      </c>
    </row>
    <row r="4301" spans="12:16" ht="15" hidden="1" customHeight="1">
      <c r="L4301" s="58" t="str">
        <f t="shared" si="367"/>
        <v>-</v>
      </c>
      <c r="M4301" s="59">
        <f t="shared" si="365"/>
        <v>0</v>
      </c>
      <c r="N4301" s="59">
        <f t="shared" si="368"/>
        <v>0</v>
      </c>
      <c r="O4301" s="59">
        <f t="shared" si="366"/>
        <v>0</v>
      </c>
      <c r="P4301" s="59">
        <f t="shared" si="369"/>
        <v>0</v>
      </c>
    </row>
    <row r="4302" spans="12:16" ht="15" hidden="1" customHeight="1">
      <c r="L4302" s="58" t="str">
        <f t="shared" si="367"/>
        <v>-</v>
      </c>
      <c r="M4302" s="59">
        <f t="shared" si="365"/>
        <v>0</v>
      </c>
      <c r="N4302" s="59">
        <f t="shared" si="368"/>
        <v>0</v>
      </c>
      <c r="O4302" s="59">
        <f t="shared" si="366"/>
        <v>0</v>
      </c>
      <c r="P4302" s="59">
        <f t="shared" si="369"/>
        <v>0</v>
      </c>
    </row>
    <row r="4303" spans="12:16" ht="15" hidden="1" customHeight="1">
      <c r="L4303" s="58" t="str">
        <f t="shared" si="367"/>
        <v>-</v>
      </c>
      <c r="M4303" s="59">
        <f t="shared" si="365"/>
        <v>0</v>
      </c>
      <c r="N4303" s="59">
        <f t="shared" si="368"/>
        <v>0</v>
      </c>
      <c r="O4303" s="59">
        <f t="shared" si="366"/>
        <v>0</v>
      </c>
      <c r="P4303" s="59">
        <f t="shared" si="369"/>
        <v>0</v>
      </c>
    </row>
    <row r="4304" spans="12:16" ht="15" hidden="1" customHeight="1">
      <c r="L4304" s="58" t="str">
        <f t="shared" si="367"/>
        <v>-</v>
      </c>
      <c r="M4304" s="59">
        <f t="shared" si="365"/>
        <v>0</v>
      </c>
      <c r="N4304" s="59">
        <f t="shared" si="368"/>
        <v>0</v>
      </c>
      <c r="O4304" s="59">
        <f t="shared" si="366"/>
        <v>0</v>
      </c>
      <c r="P4304" s="59">
        <f t="shared" si="369"/>
        <v>0</v>
      </c>
    </row>
    <row r="4305" spans="12:16" ht="15" hidden="1" customHeight="1">
      <c r="L4305" s="58" t="str">
        <f t="shared" si="367"/>
        <v>-</v>
      </c>
      <c r="M4305" s="59">
        <f t="shared" si="365"/>
        <v>0</v>
      </c>
      <c r="N4305" s="59">
        <f t="shared" si="368"/>
        <v>0</v>
      </c>
      <c r="O4305" s="59">
        <f t="shared" si="366"/>
        <v>0</v>
      </c>
      <c r="P4305" s="59">
        <f t="shared" si="369"/>
        <v>0</v>
      </c>
    </row>
    <row r="4306" spans="12:16" ht="15" hidden="1" customHeight="1">
      <c r="L4306" s="58" t="str">
        <f t="shared" si="367"/>
        <v>-</v>
      </c>
      <c r="M4306" s="59">
        <f t="shared" si="365"/>
        <v>0</v>
      </c>
      <c r="N4306" s="59">
        <f t="shared" si="368"/>
        <v>0</v>
      </c>
      <c r="O4306" s="59">
        <f t="shared" si="366"/>
        <v>0</v>
      </c>
      <c r="P4306" s="59">
        <f t="shared" si="369"/>
        <v>0</v>
      </c>
    </row>
    <row r="4307" spans="12:16" ht="15" hidden="1" customHeight="1">
      <c r="L4307" s="58" t="str">
        <f t="shared" si="367"/>
        <v>-</v>
      </c>
      <c r="M4307" s="59">
        <f t="shared" ref="M4307:M4370" si="370">IFERROR(VLOOKUP(L4307,$B$19:$E$80,4,FALSE),0)</f>
        <v>0</v>
      </c>
      <c r="N4307" s="59">
        <f t="shared" si="368"/>
        <v>0</v>
      </c>
      <c r="O4307" s="59">
        <f t="shared" ref="O4307:O4370" si="371">IFERROR(IF(ISNUMBER(N4306),N4306,$E$8)*IF(L4307&gt;=$J$8,$E$12,$E$12)/IF(MOD(YEAR(L4307),4),365,366)*IF(ISBLANK(L4306),L4307-$F$5,L4307-L4306),0)</f>
        <v>0</v>
      </c>
      <c r="P4307" s="59">
        <f t="shared" si="369"/>
        <v>0</v>
      </c>
    </row>
    <row r="4308" spans="12:16" ht="15" hidden="1" customHeight="1">
      <c r="L4308" s="58" t="str">
        <f t="shared" si="367"/>
        <v>-</v>
      </c>
      <c r="M4308" s="59">
        <f t="shared" si="370"/>
        <v>0</v>
      </c>
      <c r="N4308" s="59">
        <f t="shared" si="368"/>
        <v>0</v>
      </c>
      <c r="O4308" s="59">
        <f t="shared" si="371"/>
        <v>0</v>
      </c>
      <c r="P4308" s="59">
        <f t="shared" si="369"/>
        <v>0</v>
      </c>
    </row>
    <row r="4309" spans="12:16" ht="15" hidden="1" customHeight="1">
      <c r="L4309" s="58" t="str">
        <f t="shared" si="367"/>
        <v>-</v>
      </c>
      <c r="M4309" s="59">
        <f t="shared" si="370"/>
        <v>0</v>
      </c>
      <c r="N4309" s="59">
        <f t="shared" si="368"/>
        <v>0</v>
      </c>
      <c r="O4309" s="59">
        <f t="shared" si="371"/>
        <v>0</v>
      </c>
      <c r="P4309" s="59">
        <f t="shared" si="369"/>
        <v>0</v>
      </c>
    </row>
    <row r="4310" spans="12:16" ht="15" hidden="1" customHeight="1">
      <c r="L4310" s="58" t="str">
        <f t="shared" si="367"/>
        <v>-</v>
      </c>
      <c r="M4310" s="59">
        <f t="shared" si="370"/>
        <v>0</v>
      </c>
      <c r="N4310" s="59">
        <f t="shared" si="368"/>
        <v>0</v>
      </c>
      <c r="O4310" s="59">
        <f t="shared" si="371"/>
        <v>0</v>
      </c>
      <c r="P4310" s="59">
        <f t="shared" si="369"/>
        <v>0</v>
      </c>
    </row>
    <row r="4311" spans="12:16" ht="15" hidden="1" customHeight="1">
      <c r="L4311" s="58" t="str">
        <f t="shared" si="367"/>
        <v>-</v>
      </c>
      <c r="M4311" s="59">
        <f t="shared" si="370"/>
        <v>0</v>
      </c>
      <c r="N4311" s="59">
        <f t="shared" si="368"/>
        <v>0</v>
      </c>
      <c r="O4311" s="59">
        <f t="shared" si="371"/>
        <v>0</v>
      </c>
      <c r="P4311" s="59">
        <f t="shared" si="369"/>
        <v>0</v>
      </c>
    </row>
    <row r="4312" spans="12:16" ht="15" hidden="1" customHeight="1">
      <c r="L4312" s="58" t="str">
        <f t="shared" si="367"/>
        <v>-</v>
      </c>
      <c r="M4312" s="59">
        <f t="shared" si="370"/>
        <v>0</v>
      </c>
      <c r="N4312" s="59">
        <f t="shared" si="368"/>
        <v>0</v>
      </c>
      <c r="O4312" s="59">
        <f t="shared" si="371"/>
        <v>0</v>
      </c>
      <c r="P4312" s="59">
        <f t="shared" si="369"/>
        <v>0</v>
      </c>
    </row>
    <row r="4313" spans="12:16" ht="15" hidden="1" customHeight="1">
      <c r="L4313" s="58" t="str">
        <f t="shared" si="367"/>
        <v>-</v>
      </c>
      <c r="M4313" s="59">
        <f t="shared" si="370"/>
        <v>0</v>
      </c>
      <c r="N4313" s="59">
        <f t="shared" si="368"/>
        <v>0</v>
      </c>
      <c r="O4313" s="59">
        <f t="shared" si="371"/>
        <v>0</v>
      </c>
      <c r="P4313" s="59">
        <f t="shared" si="369"/>
        <v>0</v>
      </c>
    </row>
    <row r="4314" spans="12:16" ht="15" hidden="1" customHeight="1">
      <c r="L4314" s="58" t="str">
        <f t="shared" si="367"/>
        <v>-</v>
      </c>
      <c r="M4314" s="59">
        <f t="shared" si="370"/>
        <v>0</v>
      </c>
      <c r="N4314" s="59">
        <f t="shared" si="368"/>
        <v>0</v>
      </c>
      <c r="O4314" s="59">
        <f t="shared" si="371"/>
        <v>0</v>
      </c>
      <c r="P4314" s="59">
        <f t="shared" si="369"/>
        <v>0</v>
      </c>
    </row>
    <row r="4315" spans="12:16" ht="15" hidden="1" customHeight="1">
      <c r="L4315" s="58" t="str">
        <f t="shared" si="367"/>
        <v>-</v>
      </c>
      <c r="M4315" s="59">
        <f t="shared" si="370"/>
        <v>0</v>
      </c>
      <c r="N4315" s="59">
        <f t="shared" si="368"/>
        <v>0</v>
      </c>
      <c r="O4315" s="59">
        <f t="shared" si="371"/>
        <v>0</v>
      </c>
      <c r="P4315" s="59">
        <f t="shared" si="369"/>
        <v>0</v>
      </c>
    </row>
    <row r="4316" spans="12:16" ht="15" hidden="1" customHeight="1">
      <c r="L4316" s="58" t="str">
        <f t="shared" si="367"/>
        <v>-</v>
      </c>
      <c r="M4316" s="59">
        <f t="shared" si="370"/>
        <v>0</v>
      </c>
      <c r="N4316" s="59">
        <f t="shared" si="368"/>
        <v>0</v>
      </c>
      <c r="O4316" s="59">
        <f t="shared" si="371"/>
        <v>0</v>
      </c>
      <c r="P4316" s="59">
        <f t="shared" si="369"/>
        <v>0</v>
      </c>
    </row>
    <row r="4317" spans="12:16" ht="15" hidden="1" customHeight="1">
      <c r="L4317" s="58" t="str">
        <f t="shared" si="367"/>
        <v>-</v>
      </c>
      <c r="M4317" s="59">
        <f t="shared" si="370"/>
        <v>0</v>
      </c>
      <c r="N4317" s="59">
        <f t="shared" si="368"/>
        <v>0</v>
      </c>
      <c r="O4317" s="59">
        <f t="shared" si="371"/>
        <v>0</v>
      </c>
      <c r="P4317" s="59">
        <f t="shared" si="369"/>
        <v>0</v>
      </c>
    </row>
    <row r="4318" spans="12:16" ht="15" hidden="1" customHeight="1">
      <c r="L4318" s="58" t="str">
        <f t="shared" si="367"/>
        <v>-</v>
      </c>
      <c r="M4318" s="59">
        <f t="shared" si="370"/>
        <v>0</v>
      </c>
      <c r="N4318" s="59">
        <f t="shared" si="368"/>
        <v>0</v>
      </c>
      <c r="O4318" s="59">
        <f t="shared" si="371"/>
        <v>0</v>
      </c>
      <c r="P4318" s="59">
        <f t="shared" si="369"/>
        <v>0</v>
      </c>
    </row>
    <row r="4319" spans="12:16" ht="15" hidden="1" customHeight="1">
      <c r="L4319" s="58" t="str">
        <f t="shared" si="367"/>
        <v>-</v>
      </c>
      <c r="M4319" s="59">
        <f t="shared" si="370"/>
        <v>0</v>
      </c>
      <c r="N4319" s="59">
        <f t="shared" si="368"/>
        <v>0</v>
      </c>
      <c r="O4319" s="59">
        <f t="shared" si="371"/>
        <v>0</v>
      </c>
      <c r="P4319" s="59">
        <f t="shared" si="369"/>
        <v>0</v>
      </c>
    </row>
    <row r="4320" spans="12:16" ht="15" hidden="1" customHeight="1">
      <c r="L4320" s="58" t="str">
        <f t="shared" si="367"/>
        <v>-</v>
      </c>
      <c r="M4320" s="59">
        <f t="shared" si="370"/>
        <v>0</v>
      </c>
      <c r="N4320" s="59">
        <f t="shared" si="368"/>
        <v>0</v>
      </c>
      <c r="O4320" s="59">
        <f t="shared" si="371"/>
        <v>0</v>
      </c>
      <c r="P4320" s="59">
        <f t="shared" si="369"/>
        <v>0</v>
      </c>
    </row>
    <row r="4321" spans="12:16" ht="15" hidden="1" customHeight="1">
      <c r="L4321" s="58" t="str">
        <f t="shared" ref="L4321:L4384" si="372">IFERROR(IF(MAX(L4320+1,$F$5+1)&gt;Дата_погашения_Займа,"-",MAX(L4320+1,$F$5+1)),"-")</f>
        <v>-</v>
      </c>
      <c r="M4321" s="59">
        <f t="shared" si="370"/>
        <v>0</v>
      </c>
      <c r="N4321" s="59">
        <f t="shared" si="368"/>
        <v>0</v>
      </c>
      <c r="O4321" s="59">
        <f t="shared" si="371"/>
        <v>0</v>
      </c>
      <c r="P4321" s="59">
        <f t="shared" si="369"/>
        <v>0</v>
      </c>
    </row>
    <row r="4322" spans="12:16" ht="15" hidden="1" customHeight="1">
      <c r="L4322" s="58" t="str">
        <f t="shared" si="372"/>
        <v>-</v>
      </c>
      <c r="M4322" s="59">
        <f t="shared" si="370"/>
        <v>0</v>
      </c>
      <c r="N4322" s="59">
        <f t="shared" si="368"/>
        <v>0</v>
      </c>
      <c r="O4322" s="59">
        <f t="shared" si="371"/>
        <v>0</v>
      </c>
      <c r="P4322" s="59">
        <f t="shared" si="369"/>
        <v>0</v>
      </c>
    </row>
    <row r="4323" spans="12:16" ht="15" hidden="1" customHeight="1">
      <c r="L4323" s="58" t="str">
        <f t="shared" si="372"/>
        <v>-</v>
      </c>
      <c r="M4323" s="59">
        <f t="shared" si="370"/>
        <v>0</v>
      </c>
      <c r="N4323" s="59">
        <f t="shared" si="368"/>
        <v>0</v>
      </c>
      <c r="O4323" s="59">
        <f t="shared" si="371"/>
        <v>0</v>
      </c>
      <c r="P4323" s="59">
        <f t="shared" si="369"/>
        <v>0</v>
      </c>
    </row>
    <row r="4324" spans="12:16" ht="15" hidden="1" customHeight="1">
      <c r="L4324" s="58" t="str">
        <f t="shared" si="372"/>
        <v>-</v>
      </c>
      <c r="M4324" s="59">
        <f t="shared" si="370"/>
        <v>0</v>
      </c>
      <c r="N4324" s="59">
        <f t="shared" si="368"/>
        <v>0</v>
      </c>
      <c r="O4324" s="59">
        <f t="shared" si="371"/>
        <v>0</v>
      </c>
      <c r="P4324" s="59">
        <f t="shared" si="369"/>
        <v>0</v>
      </c>
    </row>
    <row r="4325" spans="12:16" ht="15" hidden="1" customHeight="1">
      <c r="L4325" s="58" t="str">
        <f t="shared" si="372"/>
        <v>-</v>
      </c>
      <c r="M4325" s="59">
        <f t="shared" si="370"/>
        <v>0</v>
      </c>
      <c r="N4325" s="59">
        <f t="shared" si="368"/>
        <v>0</v>
      </c>
      <c r="O4325" s="59">
        <f t="shared" si="371"/>
        <v>0</v>
      </c>
      <c r="P4325" s="59">
        <f t="shared" si="369"/>
        <v>0</v>
      </c>
    </row>
    <row r="4326" spans="12:16" ht="15" hidden="1" customHeight="1">
      <c r="L4326" s="58" t="str">
        <f t="shared" si="372"/>
        <v>-</v>
      </c>
      <c r="M4326" s="59">
        <f t="shared" si="370"/>
        <v>0</v>
      </c>
      <c r="N4326" s="59">
        <f t="shared" si="368"/>
        <v>0</v>
      </c>
      <c r="O4326" s="59">
        <f t="shared" si="371"/>
        <v>0</v>
      </c>
      <c r="P4326" s="59">
        <f t="shared" si="369"/>
        <v>0</v>
      </c>
    </row>
    <row r="4327" spans="12:16" ht="15" hidden="1" customHeight="1">
      <c r="L4327" s="58" t="str">
        <f t="shared" si="372"/>
        <v>-</v>
      </c>
      <c r="M4327" s="59">
        <f t="shared" si="370"/>
        <v>0</v>
      </c>
      <c r="N4327" s="59">
        <f t="shared" si="368"/>
        <v>0</v>
      </c>
      <c r="O4327" s="59">
        <f t="shared" si="371"/>
        <v>0</v>
      </c>
      <c r="P4327" s="59">
        <f t="shared" si="369"/>
        <v>0</v>
      </c>
    </row>
    <row r="4328" spans="12:16" ht="15" hidden="1" customHeight="1">
      <c r="L4328" s="58" t="str">
        <f t="shared" si="372"/>
        <v>-</v>
      </c>
      <c r="M4328" s="59">
        <f t="shared" si="370"/>
        <v>0</v>
      </c>
      <c r="N4328" s="59">
        <f t="shared" si="368"/>
        <v>0</v>
      </c>
      <c r="O4328" s="59">
        <f t="shared" si="371"/>
        <v>0</v>
      </c>
      <c r="P4328" s="59">
        <f t="shared" si="369"/>
        <v>0</v>
      </c>
    </row>
    <row r="4329" spans="12:16" ht="15" hidden="1" customHeight="1">
      <c r="L4329" s="58" t="str">
        <f t="shared" si="372"/>
        <v>-</v>
      </c>
      <c r="M4329" s="59">
        <f t="shared" si="370"/>
        <v>0</v>
      </c>
      <c r="N4329" s="59">
        <f t="shared" ref="N4329:N4392" si="373">IF(ISNUMBER(N4328),N4328-M4329,$E$8)</f>
        <v>0</v>
      </c>
      <c r="O4329" s="59">
        <f t="shared" si="371"/>
        <v>0</v>
      </c>
      <c r="P4329" s="59">
        <f t="shared" ref="P4329:P4392" si="374">IFERROR(IF(ISNUMBER(N4328),N4328,$E$8)*3%/IF(MOD(YEAR(L4329),4),365,366)*IF(ISBLANK(L4328),(L4329-$F$5),L4329-L4328),0)</f>
        <v>0</v>
      </c>
    </row>
    <row r="4330" spans="12:16" ht="15" hidden="1" customHeight="1">
      <c r="L4330" s="58" t="str">
        <f t="shared" si="372"/>
        <v>-</v>
      </c>
      <c r="M4330" s="59">
        <f t="shared" si="370"/>
        <v>0</v>
      </c>
      <c r="N4330" s="59">
        <f t="shared" si="373"/>
        <v>0</v>
      </c>
      <c r="O4330" s="59">
        <f t="shared" si="371"/>
        <v>0</v>
      </c>
      <c r="P4330" s="59">
        <f t="shared" si="374"/>
        <v>0</v>
      </c>
    </row>
    <row r="4331" spans="12:16" ht="15" hidden="1" customHeight="1">
      <c r="L4331" s="58" t="str">
        <f t="shared" si="372"/>
        <v>-</v>
      </c>
      <c r="M4331" s="59">
        <f t="shared" si="370"/>
        <v>0</v>
      </c>
      <c r="N4331" s="59">
        <f t="shared" si="373"/>
        <v>0</v>
      </c>
      <c r="O4331" s="59">
        <f t="shared" si="371"/>
        <v>0</v>
      </c>
      <c r="P4331" s="59">
        <f t="shared" si="374"/>
        <v>0</v>
      </c>
    </row>
    <row r="4332" spans="12:16" ht="15" hidden="1" customHeight="1">
      <c r="L4332" s="58" t="str">
        <f t="shared" si="372"/>
        <v>-</v>
      </c>
      <c r="M4332" s="59">
        <f t="shared" si="370"/>
        <v>0</v>
      </c>
      <c r="N4332" s="59">
        <f t="shared" si="373"/>
        <v>0</v>
      </c>
      <c r="O4332" s="59">
        <f t="shared" si="371"/>
        <v>0</v>
      </c>
      <c r="P4332" s="59">
        <f t="shared" si="374"/>
        <v>0</v>
      </c>
    </row>
    <row r="4333" spans="12:16" ht="15" hidden="1" customHeight="1">
      <c r="L4333" s="58" t="str">
        <f t="shared" si="372"/>
        <v>-</v>
      </c>
      <c r="M4333" s="59">
        <f t="shared" si="370"/>
        <v>0</v>
      </c>
      <c r="N4333" s="59">
        <f t="shared" si="373"/>
        <v>0</v>
      </c>
      <c r="O4333" s="59">
        <f t="shared" si="371"/>
        <v>0</v>
      </c>
      <c r="P4333" s="59">
        <f t="shared" si="374"/>
        <v>0</v>
      </c>
    </row>
    <row r="4334" spans="12:16" ht="15" hidden="1" customHeight="1">
      <c r="L4334" s="58" t="str">
        <f t="shared" si="372"/>
        <v>-</v>
      </c>
      <c r="M4334" s="59">
        <f t="shared" si="370"/>
        <v>0</v>
      </c>
      <c r="N4334" s="59">
        <f t="shared" si="373"/>
        <v>0</v>
      </c>
      <c r="O4334" s="59">
        <f t="shared" si="371"/>
        <v>0</v>
      </c>
      <c r="P4334" s="59">
        <f t="shared" si="374"/>
        <v>0</v>
      </c>
    </row>
    <row r="4335" spans="12:16" ht="15" hidden="1" customHeight="1">
      <c r="L4335" s="58" t="str">
        <f t="shared" si="372"/>
        <v>-</v>
      </c>
      <c r="M4335" s="59">
        <f t="shared" si="370"/>
        <v>0</v>
      </c>
      <c r="N4335" s="59">
        <f t="shared" si="373"/>
        <v>0</v>
      </c>
      <c r="O4335" s="59">
        <f t="shared" si="371"/>
        <v>0</v>
      </c>
      <c r="P4335" s="59">
        <f t="shared" si="374"/>
        <v>0</v>
      </c>
    </row>
    <row r="4336" spans="12:16" ht="15" hidden="1" customHeight="1">
      <c r="L4336" s="58" t="str">
        <f t="shared" si="372"/>
        <v>-</v>
      </c>
      <c r="M4336" s="59">
        <f t="shared" si="370"/>
        <v>0</v>
      </c>
      <c r="N4336" s="59">
        <f t="shared" si="373"/>
        <v>0</v>
      </c>
      <c r="O4336" s="59">
        <f t="shared" si="371"/>
        <v>0</v>
      </c>
      <c r="P4336" s="59">
        <f t="shared" si="374"/>
        <v>0</v>
      </c>
    </row>
    <row r="4337" spans="12:16" ht="15" hidden="1" customHeight="1">
      <c r="L4337" s="58" t="str">
        <f t="shared" si="372"/>
        <v>-</v>
      </c>
      <c r="M4337" s="59">
        <f t="shared" si="370"/>
        <v>0</v>
      </c>
      <c r="N4337" s="59">
        <f t="shared" si="373"/>
        <v>0</v>
      </c>
      <c r="O4337" s="59">
        <f t="shared" si="371"/>
        <v>0</v>
      </c>
      <c r="P4337" s="59">
        <f t="shared" si="374"/>
        <v>0</v>
      </c>
    </row>
    <row r="4338" spans="12:16" ht="15" hidden="1" customHeight="1">
      <c r="L4338" s="58" t="str">
        <f t="shared" si="372"/>
        <v>-</v>
      </c>
      <c r="M4338" s="59">
        <f t="shared" si="370"/>
        <v>0</v>
      </c>
      <c r="N4338" s="59">
        <f t="shared" si="373"/>
        <v>0</v>
      </c>
      <c r="O4338" s="59">
        <f t="shared" si="371"/>
        <v>0</v>
      </c>
      <c r="P4338" s="59">
        <f t="shared" si="374"/>
        <v>0</v>
      </c>
    </row>
    <row r="4339" spans="12:16" ht="15" hidden="1" customHeight="1">
      <c r="L4339" s="58" t="str">
        <f t="shared" si="372"/>
        <v>-</v>
      </c>
      <c r="M4339" s="59">
        <f t="shared" si="370"/>
        <v>0</v>
      </c>
      <c r="N4339" s="59">
        <f t="shared" si="373"/>
        <v>0</v>
      </c>
      <c r="O4339" s="59">
        <f t="shared" si="371"/>
        <v>0</v>
      </c>
      <c r="P4339" s="59">
        <f t="shared" si="374"/>
        <v>0</v>
      </c>
    </row>
    <row r="4340" spans="12:16" ht="15" hidden="1" customHeight="1">
      <c r="L4340" s="58" t="str">
        <f t="shared" si="372"/>
        <v>-</v>
      </c>
      <c r="M4340" s="59">
        <f t="shared" si="370"/>
        <v>0</v>
      </c>
      <c r="N4340" s="59">
        <f t="shared" si="373"/>
        <v>0</v>
      </c>
      <c r="O4340" s="59">
        <f t="shared" si="371"/>
        <v>0</v>
      </c>
      <c r="P4340" s="59">
        <f t="shared" si="374"/>
        <v>0</v>
      </c>
    </row>
    <row r="4341" spans="12:16" ht="15" hidden="1" customHeight="1">
      <c r="L4341" s="58" t="str">
        <f t="shared" si="372"/>
        <v>-</v>
      </c>
      <c r="M4341" s="59">
        <f t="shared" si="370"/>
        <v>0</v>
      </c>
      <c r="N4341" s="59">
        <f t="shared" si="373"/>
        <v>0</v>
      </c>
      <c r="O4341" s="59">
        <f t="shared" si="371"/>
        <v>0</v>
      </c>
      <c r="P4341" s="59">
        <f t="shared" si="374"/>
        <v>0</v>
      </c>
    </row>
    <row r="4342" spans="12:16" ht="15" hidden="1" customHeight="1">
      <c r="L4342" s="58" t="str">
        <f t="shared" si="372"/>
        <v>-</v>
      </c>
      <c r="M4342" s="59">
        <f t="shared" si="370"/>
        <v>0</v>
      </c>
      <c r="N4342" s="59">
        <f t="shared" si="373"/>
        <v>0</v>
      </c>
      <c r="O4342" s="59">
        <f t="shared" si="371"/>
        <v>0</v>
      </c>
      <c r="P4342" s="59">
        <f t="shared" si="374"/>
        <v>0</v>
      </c>
    </row>
    <row r="4343" spans="12:16" ht="15" hidden="1" customHeight="1">
      <c r="L4343" s="58" t="str">
        <f t="shared" si="372"/>
        <v>-</v>
      </c>
      <c r="M4343" s="59">
        <f t="shared" si="370"/>
        <v>0</v>
      </c>
      <c r="N4343" s="59">
        <f t="shared" si="373"/>
        <v>0</v>
      </c>
      <c r="O4343" s="59">
        <f t="shared" si="371"/>
        <v>0</v>
      </c>
      <c r="P4343" s="59">
        <f t="shared" si="374"/>
        <v>0</v>
      </c>
    </row>
    <row r="4344" spans="12:16" ht="15" hidden="1" customHeight="1">
      <c r="L4344" s="58" t="str">
        <f t="shared" si="372"/>
        <v>-</v>
      </c>
      <c r="M4344" s="59">
        <f t="shared" si="370"/>
        <v>0</v>
      </c>
      <c r="N4344" s="59">
        <f t="shared" si="373"/>
        <v>0</v>
      </c>
      <c r="O4344" s="59">
        <f t="shared" si="371"/>
        <v>0</v>
      </c>
      <c r="P4344" s="59">
        <f t="shared" si="374"/>
        <v>0</v>
      </c>
    </row>
    <row r="4345" spans="12:16" ht="15" hidden="1" customHeight="1">
      <c r="L4345" s="58" t="str">
        <f t="shared" si="372"/>
        <v>-</v>
      </c>
      <c r="M4345" s="59">
        <f t="shared" si="370"/>
        <v>0</v>
      </c>
      <c r="N4345" s="59">
        <f t="shared" si="373"/>
        <v>0</v>
      </c>
      <c r="O4345" s="59">
        <f t="shared" si="371"/>
        <v>0</v>
      </c>
      <c r="P4345" s="59">
        <f t="shared" si="374"/>
        <v>0</v>
      </c>
    </row>
    <row r="4346" spans="12:16" ht="15" hidden="1" customHeight="1">
      <c r="L4346" s="58" t="str">
        <f t="shared" si="372"/>
        <v>-</v>
      </c>
      <c r="M4346" s="59">
        <f t="shared" si="370"/>
        <v>0</v>
      </c>
      <c r="N4346" s="59">
        <f t="shared" si="373"/>
        <v>0</v>
      </c>
      <c r="O4346" s="59">
        <f t="shared" si="371"/>
        <v>0</v>
      </c>
      <c r="P4346" s="59">
        <f t="shared" si="374"/>
        <v>0</v>
      </c>
    </row>
    <row r="4347" spans="12:16" ht="15" hidden="1" customHeight="1">
      <c r="L4347" s="58" t="str">
        <f t="shared" si="372"/>
        <v>-</v>
      </c>
      <c r="M4347" s="59">
        <f t="shared" si="370"/>
        <v>0</v>
      </c>
      <c r="N4347" s="59">
        <f t="shared" si="373"/>
        <v>0</v>
      </c>
      <c r="O4347" s="59">
        <f t="shared" si="371"/>
        <v>0</v>
      </c>
      <c r="P4347" s="59">
        <f t="shared" si="374"/>
        <v>0</v>
      </c>
    </row>
    <row r="4348" spans="12:16" ht="15" hidden="1" customHeight="1">
      <c r="L4348" s="58" t="str">
        <f t="shared" si="372"/>
        <v>-</v>
      </c>
      <c r="M4348" s="59">
        <f t="shared" si="370"/>
        <v>0</v>
      </c>
      <c r="N4348" s="59">
        <f t="shared" si="373"/>
        <v>0</v>
      </c>
      <c r="O4348" s="59">
        <f t="shared" si="371"/>
        <v>0</v>
      </c>
      <c r="P4348" s="59">
        <f t="shared" si="374"/>
        <v>0</v>
      </c>
    </row>
    <row r="4349" spans="12:16" ht="15" hidden="1" customHeight="1">
      <c r="L4349" s="58" t="str">
        <f t="shared" si="372"/>
        <v>-</v>
      </c>
      <c r="M4349" s="59">
        <f t="shared" si="370"/>
        <v>0</v>
      </c>
      <c r="N4349" s="59">
        <f t="shared" si="373"/>
        <v>0</v>
      </c>
      <c r="O4349" s="59">
        <f t="shared" si="371"/>
        <v>0</v>
      </c>
      <c r="P4349" s="59">
        <f t="shared" si="374"/>
        <v>0</v>
      </c>
    </row>
    <row r="4350" spans="12:16" ht="15" hidden="1" customHeight="1">
      <c r="L4350" s="58" t="str">
        <f t="shared" si="372"/>
        <v>-</v>
      </c>
      <c r="M4350" s="59">
        <f t="shared" si="370"/>
        <v>0</v>
      </c>
      <c r="N4350" s="59">
        <f t="shared" si="373"/>
        <v>0</v>
      </c>
      <c r="O4350" s="59">
        <f t="shared" si="371"/>
        <v>0</v>
      </c>
      <c r="P4350" s="59">
        <f t="shared" si="374"/>
        <v>0</v>
      </c>
    </row>
    <row r="4351" spans="12:16" ht="15" hidden="1" customHeight="1">
      <c r="L4351" s="58" t="str">
        <f t="shared" si="372"/>
        <v>-</v>
      </c>
      <c r="M4351" s="59">
        <f t="shared" si="370"/>
        <v>0</v>
      </c>
      <c r="N4351" s="59">
        <f t="shared" si="373"/>
        <v>0</v>
      </c>
      <c r="O4351" s="59">
        <f t="shared" si="371"/>
        <v>0</v>
      </c>
      <c r="P4351" s="59">
        <f t="shared" si="374"/>
        <v>0</v>
      </c>
    </row>
    <row r="4352" spans="12:16" ht="15" hidden="1" customHeight="1">
      <c r="L4352" s="58" t="str">
        <f t="shared" si="372"/>
        <v>-</v>
      </c>
      <c r="M4352" s="59">
        <f t="shared" si="370"/>
        <v>0</v>
      </c>
      <c r="N4352" s="59">
        <f t="shared" si="373"/>
        <v>0</v>
      </c>
      <c r="O4352" s="59">
        <f t="shared" si="371"/>
        <v>0</v>
      </c>
      <c r="P4352" s="59">
        <f t="shared" si="374"/>
        <v>0</v>
      </c>
    </row>
    <row r="4353" spans="12:16" ht="15" hidden="1" customHeight="1">
      <c r="L4353" s="58" t="str">
        <f t="shared" si="372"/>
        <v>-</v>
      </c>
      <c r="M4353" s="59">
        <f t="shared" si="370"/>
        <v>0</v>
      </c>
      <c r="N4353" s="59">
        <f t="shared" si="373"/>
        <v>0</v>
      </c>
      <c r="O4353" s="59">
        <f t="shared" si="371"/>
        <v>0</v>
      </c>
      <c r="P4353" s="59">
        <f t="shared" si="374"/>
        <v>0</v>
      </c>
    </row>
    <row r="4354" spans="12:16" ht="15" hidden="1" customHeight="1">
      <c r="L4354" s="58" t="str">
        <f t="shared" si="372"/>
        <v>-</v>
      </c>
      <c r="M4354" s="59">
        <f t="shared" si="370"/>
        <v>0</v>
      </c>
      <c r="N4354" s="59">
        <f t="shared" si="373"/>
        <v>0</v>
      </c>
      <c r="O4354" s="59">
        <f t="shared" si="371"/>
        <v>0</v>
      </c>
      <c r="P4354" s="59">
        <f t="shared" si="374"/>
        <v>0</v>
      </c>
    </row>
    <row r="4355" spans="12:16" ht="15" hidden="1" customHeight="1">
      <c r="L4355" s="58" t="str">
        <f t="shared" si="372"/>
        <v>-</v>
      </c>
      <c r="M4355" s="59">
        <f t="shared" si="370"/>
        <v>0</v>
      </c>
      <c r="N4355" s="59">
        <f t="shared" si="373"/>
        <v>0</v>
      </c>
      <c r="O4355" s="59">
        <f t="shared" si="371"/>
        <v>0</v>
      </c>
      <c r="P4355" s="59">
        <f t="shared" si="374"/>
        <v>0</v>
      </c>
    </row>
    <row r="4356" spans="12:16" ht="15" hidden="1" customHeight="1">
      <c r="L4356" s="58" t="str">
        <f t="shared" si="372"/>
        <v>-</v>
      </c>
      <c r="M4356" s="59">
        <f t="shared" si="370"/>
        <v>0</v>
      </c>
      <c r="N4356" s="59">
        <f t="shared" si="373"/>
        <v>0</v>
      </c>
      <c r="O4356" s="59">
        <f t="shared" si="371"/>
        <v>0</v>
      </c>
      <c r="P4356" s="59">
        <f t="shared" si="374"/>
        <v>0</v>
      </c>
    </row>
    <row r="4357" spans="12:16" ht="15" hidden="1" customHeight="1">
      <c r="L4357" s="58" t="str">
        <f t="shared" si="372"/>
        <v>-</v>
      </c>
      <c r="M4357" s="59">
        <f t="shared" si="370"/>
        <v>0</v>
      </c>
      <c r="N4357" s="59">
        <f t="shared" si="373"/>
        <v>0</v>
      </c>
      <c r="O4357" s="59">
        <f t="shared" si="371"/>
        <v>0</v>
      </c>
      <c r="P4357" s="59">
        <f t="shared" si="374"/>
        <v>0</v>
      </c>
    </row>
    <row r="4358" spans="12:16" ht="15" hidden="1" customHeight="1">
      <c r="L4358" s="58" t="str">
        <f t="shared" si="372"/>
        <v>-</v>
      </c>
      <c r="M4358" s="59">
        <f t="shared" si="370"/>
        <v>0</v>
      </c>
      <c r="N4358" s="59">
        <f t="shared" si="373"/>
        <v>0</v>
      </c>
      <c r="O4358" s="59">
        <f t="shared" si="371"/>
        <v>0</v>
      </c>
      <c r="P4358" s="59">
        <f t="shared" si="374"/>
        <v>0</v>
      </c>
    </row>
    <row r="4359" spans="12:16" ht="15" hidden="1" customHeight="1">
      <c r="L4359" s="58" t="str">
        <f t="shared" si="372"/>
        <v>-</v>
      </c>
      <c r="M4359" s="59">
        <f t="shared" si="370"/>
        <v>0</v>
      </c>
      <c r="N4359" s="59">
        <f t="shared" si="373"/>
        <v>0</v>
      </c>
      <c r="O4359" s="59">
        <f t="shared" si="371"/>
        <v>0</v>
      </c>
      <c r="P4359" s="59">
        <f t="shared" si="374"/>
        <v>0</v>
      </c>
    </row>
    <row r="4360" spans="12:16" ht="15" hidden="1" customHeight="1">
      <c r="L4360" s="58" t="str">
        <f t="shared" si="372"/>
        <v>-</v>
      </c>
      <c r="M4360" s="59">
        <f t="shared" si="370"/>
        <v>0</v>
      </c>
      <c r="N4360" s="59">
        <f t="shared" si="373"/>
        <v>0</v>
      </c>
      <c r="O4360" s="59">
        <f t="shared" si="371"/>
        <v>0</v>
      </c>
      <c r="P4360" s="59">
        <f t="shared" si="374"/>
        <v>0</v>
      </c>
    </row>
    <row r="4361" spans="12:16" ht="15" hidden="1" customHeight="1">
      <c r="L4361" s="58" t="str">
        <f t="shared" si="372"/>
        <v>-</v>
      </c>
      <c r="M4361" s="59">
        <f t="shared" si="370"/>
        <v>0</v>
      </c>
      <c r="N4361" s="59">
        <f t="shared" si="373"/>
        <v>0</v>
      </c>
      <c r="O4361" s="59">
        <f t="shared" si="371"/>
        <v>0</v>
      </c>
      <c r="P4361" s="59">
        <f t="shared" si="374"/>
        <v>0</v>
      </c>
    </row>
    <row r="4362" spans="12:16" ht="15" hidden="1" customHeight="1">
      <c r="L4362" s="58" t="str">
        <f t="shared" si="372"/>
        <v>-</v>
      </c>
      <c r="M4362" s="59">
        <f t="shared" si="370"/>
        <v>0</v>
      </c>
      <c r="N4362" s="59">
        <f t="shared" si="373"/>
        <v>0</v>
      </c>
      <c r="O4362" s="59">
        <f t="shared" si="371"/>
        <v>0</v>
      </c>
      <c r="P4362" s="59">
        <f t="shared" si="374"/>
        <v>0</v>
      </c>
    </row>
    <row r="4363" spans="12:16" ht="15" hidden="1" customHeight="1">
      <c r="L4363" s="58" t="str">
        <f t="shared" si="372"/>
        <v>-</v>
      </c>
      <c r="M4363" s="59">
        <f t="shared" si="370"/>
        <v>0</v>
      </c>
      <c r="N4363" s="59">
        <f t="shared" si="373"/>
        <v>0</v>
      </c>
      <c r="O4363" s="59">
        <f t="shared" si="371"/>
        <v>0</v>
      </c>
      <c r="P4363" s="59">
        <f t="shared" si="374"/>
        <v>0</v>
      </c>
    </row>
    <row r="4364" spans="12:16" ht="15" hidden="1" customHeight="1">
      <c r="L4364" s="58" t="str">
        <f t="shared" si="372"/>
        <v>-</v>
      </c>
      <c r="M4364" s="59">
        <f t="shared" si="370"/>
        <v>0</v>
      </c>
      <c r="N4364" s="59">
        <f t="shared" si="373"/>
        <v>0</v>
      </c>
      <c r="O4364" s="59">
        <f t="shared" si="371"/>
        <v>0</v>
      </c>
      <c r="P4364" s="59">
        <f t="shared" si="374"/>
        <v>0</v>
      </c>
    </row>
    <row r="4365" spans="12:16" ht="15" hidden="1" customHeight="1">
      <c r="L4365" s="58" t="str">
        <f t="shared" si="372"/>
        <v>-</v>
      </c>
      <c r="M4365" s="59">
        <f t="shared" si="370"/>
        <v>0</v>
      </c>
      <c r="N4365" s="59">
        <f t="shared" si="373"/>
        <v>0</v>
      </c>
      <c r="O4365" s="59">
        <f t="shared" si="371"/>
        <v>0</v>
      </c>
      <c r="P4365" s="59">
        <f t="shared" si="374"/>
        <v>0</v>
      </c>
    </row>
    <row r="4366" spans="12:16" ht="15" hidden="1" customHeight="1">
      <c r="L4366" s="58" t="str">
        <f t="shared" si="372"/>
        <v>-</v>
      </c>
      <c r="M4366" s="59">
        <f t="shared" si="370"/>
        <v>0</v>
      </c>
      <c r="N4366" s="59">
        <f t="shared" si="373"/>
        <v>0</v>
      </c>
      <c r="O4366" s="59">
        <f t="shared" si="371"/>
        <v>0</v>
      </c>
      <c r="P4366" s="59">
        <f t="shared" si="374"/>
        <v>0</v>
      </c>
    </row>
    <row r="4367" spans="12:16" ht="15" hidden="1" customHeight="1">
      <c r="L4367" s="58" t="str">
        <f t="shared" si="372"/>
        <v>-</v>
      </c>
      <c r="M4367" s="59">
        <f t="shared" si="370"/>
        <v>0</v>
      </c>
      <c r="N4367" s="59">
        <f t="shared" si="373"/>
        <v>0</v>
      </c>
      <c r="O4367" s="59">
        <f t="shared" si="371"/>
        <v>0</v>
      </c>
      <c r="P4367" s="59">
        <f t="shared" si="374"/>
        <v>0</v>
      </c>
    </row>
    <row r="4368" spans="12:16" ht="15" hidden="1" customHeight="1">
      <c r="L4368" s="58" t="str">
        <f t="shared" si="372"/>
        <v>-</v>
      </c>
      <c r="M4368" s="59">
        <f t="shared" si="370"/>
        <v>0</v>
      </c>
      <c r="N4368" s="59">
        <f t="shared" si="373"/>
        <v>0</v>
      </c>
      <c r="O4368" s="59">
        <f t="shared" si="371"/>
        <v>0</v>
      </c>
      <c r="P4368" s="59">
        <f t="shared" si="374"/>
        <v>0</v>
      </c>
    </row>
    <row r="4369" spans="12:16" ht="15" hidden="1" customHeight="1">
      <c r="L4369" s="58" t="str">
        <f t="shared" si="372"/>
        <v>-</v>
      </c>
      <c r="M4369" s="59">
        <f t="shared" si="370"/>
        <v>0</v>
      </c>
      <c r="N4369" s="59">
        <f t="shared" si="373"/>
        <v>0</v>
      </c>
      <c r="O4369" s="59">
        <f t="shared" si="371"/>
        <v>0</v>
      </c>
      <c r="P4369" s="59">
        <f t="shared" si="374"/>
        <v>0</v>
      </c>
    </row>
    <row r="4370" spans="12:16" ht="15" hidden="1" customHeight="1">
      <c r="L4370" s="58" t="str">
        <f t="shared" si="372"/>
        <v>-</v>
      </c>
      <c r="M4370" s="59">
        <f t="shared" si="370"/>
        <v>0</v>
      </c>
      <c r="N4370" s="59">
        <f t="shared" si="373"/>
        <v>0</v>
      </c>
      <c r="O4370" s="59">
        <f t="shared" si="371"/>
        <v>0</v>
      </c>
      <c r="P4370" s="59">
        <f t="shared" si="374"/>
        <v>0</v>
      </c>
    </row>
    <row r="4371" spans="12:16" ht="15" hidden="1" customHeight="1">
      <c r="L4371" s="58" t="str">
        <f t="shared" si="372"/>
        <v>-</v>
      </c>
      <c r="M4371" s="59">
        <f t="shared" ref="M4371:M4434" si="375">IFERROR(VLOOKUP(L4371,$B$19:$E$80,4,FALSE),0)</f>
        <v>0</v>
      </c>
      <c r="N4371" s="59">
        <f t="shared" si="373"/>
        <v>0</v>
      </c>
      <c r="O4371" s="59">
        <f t="shared" ref="O4371:O4434" si="376">IFERROR(IF(ISNUMBER(N4370),N4370,$E$8)*IF(L4371&gt;=$J$8,$E$12,$E$12)/IF(MOD(YEAR(L4371),4),365,366)*IF(ISBLANK(L4370),L4371-$F$5,L4371-L4370),0)</f>
        <v>0</v>
      </c>
      <c r="P4371" s="59">
        <f t="shared" si="374"/>
        <v>0</v>
      </c>
    </row>
    <row r="4372" spans="12:16" ht="15" hidden="1" customHeight="1">
      <c r="L4372" s="58" t="str">
        <f t="shared" si="372"/>
        <v>-</v>
      </c>
      <c r="M4372" s="59">
        <f t="shared" si="375"/>
        <v>0</v>
      </c>
      <c r="N4372" s="59">
        <f t="shared" si="373"/>
        <v>0</v>
      </c>
      <c r="O4372" s="59">
        <f t="shared" si="376"/>
        <v>0</v>
      </c>
      <c r="P4372" s="59">
        <f t="shared" si="374"/>
        <v>0</v>
      </c>
    </row>
    <row r="4373" spans="12:16" ht="15" hidden="1" customHeight="1">
      <c r="L4373" s="58" t="str">
        <f t="shared" si="372"/>
        <v>-</v>
      </c>
      <c r="M4373" s="59">
        <f t="shared" si="375"/>
        <v>0</v>
      </c>
      <c r="N4373" s="59">
        <f t="shared" si="373"/>
        <v>0</v>
      </c>
      <c r="O4373" s="59">
        <f t="shared" si="376"/>
        <v>0</v>
      </c>
      <c r="P4373" s="59">
        <f t="shared" si="374"/>
        <v>0</v>
      </c>
    </row>
    <row r="4374" spans="12:16" ht="15" hidden="1" customHeight="1">
      <c r="L4374" s="58" t="str">
        <f t="shared" si="372"/>
        <v>-</v>
      </c>
      <c r="M4374" s="59">
        <f t="shared" si="375"/>
        <v>0</v>
      </c>
      <c r="N4374" s="59">
        <f t="shared" si="373"/>
        <v>0</v>
      </c>
      <c r="O4374" s="59">
        <f t="shared" si="376"/>
        <v>0</v>
      </c>
      <c r="P4374" s="59">
        <f t="shared" si="374"/>
        <v>0</v>
      </c>
    </row>
    <row r="4375" spans="12:16" ht="15" hidden="1" customHeight="1">
      <c r="L4375" s="58" t="str">
        <f t="shared" si="372"/>
        <v>-</v>
      </c>
      <c r="M4375" s="59">
        <f t="shared" si="375"/>
        <v>0</v>
      </c>
      <c r="N4375" s="59">
        <f t="shared" si="373"/>
        <v>0</v>
      </c>
      <c r="O4375" s="59">
        <f t="shared" si="376"/>
        <v>0</v>
      </c>
      <c r="P4375" s="59">
        <f t="shared" si="374"/>
        <v>0</v>
      </c>
    </row>
    <row r="4376" spans="12:16" ht="15" hidden="1" customHeight="1">
      <c r="L4376" s="58" t="str">
        <f t="shared" si="372"/>
        <v>-</v>
      </c>
      <c r="M4376" s="59">
        <f t="shared" si="375"/>
        <v>0</v>
      </c>
      <c r="N4376" s="59">
        <f t="shared" si="373"/>
        <v>0</v>
      </c>
      <c r="O4376" s="59">
        <f t="shared" si="376"/>
        <v>0</v>
      </c>
      <c r="P4376" s="59">
        <f t="shared" si="374"/>
        <v>0</v>
      </c>
    </row>
    <row r="4377" spans="12:16" ht="15" hidden="1" customHeight="1">
      <c r="L4377" s="58" t="str">
        <f t="shared" si="372"/>
        <v>-</v>
      </c>
      <c r="M4377" s="59">
        <f t="shared" si="375"/>
        <v>0</v>
      </c>
      <c r="N4377" s="59">
        <f t="shared" si="373"/>
        <v>0</v>
      </c>
      <c r="O4377" s="59">
        <f t="shared" si="376"/>
        <v>0</v>
      </c>
      <c r="P4377" s="59">
        <f t="shared" si="374"/>
        <v>0</v>
      </c>
    </row>
    <row r="4378" spans="12:16" ht="15" hidden="1" customHeight="1">
      <c r="L4378" s="58" t="str">
        <f t="shared" si="372"/>
        <v>-</v>
      </c>
      <c r="M4378" s="59">
        <f t="shared" si="375"/>
        <v>0</v>
      </c>
      <c r="N4378" s="59">
        <f t="shared" si="373"/>
        <v>0</v>
      </c>
      <c r="O4378" s="59">
        <f t="shared" si="376"/>
        <v>0</v>
      </c>
      <c r="P4378" s="59">
        <f t="shared" si="374"/>
        <v>0</v>
      </c>
    </row>
    <row r="4379" spans="12:16" ht="15" hidden="1" customHeight="1">
      <c r="L4379" s="58" t="str">
        <f t="shared" si="372"/>
        <v>-</v>
      </c>
      <c r="M4379" s="59">
        <f t="shared" si="375"/>
        <v>0</v>
      </c>
      <c r="N4379" s="59">
        <f t="shared" si="373"/>
        <v>0</v>
      </c>
      <c r="O4379" s="59">
        <f t="shared" si="376"/>
        <v>0</v>
      </c>
      <c r="P4379" s="59">
        <f t="shared" si="374"/>
        <v>0</v>
      </c>
    </row>
    <row r="4380" spans="12:16" ht="15" hidden="1" customHeight="1">
      <c r="L4380" s="58" t="str">
        <f t="shared" si="372"/>
        <v>-</v>
      </c>
      <c r="M4380" s="59">
        <f t="shared" si="375"/>
        <v>0</v>
      </c>
      <c r="N4380" s="59">
        <f t="shared" si="373"/>
        <v>0</v>
      </c>
      <c r="O4380" s="59">
        <f t="shared" si="376"/>
        <v>0</v>
      </c>
      <c r="P4380" s="59">
        <f t="shared" si="374"/>
        <v>0</v>
      </c>
    </row>
    <row r="4381" spans="12:16" ht="15" hidden="1" customHeight="1">
      <c r="L4381" s="58" t="str">
        <f t="shared" si="372"/>
        <v>-</v>
      </c>
      <c r="M4381" s="59">
        <f t="shared" si="375"/>
        <v>0</v>
      </c>
      <c r="N4381" s="59">
        <f t="shared" si="373"/>
        <v>0</v>
      </c>
      <c r="O4381" s="59">
        <f t="shared" si="376"/>
        <v>0</v>
      </c>
      <c r="P4381" s="59">
        <f t="shared" si="374"/>
        <v>0</v>
      </c>
    </row>
    <row r="4382" spans="12:16" ht="15" hidden="1" customHeight="1">
      <c r="L4382" s="58" t="str">
        <f t="shared" si="372"/>
        <v>-</v>
      </c>
      <c r="M4382" s="59">
        <f t="shared" si="375"/>
        <v>0</v>
      </c>
      <c r="N4382" s="59">
        <f t="shared" si="373"/>
        <v>0</v>
      </c>
      <c r="O4382" s="59">
        <f t="shared" si="376"/>
        <v>0</v>
      </c>
      <c r="P4382" s="59">
        <f t="shared" si="374"/>
        <v>0</v>
      </c>
    </row>
    <row r="4383" spans="12:16" ht="15" hidden="1" customHeight="1">
      <c r="L4383" s="58" t="str">
        <f t="shared" si="372"/>
        <v>-</v>
      </c>
      <c r="M4383" s="59">
        <f t="shared" si="375"/>
        <v>0</v>
      </c>
      <c r="N4383" s="59">
        <f t="shared" si="373"/>
        <v>0</v>
      </c>
      <c r="O4383" s="59">
        <f t="shared" si="376"/>
        <v>0</v>
      </c>
      <c r="P4383" s="59">
        <f t="shared" si="374"/>
        <v>0</v>
      </c>
    </row>
    <row r="4384" spans="12:16" ht="15" hidden="1" customHeight="1">
      <c r="L4384" s="58" t="str">
        <f t="shared" si="372"/>
        <v>-</v>
      </c>
      <c r="M4384" s="59">
        <f t="shared" si="375"/>
        <v>0</v>
      </c>
      <c r="N4384" s="59">
        <f t="shared" si="373"/>
        <v>0</v>
      </c>
      <c r="O4384" s="59">
        <f t="shared" si="376"/>
        <v>0</v>
      </c>
      <c r="P4384" s="59">
        <f t="shared" si="374"/>
        <v>0</v>
      </c>
    </row>
    <row r="4385" spans="12:16" ht="15" hidden="1" customHeight="1">
      <c r="L4385" s="58" t="str">
        <f t="shared" ref="L4385:L4448" si="377">IFERROR(IF(MAX(L4384+1,$F$5+1)&gt;Дата_погашения_Займа,"-",MAX(L4384+1,$F$5+1)),"-")</f>
        <v>-</v>
      </c>
      <c r="M4385" s="59">
        <f t="shared" si="375"/>
        <v>0</v>
      </c>
      <c r="N4385" s="59">
        <f t="shared" si="373"/>
        <v>0</v>
      </c>
      <c r="O4385" s="59">
        <f t="shared" si="376"/>
        <v>0</v>
      </c>
      <c r="P4385" s="59">
        <f t="shared" si="374"/>
        <v>0</v>
      </c>
    </row>
    <row r="4386" spans="12:16" ht="15" hidden="1" customHeight="1">
      <c r="L4386" s="58" t="str">
        <f t="shared" si="377"/>
        <v>-</v>
      </c>
      <c r="M4386" s="59">
        <f t="shared" si="375"/>
        <v>0</v>
      </c>
      <c r="N4386" s="59">
        <f t="shared" si="373"/>
        <v>0</v>
      </c>
      <c r="O4386" s="59">
        <f t="shared" si="376"/>
        <v>0</v>
      </c>
      <c r="P4386" s="59">
        <f t="shared" si="374"/>
        <v>0</v>
      </c>
    </row>
    <row r="4387" spans="12:16" ht="15" hidden="1" customHeight="1">
      <c r="L4387" s="58" t="str">
        <f t="shared" si="377"/>
        <v>-</v>
      </c>
      <c r="M4387" s="59">
        <f t="shared" si="375"/>
        <v>0</v>
      </c>
      <c r="N4387" s="59">
        <f t="shared" si="373"/>
        <v>0</v>
      </c>
      <c r="O4387" s="59">
        <f t="shared" si="376"/>
        <v>0</v>
      </c>
      <c r="P4387" s="59">
        <f t="shared" si="374"/>
        <v>0</v>
      </c>
    </row>
    <row r="4388" spans="12:16" ht="15" hidden="1" customHeight="1">
      <c r="L4388" s="58" t="str">
        <f t="shared" si="377"/>
        <v>-</v>
      </c>
      <c r="M4388" s="59">
        <f t="shared" si="375"/>
        <v>0</v>
      </c>
      <c r="N4388" s="59">
        <f t="shared" si="373"/>
        <v>0</v>
      </c>
      <c r="O4388" s="59">
        <f t="shared" si="376"/>
        <v>0</v>
      </c>
      <c r="P4388" s="59">
        <f t="shared" si="374"/>
        <v>0</v>
      </c>
    </row>
    <row r="4389" spans="12:16" ht="15" hidden="1" customHeight="1">
      <c r="L4389" s="58" t="str">
        <f t="shared" si="377"/>
        <v>-</v>
      </c>
      <c r="M4389" s="59">
        <f t="shared" si="375"/>
        <v>0</v>
      </c>
      <c r="N4389" s="59">
        <f t="shared" si="373"/>
        <v>0</v>
      </c>
      <c r="O4389" s="59">
        <f t="shared" si="376"/>
        <v>0</v>
      </c>
      <c r="P4389" s="59">
        <f t="shared" si="374"/>
        <v>0</v>
      </c>
    </row>
    <row r="4390" spans="12:16" ht="15" hidden="1" customHeight="1">
      <c r="L4390" s="58" t="str">
        <f t="shared" si="377"/>
        <v>-</v>
      </c>
      <c r="M4390" s="59">
        <f t="shared" si="375"/>
        <v>0</v>
      </c>
      <c r="N4390" s="59">
        <f t="shared" si="373"/>
        <v>0</v>
      </c>
      <c r="O4390" s="59">
        <f t="shared" si="376"/>
        <v>0</v>
      </c>
      <c r="P4390" s="59">
        <f t="shared" si="374"/>
        <v>0</v>
      </c>
    </row>
    <row r="4391" spans="12:16" ht="15" hidden="1" customHeight="1">
      <c r="L4391" s="58" t="str">
        <f t="shared" si="377"/>
        <v>-</v>
      </c>
      <c r="M4391" s="59">
        <f t="shared" si="375"/>
        <v>0</v>
      </c>
      <c r="N4391" s="59">
        <f t="shared" si="373"/>
        <v>0</v>
      </c>
      <c r="O4391" s="59">
        <f t="shared" si="376"/>
        <v>0</v>
      </c>
      <c r="P4391" s="59">
        <f t="shared" si="374"/>
        <v>0</v>
      </c>
    </row>
    <row r="4392" spans="12:16" ht="15" hidden="1" customHeight="1">
      <c r="L4392" s="58" t="str">
        <f t="shared" si="377"/>
        <v>-</v>
      </c>
      <c r="M4392" s="59">
        <f t="shared" si="375"/>
        <v>0</v>
      </c>
      <c r="N4392" s="59">
        <f t="shared" si="373"/>
        <v>0</v>
      </c>
      <c r="O4392" s="59">
        <f t="shared" si="376"/>
        <v>0</v>
      </c>
      <c r="P4392" s="59">
        <f t="shared" si="374"/>
        <v>0</v>
      </c>
    </row>
    <row r="4393" spans="12:16" ht="15" hidden="1" customHeight="1">
      <c r="L4393" s="58" t="str">
        <f t="shared" si="377"/>
        <v>-</v>
      </c>
      <c r="M4393" s="59">
        <f t="shared" si="375"/>
        <v>0</v>
      </c>
      <c r="N4393" s="59">
        <f t="shared" ref="N4393:N4456" si="378">IF(ISNUMBER(N4392),N4392-M4393,$E$8)</f>
        <v>0</v>
      </c>
      <c r="O4393" s="59">
        <f t="shared" si="376"/>
        <v>0</v>
      </c>
      <c r="P4393" s="59">
        <f t="shared" ref="P4393:P4456" si="379">IFERROR(IF(ISNUMBER(N4392),N4392,$E$8)*3%/IF(MOD(YEAR(L4393),4),365,366)*IF(ISBLANK(L4392),(L4393-$F$5),L4393-L4392),0)</f>
        <v>0</v>
      </c>
    </row>
    <row r="4394" spans="12:16" ht="15" hidden="1" customHeight="1">
      <c r="L4394" s="58" t="str">
        <f t="shared" si="377"/>
        <v>-</v>
      </c>
      <c r="M4394" s="59">
        <f t="shared" si="375"/>
        <v>0</v>
      </c>
      <c r="N4394" s="59">
        <f t="shared" si="378"/>
        <v>0</v>
      </c>
      <c r="O4394" s="59">
        <f t="shared" si="376"/>
        <v>0</v>
      </c>
      <c r="P4394" s="59">
        <f t="shared" si="379"/>
        <v>0</v>
      </c>
    </row>
    <row r="4395" spans="12:16" ht="15" hidden="1" customHeight="1">
      <c r="L4395" s="58" t="str">
        <f t="shared" si="377"/>
        <v>-</v>
      </c>
      <c r="M4395" s="59">
        <f t="shared" si="375"/>
        <v>0</v>
      </c>
      <c r="N4395" s="59">
        <f t="shared" si="378"/>
        <v>0</v>
      </c>
      <c r="O4395" s="59">
        <f t="shared" si="376"/>
        <v>0</v>
      </c>
      <c r="P4395" s="59">
        <f t="shared" si="379"/>
        <v>0</v>
      </c>
    </row>
    <row r="4396" spans="12:16" ht="15" hidden="1" customHeight="1">
      <c r="L4396" s="58" t="str">
        <f t="shared" si="377"/>
        <v>-</v>
      </c>
      <c r="M4396" s="59">
        <f t="shared" si="375"/>
        <v>0</v>
      </c>
      <c r="N4396" s="59">
        <f t="shared" si="378"/>
        <v>0</v>
      </c>
      <c r="O4396" s="59">
        <f t="shared" si="376"/>
        <v>0</v>
      </c>
      <c r="P4396" s="59">
        <f t="shared" si="379"/>
        <v>0</v>
      </c>
    </row>
    <row r="4397" spans="12:16" ht="15" hidden="1" customHeight="1">
      <c r="L4397" s="58" t="str">
        <f t="shared" si="377"/>
        <v>-</v>
      </c>
      <c r="M4397" s="59">
        <f t="shared" si="375"/>
        <v>0</v>
      </c>
      <c r="N4397" s="59">
        <f t="shared" si="378"/>
        <v>0</v>
      </c>
      <c r="O4397" s="59">
        <f t="shared" si="376"/>
        <v>0</v>
      </c>
      <c r="P4397" s="59">
        <f t="shared" si="379"/>
        <v>0</v>
      </c>
    </row>
    <row r="4398" spans="12:16" ht="15" hidden="1" customHeight="1">
      <c r="L4398" s="58" t="str">
        <f t="shared" si="377"/>
        <v>-</v>
      </c>
      <c r="M4398" s="59">
        <f t="shared" si="375"/>
        <v>0</v>
      </c>
      <c r="N4398" s="59">
        <f t="shared" si="378"/>
        <v>0</v>
      </c>
      <c r="O4398" s="59">
        <f t="shared" si="376"/>
        <v>0</v>
      </c>
      <c r="P4398" s="59">
        <f t="shared" si="379"/>
        <v>0</v>
      </c>
    </row>
    <row r="4399" spans="12:16" ht="15" hidden="1" customHeight="1">
      <c r="L4399" s="58" t="str">
        <f t="shared" si="377"/>
        <v>-</v>
      </c>
      <c r="M4399" s="59">
        <f t="shared" si="375"/>
        <v>0</v>
      </c>
      <c r="N4399" s="59">
        <f t="shared" si="378"/>
        <v>0</v>
      </c>
      <c r="O4399" s="59">
        <f t="shared" si="376"/>
        <v>0</v>
      </c>
      <c r="P4399" s="59">
        <f t="shared" si="379"/>
        <v>0</v>
      </c>
    </row>
    <row r="4400" spans="12:16" ht="15" hidden="1" customHeight="1">
      <c r="L4400" s="58" t="str">
        <f t="shared" si="377"/>
        <v>-</v>
      </c>
      <c r="M4400" s="59">
        <f t="shared" si="375"/>
        <v>0</v>
      </c>
      <c r="N4400" s="59">
        <f t="shared" si="378"/>
        <v>0</v>
      </c>
      <c r="O4400" s="59">
        <f t="shared" si="376"/>
        <v>0</v>
      </c>
      <c r="P4400" s="59">
        <f t="shared" si="379"/>
        <v>0</v>
      </c>
    </row>
    <row r="4401" spans="12:16" ht="15" hidden="1" customHeight="1">
      <c r="L4401" s="58" t="str">
        <f t="shared" si="377"/>
        <v>-</v>
      </c>
      <c r="M4401" s="59">
        <f t="shared" si="375"/>
        <v>0</v>
      </c>
      <c r="N4401" s="59">
        <f t="shared" si="378"/>
        <v>0</v>
      </c>
      <c r="O4401" s="59">
        <f t="shared" si="376"/>
        <v>0</v>
      </c>
      <c r="P4401" s="59">
        <f t="shared" si="379"/>
        <v>0</v>
      </c>
    </row>
    <row r="4402" spans="12:16" ht="15" hidden="1" customHeight="1">
      <c r="L4402" s="58" t="str">
        <f t="shared" si="377"/>
        <v>-</v>
      </c>
      <c r="M4402" s="59">
        <f t="shared" si="375"/>
        <v>0</v>
      </c>
      <c r="N4402" s="59">
        <f t="shared" si="378"/>
        <v>0</v>
      </c>
      <c r="O4402" s="59">
        <f t="shared" si="376"/>
        <v>0</v>
      </c>
      <c r="P4402" s="59">
        <f t="shared" si="379"/>
        <v>0</v>
      </c>
    </row>
    <row r="4403" spans="12:16" ht="15" hidden="1" customHeight="1">
      <c r="L4403" s="58" t="str">
        <f t="shared" si="377"/>
        <v>-</v>
      </c>
      <c r="M4403" s="59">
        <f t="shared" si="375"/>
        <v>0</v>
      </c>
      <c r="N4403" s="59">
        <f t="shared" si="378"/>
        <v>0</v>
      </c>
      <c r="O4403" s="59">
        <f t="shared" si="376"/>
        <v>0</v>
      </c>
      <c r="P4403" s="59">
        <f t="shared" si="379"/>
        <v>0</v>
      </c>
    </row>
    <row r="4404" spans="12:16" ht="15" hidden="1" customHeight="1">
      <c r="L4404" s="58" t="str">
        <f t="shared" si="377"/>
        <v>-</v>
      </c>
      <c r="M4404" s="59">
        <f t="shared" si="375"/>
        <v>0</v>
      </c>
      <c r="N4404" s="59">
        <f t="shared" si="378"/>
        <v>0</v>
      </c>
      <c r="O4404" s="59">
        <f t="shared" si="376"/>
        <v>0</v>
      </c>
      <c r="P4404" s="59">
        <f t="shared" si="379"/>
        <v>0</v>
      </c>
    </row>
    <row r="4405" spans="12:16" ht="15" hidden="1" customHeight="1">
      <c r="L4405" s="58" t="str">
        <f t="shared" si="377"/>
        <v>-</v>
      </c>
      <c r="M4405" s="59">
        <f t="shared" si="375"/>
        <v>0</v>
      </c>
      <c r="N4405" s="59">
        <f t="shared" si="378"/>
        <v>0</v>
      </c>
      <c r="O4405" s="59">
        <f t="shared" si="376"/>
        <v>0</v>
      </c>
      <c r="P4405" s="59">
        <f t="shared" si="379"/>
        <v>0</v>
      </c>
    </row>
    <row r="4406" spans="12:16" ht="15" hidden="1" customHeight="1">
      <c r="L4406" s="58" t="str">
        <f t="shared" si="377"/>
        <v>-</v>
      </c>
      <c r="M4406" s="59">
        <f t="shared" si="375"/>
        <v>0</v>
      </c>
      <c r="N4406" s="59">
        <f t="shared" si="378"/>
        <v>0</v>
      </c>
      <c r="O4406" s="59">
        <f t="shared" si="376"/>
        <v>0</v>
      </c>
      <c r="P4406" s="59">
        <f t="shared" si="379"/>
        <v>0</v>
      </c>
    </row>
    <row r="4407" spans="12:16" ht="15" hidden="1" customHeight="1">
      <c r="L4407" s="58" t="str">
        <f t="shared" si="377"/>
        <v>-</v>
      </c>
      <c r="M4407" s="59">
        <f t="shared" si="375"/>
        <v>0</v>
      </c>
      <c r="N4407" s="59">
        <f t="shared" si="378"/>
        <v>0</v>
      </c>
      <c r="O4407" s="59">
        <f t="shared" si="376"/>
        <v>0</v>
      </c>
      <c r="P4407" s="59">
        <f t="shared" si="379"/>
        <v>0</v>
      </c>
    </row>
    <row r="4408" spans="12:16" ht="15" hidden="1" customHeight="1">
      <c r="L4408" s="58" t="str">
        <f t="shared" si="377"/>
        <v>-</v>
      </c>
      <c r="M4408" s="59">
        <f t="shared" si="375"/>
        <v>0</v>
      </c>
      <c r="N4408" s="59">
        <f t="shared" si="378"/>
        <v>0</v>
      </c>
      <c r="O4408" s="59">
        <f t="shared" si="376"/>
        <v>0</v>
      </c>
      <c r="P4408" s="59">
        <f t="shared" si="379"/>
        <v>0</v>
      </c>
    </row>
    <row r="4409" spans="12:16" ht="15" hidden="1" customHeight="1">
      <c r="L4409" s="58" t="str">
        <f t="shared" si="377"/>
        <v>-</v>
      </c>
      <c r="M4409" s="59">
        <f t="shared" si="375"/>
        <v>0</v>
      </c>
      <c r="N4409" s="59">
        <f t="shared" si="378"/>
        <v>0</v>
      </c>
      <c r="O4409" s="59">
        <f t="shared" si="376"/>
        <v>0</v>
      </c>
      <c r="P4409" s="59">
        <f t="shared" si="379"/>
        <v>0</v>
      </c>
    </row>
    <row r="4410" spans="12:16" ht="15" hidden="1" customHeight="1">
      <c r="L4410" s="58" t="str">
        <f t="shared" si="377"/>
        <v>-</v>
      </c>
      <c r="M4410" s="59">
        <f t="shared" si="375"/>
        <v>0</v>
      </c>
      <c r="N4410" s="59">
        <f t="shared" si="378"/>
        <v>0</v>
      </c>
      <c r="O4410" s="59">
        <f t="shared" si="376"/>
        <v>0</v>
      </c>
      <c r="P4410" s="59">
        <f t="shared" si="379"/>
        <v>0</v>
      </c>
    </row>
    <row r="4411" spans="12:16" ht="15" hidden="1" customHeight="1">
      <c r="L4411" s="58" t="str">
        <f t="shared" si="377"/>
        <v>-</v>
      </c>
      <c r="M4411" s="59">
        <f t="shared" si="375"/>
        <v>0</v>
      </c>
      <c r="N4411" s="59">
        <f t="shared" si="378"/>
        <v>0</v>
      </c>
      <c r="O4411" s="59">
        <f t="shared" si="376"/>
        <v>0</v>
      </c>
      <c r="P4411" s="59">
        <f t="shared" si="379"/>
        <v>0</v>
      </c>
    </row>
    <row r="4412" spans="12:16" ht="15" hidden="1" customHeight="1">
      <c r="L4412" s="58" t="str">
        <f t="shared" si="377"/>
        <v>-</v>
      </c>
      <c r="M4412" s="59">
        <f t="shared" si="375"/>
        <v>0</v>
      </c>
      <c r="N4412" s="59">
        <f t="shared" si="378"/>
        <v>0</v>
      </c>
      <c r="O4412" s="59">
        <f t="shared" si="376"/>
        <v>0</v>
      </c>
      <c r="P4412" s="59">
        <f t="shared" si="379"/>
        <v>0</v>
      </c>
    </row>
    <row r="4413" spans="12:16" ht="15" hidden="1" customHeight="1">
      <c r="L4413" s="58" t="str">
        <f t="shared" si="377"/>
        <v>-</v>
      </c>
      <c r="M4413" s="59">
        <f t="shared" si="375"/>
        <v>0</v>
      </c>
      <c r="N4413" s="59">
        <f t="shared" si="378"/>
        <v>0</v>
      </c>
      <c r="O4413" s="59">
        <f t="shared" si="376"/>
        <v>0</v>
      </c>
      <c r="P4413" s="59">
        <f t="shared" si="379"/>
        <v>0</v>
      </c>
    </row>
    <row r="4414" spans="12:16" ht="15" hidden="1" customHeight="1">
      <c r="L4414" s="58" t="str">
        <f t="shared" si="377"/>
        <v>-</v>
      </c>
      <c r="M4414" s="59">
        <f t="shared" si="375"/>
        <v>0</v>
      </c>
      <c r="N4414" s="59">
        <f t="shared" si="378"/>
        <v>0</v>
      </c>
      <c r="O4414" s="59">
        <f t="shared" si="376"/>
        <v>0</v>
      </c>
      <c r="P4414" s="59">
        <f t="shared" si="379"/>
        <v>0</v>
      </c>
    </row>
    <row r="4415" spans="12:16" ht="15" hidden="1" customHeight="1">
      <c r="L4415" s="58" t="str">
        <f t="shared" si="377"/>
        <v>-</v>
      </c>
      <c r="M4415" s="59">
        <f t="shared" si="375"/>
        <v>0</v>
      </c>
      <c r="N4415" s="59">
        <f t="shared" si="378"/>
        <v>0</v>
      </c>
      <c r="O4415" s="59">
        <f t="shared" si="376"/>
        <v>0</v>
      </c>
      <c r="P4415" s="59">
        <f t="shared" si="379"/>
        <v>0</v>
      </c>
    </row>
    <row r="4416" spans="12:16" ht="15" hidden="1" customHeight="1">
      <c r="L4416" s="58" t="str">
        <f t="shared" si="377"/>
        <v>-</v>
      </c>
      <c r="M4416" s="59">
        <f t="shared" si="375"/>
        <v>0</v>
      </c>
      <c r="N4416" s="59">
        <f t="shared" si="378"/>
        <v>0</v>
      </c>
      <c r="O4416" s="59">
        <f t="shared" si="376"/>
        <v>0</v>
      </c>
      <c r="P4416" s="59">
        <f t="shared" si="379"/>
        <v>0</v>
      </c>
    </row>
    <row r="4417" spans="12:16" ht="15" hidden="1" customHeight="1">
      <c r="L4417" s="58" t="str">
        <f t="shared" si="377"/>
        <v>-</v>
      </c>
      <c r="M4417" s="59">
        <f t="shared" si="375"/>
        <v>0</v>
      </c>
      <c r="N4417" s="59">
        <f t="shared" si="378"/>
        <v>0</v>
      </c>
      <c r="O4417" s="59">
        <f t="shared" si="376"/>
        <v>0</v>
      </c>
      <c r="P4417" s="59">
        <f t="shared" si="379"/>
        <v>0</v>
      </c>
    </row>
    <row r="4418" spans="12:16" ht="15" hidden="1" customHeight="1">
      <c r="L4418" s="58" t="str">
        <f t="shared" si="377"/>
        <v>-</v>
      </c>
      <c r="M4418" s="59">
        <f t="shared" si="375"/>
        <v>0</v>
      </c>
      <c r="N4418" s="59">
        <f t="shared" si="378"/>
        <v>0</v>
      </c>
      <c r="O4418" s="59">
        <f t="shared" si="376"/>
        <v>0</v>
      </c>
      <c r="P4418" s="59">
        <f t="shared" si="379"/>
        <v>0</v>
      </c>
    </row>
    <row r="4419" spans="12:16" ht="15" hidden="1" customHeight="1">
      <c r="L4419" s="58" t="str">
        <f t="shared" si="377"/>
        <v>-</v>
      </c>
      <c r="M4419" s="59">
        <f t="shared" si="375"/>
        <v>0</v>
      </c>
      <c r="N4419" s="59">
        <f t="shared" si="378"/>
        <v>0</v>
      </c>
      <c r="O4419" s="59">
        <f t="shared" si="376"/>
        <v>0</v>
      </c>
      <c r="P4419" s="59">
        <f t="shared" si="379"/>
        <v>0</v>
      </c>
    </row>
    <row r="4420" spans="12:16" ht="15" hidden="1" customHeight="1">
      <c r="L4420" s="58" t="str">
        <f t="shared" si="377"/>
        <v>-</v>
      </c>
      <c r="M4420" s="59">
        <f t="shared" si="375"/>
        <v>0</v>
      </c>
      <c r="N4420" s="59">
        <f t="shared" si="378"/>
        <v>0</v>
      </c>
      <c r="O4420" s="59">
        <f t="shared" si="376"/>
        <v>0</v>
      </c>
      <c r="P4420" s="59">
        <f t="shared" si="379"/>
        <v>0</v>
      </c>
    </row>
    <row r="4421" spans="12:16" ht="15" hidden="1" customHeight="1">
      <c r="L4421" s="58" t="str">
        <f t="shared" si="377"/>
        <v>-</v>
      </c>
      <c r="M4421" s="59">
        <f t="shared" si="375"/>
        <v>0</v>
      </c>
      <c r="N4421" s="59">
        <f t="shared" si="378"/>
        <v>0</v>
      </c>
      <c r="O4421" s="59">
        <f t="shared" si="376"/>
        <v>0</v>
      </c>
      <c r="P4421" s="59">
        <f t="shared" si="379"/>
        <v>0</v>
      </c>
    </row>
    <row r="4422" spans="12:16" ht="15" hidden="1" customHeight="1">
      <c r="L4422" s="58" t="str">
        <f t="shared" si="377"/>
        <v>-</v>
      </c>
      <c r="M4422" s="59">
        <f t="shared" si="375"/>
        <v>0</v>
      </c>
      <c r="N4422" s="59">
        <f t="shared" si="378"/>
        <v>0</v>
      </c>
      <c r="O4422" s="59">
        <f t="shared" si="376"/>
        <v>0</v>
      </c>
      <c r="P4422" s="59">
        <f t="shared" si="379"/>
        <v>0</v>
      </c>
    </row>
    <row r="4423" spans="12:16" ht="15" hidden="1" customHeight="1">
      <c r="L4423" s="58" t="str">
        <f t="shared" si="377"/>
        <v>-</v>
      </c>
      <c r="M4423" s="59">
        <f t="shared" si="375"/>
        <v>0</v>
      </c>
      <c r="N4423" s="59">
        <f t="shared" si="378"/>
        <v>0</v>
      </c>
      <c r="O4423" s="59">
        <f t="shared" si="376"/>
        <v>0</v>
      </c>
      <c r="P4423" s="59">
        <f t="shared" si="379"/>
        <v>0</v>
      </c>
    </row>
    <row r="4424" spans="12:16" ht="15" hidden="1" customHeight="1">
      <c r="L4424" s="58" t="str">
        <f t="shared" si="377"/>
        <v>-</v>
      </c>
      <c r="M4424" s="59">
        <f t="shared" si="375"/>
        <v>0</v>
      </c>
      <c r="N4424" s="59">
        <f t="shared" si="378"/>
        <v>0</v>
      </c>
      <c r="O4424" s="59">
        <f t="shared" si="376"/>
        <v>0</v>
      </c>
      <c r="P4424" s="59">
        <f t="shared" si="379"/>
        <v>0</v>
      </c>
    </row>
    <row r="4425" spans="12:16" ht="15" hidden="1" customHeight="1">
      <c r="L4425" s="58" t="str">
        <f t="shared" si="377"/>
        <v>-</v>
      </c>
      <c r="M4425" s="59">
        <f t="shared" si="375"/>
        <v>0</v>
      </c>
      <c r="N4425" s="59">
        <f t="shared" si="378"/>
        <v>0</v>
      </c>
      <c r="O4425" s="59">
        <f t="shared" si="376"/>
        <v>0</v>
      </c>
      <c r="P4425" s="59">
        <f t="shared" si="379"/>
        <v>0</v>
      </c>
    </row>
    <row r="4426" spans="12:16" ht="15" hidden="1" customHeight="1">
      <c r="L4426" s="58" t="str">
        <f t="shared" si="377"/>
        <v>-</v>
      </c>
      <c r="M4426" s="59">
        <f t="shared" si="375"/>
        <v>0</v>
      </c>
      <c r="N4426" s="59">
        <f t="shared" si="378"/>
        <v>0</v>
      </c>
      <c r="O4426" s="59">
        <f t="shared" si="376"/>
        <v>0</v>
      </c>
      <c r="P4426" s="59">
        <f t="shared" si="379"/>
        <v>0</v>
      </c>
    </row>
    <row r="4427" spans="12:16" ht="15" hidden="1" customHeight="1">
      <c r="L4427" s="58" t="str">
        <f t="shared" si="377"/>
        <v>-</v>
      </c>
      <c r="M4427" s="59">
        <f t="shared" si="375"/>
        <v>0</v>
      </c>
      <c r="N4427" s="59">
        <f t="shared" si="378"/>
        <v>0</v>
      </c>
      <c r="O4427" s="59">
        <f t="shared" si="376"/>
        <v>0</v>
      </c>
      <c r="P4427" s="59">
        <f t="shared" si="379"/>
        <v>0</v>
      </c>
    </row>
    <row r="4428" spans="12:16" ht="15" hidden="1" customHeight="1">
      <c r="L4428" s="58" t="str">
        <f t="shared" si="377"/>
        <v>-</v>
      </c>
      <c r="M4428" s="59">
        <f t="shared" si="375"/>
        <v>0</v>
      </c>
      <c r="N4428" s="59">
        <f t="shared" si="378"/>
        <v>0</v>
      </c>
      <c r="O4428" s="59">
        <f t="shared" si="376"/>
        <v>0</v>
      </c>
      <c r="P4428" s="59">
        <f t="shared" si="379"/>
        <v>0</v>
      </c>
    </row>
    <row r="4429" spans="12:16" ht="15" hidden="1" customHeight="1">
      <c r="L4429" s="58" t="str">
        <f t="shared" si="377"/>
        <v>-</v>
      </c>
      <c r="M4429" s="59">
        <f t="shared" si="375"/>
        <v>0</v>
      </c>
      <c r="N4429" s="59">
        <f t="shared" si="378"/>
        <v>0</v>
      </c>
      <c r="O4429" s="59">
        <f t="shared" si="376"/>
        <v>0</v>
      </c>
      <c r="P4429" s="59">
        <f t="shared" si="379"/>
        <v>0</v>
      </c>
    </row>
    <row r="4430" spans="12:16" ht="15" hidden="1" customHeight="1">
      <c r="L4430" s="58" t="str">
        <f t="shared" si="377"/>
        <v>-</v>
      </c>
      <c r="M4430" s="59">
        <f t="shared" si="375"/>
        <v>0</v>
      </c>
      <c r="N4430" s="59">
        <f t="shared" si="378"/>
        <v>0</v>
      </c>
      <c r="O4430" s="59">
        <f t="shared" si="376"/>
        <v>0</v>
      </c>
      <c r="P4430" s="59">
        <f t="shared" si="379"/>
        <v>0</v>
      </c>
    </row>
    <row r="4431" spans="12:16" ht="15" hidden="1" customHeight="1">
      <c r="L4431" s="58" t="str">
        <f t="shared" si="377"/>
        <v>-</v>
      </c>
      <c r="M4431" s="59">
        <f t="shared" si="375"/>
        <v>0</v>
      </c>
      <c r="N4431" s="59">
        <f t="shared" si="378"/>
        <v>0</v>
      </c>
      <c r="O4431" s="59">
        <f t="shared" si="376"/>
        <v>0</v>
      </c>
      <c r="P4431" s="59">
        <f t="shared" si="379"/>
        <v>0</v>
      </c>
    </row>
    <row r="4432" spans="12:16" ht="15" hidden="1" customHeight="1">
      <c r="L4432" s="58" t="str">
        <f t="shared" si="377"/>
        <v>-</v>
      </c>
      <c r="M4432" s="59">
        <f t="shared" si="375"/>
        <v>0</v>
      </c>
      <c r="N4432" s="59">
        <f t="shared" si="378"/>
        <v>0</v>
      </c>
      <c r="O4432" s="59">
        <f t="shared" si="376"/>
        <v>0</v>
      </c>
      <c r="P4432" s="59">
        <f t="shared" si="379"/>
        <v>0</v>
      </c>
    </row>
    <row r="4433" spans="12:16" ht="15" hidden="1" customHeight="1">
      <c r="L4433" s="58" t="str">
        <f t="shared" si="377"/>
        <v>-</v>
      </c>
      <c r="M4433" s="59">
        <f t="shared" si="375"/>
        <v>0</v>
      </c>
      <c r="N4433" s="59">
        <f t="shared" si="378"/>
        <v>0</v>
      </c>
      <c r="O4433" s="59">
        <f t="shared" si="376"/>
        <v>0</v>
      </c>
      <c r="P4433" s="59">
        <f t="shared" si="379"/>
        <v>0</v>
      </c>
    </row>
    <row r="4434" spans="12:16" ht="15" hidden="1" customHeight="1">
      <c r="L4434" s="58" t="str">
        <f t="shared" si="377"/>
        <v>-</v>
      </c>
      <c r="M4434" s="59">
        <f t="shared" si="375"/>
        <v>0</v>
      </c>
      <c r="N4434" s="59">
        <f t="shared" si="378"/>
        <v>0</v>
      </c>
      <c r="O4434" s="59">
        <f t="shared" si="376"/>
        <v>0</v>
      </c>
      <c r="P4434" s="59">
        <f t="shared" si="379"/>
        <v>0</v>
      </c>
    </row>
    <row r="4435" spans="12:16" ht="15" hidden="1" customHeight="1">
      <c r="L4435" s="58" t="str">
        <f t="shared" si="377"/>
        <v>-</v>
      </c>
      <c r="M4435" s="59">
        <f t="shared" ref="M4435:M4498" si="380">IFERROR(VLOOKUP(L4435,$B$19:$E$80,4,FALSE),0)</f>
        <v>0</v>
      </c>
      <c r="N4435" s="59">
        <f t="shared" si="378"/>
        <v>0</v>
      </c>
      <c r="O4435" s="59">
        <f t="shared" ref="O4435:O4498" si="381">IFERROR(IF(ISNUMBER(N4434),N4434,$E$8)*IF(L4435&gt;=$J$8,$E$12,$E$12)/IF(MOD(YEAR(L4435),4),365,366)*IF(ISBLANK(L4434),L4435-$F$5,L4435-L4434),0)</f>
        <v>0</v>
      </c>
      <c r="P4435" s="59">
        <f t="shared" si="379"/>
        <v>0</v>
      </c>
    </row>
    <row r="4436" spans="12:16" ht="15" hidden="1" customHeight="1">
      <c r="L4436" s="58" t="str">
        <f t="shared" si="377"/>
        <v>-</v>
      </c>
      <c r="M4436" s="59">
        <f t="shared" si="380"/>
        <v>0</v>
      </c>
      <c r="N4436" s="59">
        <f t="shared" si="378"/>
        <v>0</v>
      </c>
      <c r="O4436" s="59">
        <f t="shared" si="381"/>
        <v>0</v>
      </c>
      <c r="P4436" s="59">
        <f t="shared" si="379"/>
        <v>0</v>
      </c>
    </row>
    <row r="4437" spans="12:16" ht="15" hidden="1" customHeight="1">
      <c r="L4437" s="58" t="str">
        <f t="shared" si="377"/>
        <v>-</v>
      </c>
      <c r="M4437" s="59">
        <f t="shared" si="380"/>
        <v>0</v>
      </c>
      <c r="N4437" s="59">
        <f t="shared" si="378"/>
        <v>0</v>
      </c>
      <c r="O4437" s="59">
        <f t="shared" si="381"/>
        <v>0</v>
      </c>
      <c r="P4437" s="59">
        <f t="shared" si="379"/>
        <v>0</v>
      </c>
    </row>
    <row r="4438" spans="12:16" ht="15" hidden="1" customHeight="1">
      <c r="L4438" s="58" t="str">
        <f t="shared" si="377"/>
        <v>-</v>
      </c>
      <c r="M4438" s="59">
        <f t="shared" si="380"/>
        <v>0</v>
      </c>
      <c r="N4438" s="59">
        <f t="shared" si="378"/>
        <v>0</v>
      </c>
      <c r="O4438" s="59">
        <f t="shared" si="381"/>
        <v>0</v>
      </c>
      <c r="P4438" s="59">
        <f t="shared" si="379"/>
        <v>0</v>
      </c>
    </row>
    <row r="4439" spans="12:16" ht="15" hidden="1" customHeight="1">
      <c r="L4439" s="58" t="str">
        <f t="shared" si="377"/>
        <v>-</v>
      </c>
      <c r="M4439" s="59">
        <f t="shared" si="380"/>
        <v>0</v>
      </c>
      <c r="N4439" s="59">
        <f t="shared" si="378"/>
        <v>0</v>
      </c>
      <c r="O4439" s="59">
        <f t="shared" si="381"/>
        <v>0</v>
      </c>
      <c r="P4439" s="59">
        <f t="shared" si="379"/>
        <v>0</v>
      </c>
    </row>
    <row r="4440" spans="12:16" ht="15" hidden="1" customHeight="1">
      <c r="L4440" s="58" t="str">
        <f t="shared" si="377"/>
        <v>-</v>
      </c>
      <c r="M4440" s="59">
        <f t="shared" si="380"/>
        <v>0</v>
      </c>
      <c r="N4440" s="59">
        <f t="shared" si="378"/>
        <v>0</v>
      </c>
      <c r="O4440" s="59">
        <f t="shared" si="381"/>
        <v>0</v>
      </c>
      <c r="P4440" s="59">
        <f t="shared" si="379"/>
        <v>0</v>
      </c>
    </row>
    <row r="4441" spans="12:16" ht="15" hidden="1" customHeight="1">
      <c r="L4441" s="58" t="str">
        <f t="shared" si="377"/>
        <v>-</v>
      </c>
      <c r="M4441" s="59">
        <f t="shared" si="380"/>
        <v>0</v>
      </c>
      <c r="N4441" s="59">
        <f t="shared" si="378"/>
        <v>0</v>
      </c>
      <c r="O4441" s="59">
        <f t="shared" si="381"/>
        <v>0</v>
      </c>
      <c r="P4441" s="59">
        <f t="shared" si="379"/>
        <v>0</v>
      </c>
    </row>
    <row r="4442" spans="12:16" ht="15" hidden="1" customHeight="1">
      <c r="L4442" s="58" t="str">
        <f t="shared" si="377"/>
        <v>-</v>
      </c>
      <c r="M4442" s="59">
        <f t="shared" si="380"/>
        <v>0</v>
      </c>
      <c r="N4442" s="59">
        <f t="shared" si="378"/>
        <v>0</v>
      </c>
      <c r="O4442" s="59">
        <f t="shared" si="381"/>
        <v>0</v>
      </c>
      <c r="P4442" s="59">
        <f t="shared" si="379"/>
        <v>0</v>
      </c>
    </row>
    <row r="4443" spans="12:16" ht="15" hidden="1" customHeight="1">
      <c r="L4443" s="58" t="str">
        <f t="shared" si="377"/>
        <v>-</v>
      </c>
      <c r="M4443" s="59">
        <f t="shared" si="380"/>
        <v>0</v>
      </c>
      <c r="N4443" s="59">
        <f t="shared" si="378"/>
        <v>0</v>
      </c>
      <c r="O4443" s="59">
        <f t="shared" si="381"/>
        <v>0</v>
      </c>
      <c r="P4443" s="59">
        <f t="shared" si="379"/>
        <v>0</v>
      </c>
    </row>
    <row r="4444" spans="12:16" ht="15" hidden="1" customHeight="1">
      <c r="L4444" s="58" t="str">
        <f t="shared" si="377"/>
        <v>-</v>
      </c>
      <c r="M4444" s="59">
        <f t="shared" si="380"/>
        <v>0</v>
      </c>
      <c r="N4444" s="59">
        <f t="shared" si="378"/>
        <v>0</v>
      </c>
      <c r="O4444" s="59">
        <f t="shared" si="381"/>
        <v>0</v>
      </c>
      <c r="P4444" s="59">
        <f t="shared" si="379"/>
        <v>0</v>
      </c>
    </row>
    <row r="4445" spans="12:16" ht="15" hidden="1" customHeight="1">
      <c r="L4445" s="58" t="str">
        <f t="shared" si="377"/>
        <v>-</v>
      </c>
      <c r="M4445" s="59">
        <f t="shared" si="380"/>
        <v>0</v>
      </c>
      <c r="N4445" s="59">
        <f t="shared" si="378"/>
        <v>0</v>
      </c>
      <c r="O4445" s="59">
        <f t="shared" si="381"/>
        <v>0</v>
      </c>
      <c r="P4445" s="59">
        <f t="shared" si="379"/>
        <v>0</v>
      </c>
    </row>
    <row r="4446" spans="12:16" ht="15" hidden="1" customHeight="1">
      <c r="L4446" s="58" t="str">
        <f t="shared" si="377"/>
        <v>-</v>
      </c>
      <c r="M4446" s="59">
        <f t="shared" si="380"/>
        <v>0</v>
      </c>
      <c r="N4446" s="59">
        <f t="shared" si="378"/>
        <v>0</v>
      </c>
      <c r="O4446" s="59">
        <f t="shared" si="381"/>
        <v>0</v>
      </c>
      <c r="P4446" s="59">
        <f t="shared" si="379"/>
        <v>0</v>
      </c>
    </row>
    <row r="4447" spans="12:16" ht="15" hidden="1" customHeight="1">
      <c r="L4447" s="58" t="str">
        <f t="shared" si="377"/>
        <v>-</v>
      </c>
      <c r="M4447" s="59">
        <f t="shared" si="380"/>
        <v>0</v>
      </c>
      <c r="N4447" s="59">
        <f t="shared" si="378"/>
        <v>0</v>
      </c>
      <c r="O4447" s="59">
        <f t="shared" si="381"/>
        <v>0</v>
      </c>
      <c r="P4447" s="59">
        <f t="shared" si="379"/>
        <v>0</v>
      </c>
    </row>
    <row r="4448" spans="12:16" ht="15" hidden="1" customHeight="1">
      <c r="L4448" s="58" t="str">
        <f t="shared" si="377"/>
        <v>-</v>
      </c>
      <c r="M4448" s="59">
        <f t="shared" si="380"/>
        <v>0</v>
      </c>
      <c r="N4448" s="59">
        <f t="shared" si="378"/>
        <v>0</v>
      </c>
      <c r="O4448" s="59">
        <f t="shared" si="381"/>
        <v>0</v>
      </c>
      <c r="P4448" s="59">
        <f t="shared" si="379"/>
        <v>0</v>
      </c>
    </row>
    <row r="4449" spans="12:16" ht="15" hidden="1" customHeight="1">
      <c r="L4449" s="58" t="str">
        <f t="shared" ref="L4449:L4512" si="382">IFERROR(IF(MAX(L4448+1,$F$5+1)&gt;Дата_погашения_Займа,"-",MAX(L4448+1,$F$5+1)),"-")</f>
        <v>-</v>
      </c>
      <c r="M4449" s="59">
        <f t="shared" si="380"/>
        <v>0</v>
      </c>
      <c r="N4449" s="59">
        <f t="shared" si="378"/>
        <v>0</v>
      </c>
      <c r="O4449" s="59">
        <f t="shared" si="381"/>
        <v>0</v>
      </c>
      <c r="P4449" s="59">
        <f t="shared" si="379"/>
        <v>0</v>
      </c>
    </row>
    <row r="4450" spans="12:16" ht="15" hidden="1" customHeight="1">
      <c r="L4450" s="58" t="str">
        <f t="shared" si="382"/>
        <v>-</v>
      </c>
      <c r="M4450" s="59">
        <f t="shared" si="380"/>
        <v>0</v>
      </c>
      <c r="N4450" s="59">
        <f t="shared" si="378"/>
        <v>0</v>
      </c>
      <c r="O4450" s="59">
        <f t="shared" si="381"/>
        <v>0</v>
      </c>
      <c r="P4450" s="59">
        <f t="shared" si="379"/>
        <v>0</v>
      </c>
    </row>
    <row r="4451" spans="12:16" ht="15" hidden="1" customHeight="1">
      <c r="L4451" s="58" t="str">
        <f t="shared" si="382"/>
        <v>-</v>
      </c>
      <c r="M4451" s="59">
        <f t="shared" si="380"/>
        <v>0</v>
      </c>
      <c r="N4451" s="59">
        <f t="shared" si="378"/>
        <v>0</v>
      </c>
      <c r="O4451" s="59">
        <f t="shared" si="381"/>
        <v>0</v>
      </c>
      <c r="P4451" s="59">
        <f t="shared" si="379"/>
        <v>0</v>
      </c>
    </row>
    <row r="4452" spans="12:16" ht="15" hidden="1" customHeight="1">
      <c r="L4452" s="58" t="str">
        <f t="shared" si="382"/>
        <v>-</v>
      </c>
      <c r="M4452" s="59">
        <f t="shared" si="380"/>
        <v>0</v>
      </c>
      <c r="N4452" s="59">
        <f t="shared" si="378"/>
        <v>0</v>
      </c>
      <c r="O4452" s="59">
        <f t="shared" si="381"/>
        <v>0</v>
      </c>
      <c r="P4452" s="59">
        <f t="shared" si="379"/>
        <v>0</v>
      </c>
    </row>
    <row r="4453" spans="12:16" ht="15" hidden="1" customHeight="1">
      <c r="L4453" s="58" t="str">
        <f t="shared" si="382"/>
        <v>-</v>
      </c>
      <c r="M4453" s="59">
        <f t="shared" si="380"/>
        <v>0</v>
      </c>
      <c r="N4453" s="59">
        <f t="shared" si="378"/>
        <v>0</v>
      </c>
      <c r="O4453" s="59">
        <f t="shared" si="381"/>
        <v>0</v>
      </c>
      <c r="P4453" s="59">
        <f t="shared" si="379"/>
        <v>0</v>
      </c>
    </row>
    <row r="4454" spans="12:16" ht="15" hidden="1" customHeight="1">
      <c r="L4454" s="58" t="str">
        <f t="shared" si="382"/>
        <v>-</v>
      </c>
      <c r="M4454" s="59">
        <f t="shared" si="380"/>
        <v>0</v>
      </c>
      <c r="N4454" s="59">
        <f t="shared" si="378"/>
        <v>0</v>
      </c>
      <c r="O4454" s="59">
        <f t="shared" si="381"/>
        <v>0</v>
      </c>
      <c r="P4454" s="59">
        <f t="shared" si="379"/>
        <v>0</v>
      </c>
    </row>
    <row r="4455" spans="12:16" ht="15" hidden="1" customHeight="1">
      <c r="L4455" s="58" t="str">
        <f t="shared" si="382"/>
        <v>-</v>
      </c>
      <c r="M4455" s="59">
        <f t="shared" si="380"/>
        <v>0</v>
      </c>
      <c r="N4455" s="59">
        <f t="shared" si="378"/>
        <v>0</v>
      </c>
      <c r="O4455" s="59">
        <f t="shared" si="381"/>
        <v>0</v>
      </c>
      <c r="P4455" s="59">
        <f t="shared" si="379"/>
        <v>0</v>
      </c>
    </row>
    <row r="4456" spans="12:16" ht="15" hidden="1" customHeight="1">
      <c r="L4456" s="58" t="str">
        <f t="shared" si="382"/>
        <v>-</v>
      </c>
      <c r="M4456" s="59">
        <f t="shared" si="380"/>
        <v>0</v>
      </c>
      <c r="N4456" s="59">
        <f t="shared" si="378"/>
        <v>0</v>
      </c>
      <c r="O4456" s="59">
        <f t="shared" si="381"/>
        <v>0</v>
      </c>
      <c r="P4456" s="59">
        <f t="shared" si="379"/>
        <v>0</v>
      </c>
    </row>
    <row r="4457" spans="12:16" ht="15" hidden="1" customHeight="1">
      <c r="L4457" s="58" t="str">
        <f t="shared" si="382"/>
        <v>-</v>
      </c>
      <c r="M4457" s="59">
        <f t="shared" si="380"/>
        <v>0</v>
      </c>
      <c r="N4457" s="59">
        <f t="shared" ref="N4457:N4520" si="383">IF(ISNUMBER(N4456),N4456-M4457,$E$8)</f>
        <v>0</v>
      </c>
      <c r="O4457" s="59">
        <f t="shared" si="381"/>
        <v>0</v>
      </c>
      <c r="P4457" s="59">
        <f t="shared" ref="P4457:P4520" si="384">IFERROR(IF(ISNUMBER(N4456),N4456,$E$8)*3%/IF(MOD(YEAR(L4457),4),365,366)*IF(ISBLANK(L4456),(L4457-$F$5),L4457-L4456),0)</f>
        <v>0</v>
      </c>
    </row>
    <row r="4458" spans="12:16" ht="15" hidden="1" customHeight="1">
      <c r="L4458" s="58" t="str">
        <f t="shared" si="382"/>
        <v>-</v>
      </c>
      <c r="M4458" s="59">
        <f t="shared" si="380"/>
        <v>0</v>
      </c>
      <c r="N4458" s="59">
        <f t="shared" si="383"/>
        <v>0</v>
      </c>
      <c r="O4458" s="59">
        <f t="shared" si="381"/>
        <v>0</v>
      </c>
      <c r="P4458" s="59">
        <f t="shared" si="384"/>
        <v>0</v>
      </c>
    </row>
    <row r="4459" spans="12:16" ht="15" hidden="1" customHeight="1">
      <c r="L4459" s="58" t="str">
        <f t="shared" si="382"/>
        <v>-</v>
      </c>
      <c r="M4459" s="59">
        <f t="shared" si="380"/>
        <v>0</v>
      </c>
      <c r="N4459" s="59">
        <f t="shared" si="383"/>
        <v>0</v>
      </c>
      <c r="O4459" s="59">
        <f t="shared" si="381"/>
        <v>0</v>
      </c>
      <c r="P4459" s="59">
        <f t="shared" si="384"/>
        <v>0</v>
      </c>
    </row>
    <row r="4460" spans="12:16" ht="15" hidden="1" customHeight="1">
      <c r="L4460" s="58" t="str">
        <f t="shared" si="382"/>
        <v>-</v>
      </c>
      <c r="M4460" s="59">
        <f t="shared" si="380"/>
        <v>0</v>
      </c>
      <c r="N4460" s="59">
        <f t="shared" si="383"/>
        <v>0</v>
      </c>
      <c r="O4460" s="59">
        <f t="shared" si="381"/>
        <v>0</v>
      </c>
      <c r="P4460" s="59">
        <f t="shared" si="384"/>
        <v>0</v>
      </c>
    </row>
    <row r="4461" spans="12:16" ht="15" hidden="1" customHeight="1">
      <c r="L4461" s="58" t="str">
        <f t="shared" si="382"/>
        <v>-</v>
      </c>
      <c r="M4461" s="59">
        <f t="shared" si="380"/>
        <v>0</v>
      </c>
      <c r="N4461" s="59">
        <f t="shared" si="383"/>
        <v>0</v>
      </c>
      <c r="O4461" s="59">
        <f t="shared" si="381"/>
        <v>0</v>
      </c>
      <c r="P4461" s="59">
        <f t="shared" si="384"/>
        <v>0</v>
      </c>
    </row>
    <row r="4462" spans="12:16" ht="15" hidden="1" customHeight="1">
      <c r="L4462" s="58" t="str">
        <f t="shared" si="382"/>
        <v>-</v>
      </c>
      <c r="M4462" s="59">
        <f t="shared" si="380"/>
        <v>0</v>
      </c>
      <c r="N4462" s="59">
        <f t="shared" si="383"/>
        <v>0</v>
      </c>
      <c r="O4462" s="59">
        <f t="shared" si="381"/>
        <v>0</v>
      </c>
      <c r="P4462" s="59">
        <f t="shared" si="384"/>
        <v>0</v>
      </c>
    </row>
    <row r="4463" spans="12:16" ht="15" hidden="1" customHeight="1">
      <c r="L4463" s="58" t="str">
        <f t="shared" si="382"/>
        <v>-</v>
      </c>
      <c r="M4463" s="59">
        <f t="shared" si="380"/>
        <v>0</v>
      </c>
      <c r="N4463" s="59">
        <f t="shared" si="383"/>
        <v>0</v>
      </c>
      <c r="O4463" s="59">
        <f t="shared" si="381"/>
        <v>0</v>
      </c>
      <c r="P4463" s="59">
        <f t="shared" si="384"/>
        <v>0</v>
      </c>
    </row>
    <row r="4464" spans="12:16" ht="15" hidden="1" customHeight="1">
      <c r="L4464" s="58" t="str">
        <f t="shared" si="382"/>
        <v>-</v>
      </c>
      <c r="M4464" s="59">
        <f t="shared" si="380"/>
        <v>0</v>
      </c>
      <c r="N4464" s="59">
        <f t="shared" si="383"/>
        <v>0</v>
      </c>
      <c r="O4464" s="59">
        <f t="shared" si="381"/>
        <v>0</v>
      </c>
      <c r="P4464" s="59">
        <f t="shared" si="384"/>
        <v>0</v>
      </c>
    </row>
    <row r="4465" spans="12:16" ht="15" hidden="1" customHeight="1">
      <c r="L4465" s="58" t="str">
        <f t="shared" si="382"/>
        <v>-</v>
      </c>
      <c r="M4465" s="59">
        <f t="shared" si="380"/>
        <v>0</v>
      </c>
      <c r="N4465" s="59">
        <f t="shared" si="383"/>
        <v>0</v>
      </c>
      <c r="O4465" s="59">
        <f t="shared" si="381"/>
        <v>0</v>
      </c>
      <c r="P4465" s="59">
        <f t="shared" si="384"/>
        <v>0</v>
      </c>
    </row>
    <row r="4466" spans="12:16" ht="15" hidden="1" customHeight="1">
      <c r="L4466" s="58" t="str">
        <f t="shared" si="382"/>
        <v>-</v>
      </c>
      <c r="M4466" s="59">
        <f t="shared" si="380"/>
        <v>0</v>
      </c>
      <c r="N4466" s="59">
        <f t="shared" si="383"/>
        <v>0</v>
      </c>
      <c r="O4466" s="59">
        <f t="shared" si="381"/>
        <v>0</v>
      </c>
      <c r="P4466" s="59">
        <f t="shared" si="384"/>
        <v>0</v>
      </c>
    </row>
    <row r="4467" spans="12:16" ht="15" hidden="1" customHeight="1">
      <c r="L4467" s="58" t="str">
        <f t="shared" si="382"/>
        <v>-</v>
      </c>
      <c r="M4467" s="59">
        <f t="shared" si="380"/>
        <v>0</v>
      </c>
      <c r="N4467" s="59">
        <f t="shared" si="383"/>
        <v>0</v>
      </c>
      <c r="O4467" s="59">
        <f t="shared" si="381"/>
        <v>0</v>
      </c>
      <c r="P4467" s="59">
        <f t="shared" si="384"/>
        <v>0</v>
      </c>
    </row>
    <row r="4468" spans="12:16" ht="15" hidden="1" customHeight="1">
      <c r="L4468" s="58" t="str">
        <f t="shared" si="382"/>
        <v>-</v>
      </c>
      <c r="M4468" s="59">
        <f t="shared" si="380"/>
        <v>0</v>
      </c>
      <c r="N4468" s="59">
        <f t="shared" si="383"/>
        <v>0</v>
      </c>
      <c r="O4468" s="59">
        <f t="shared" si="381"/>
        <v>0</v>
      </c>
      <c r="P4468" s="59">
        <f t="shared" si="384"/>
        <v>0</v>
      </c>
    </row>
    <row r="4469" spans="12:16" ht="15" hidden="1" customHeight="1">
      <c r="L4469" s="58" t="str">
        <f t="shared" si="382"/>
        <v>-</v>
      </c>
      <c r="M4469" s="59">
        <f t="shared" si="380"/>
        <v>0</v>
      </c>
      <c r="N4469" s="59">
        <f t="shared" si="383"/>
        <v>0</v>
      </c>
      <c r="O4469" s="59">
        <f t="shared" si="381"/>
        <v>0</v>
      </c>
      <c r="P4469" s="59">
        <f t="shared" si="384"/>
        <v>0</v>
      </c>
    </row>
    <row r="4470" spans="12:16" ht="15" hidden="1" customHeight="1">
      <c r="L4470" s="58" t="str">
        <f t="shared" si="382"/>
        <v>-</v>
      </c>
      <c r="M4470" s="59">
        <f t="shared" si="380"/>
        <v>0</v>
      </c>
      <c r="N4470" s="59">
        <f t="shared" si="383"/>
        <v>0</v>
      </c>
      <c r="O4470" s="59">
        <f t="shared" si="381"/>
        <v>0</v>
      </c>
      <c r="P4470" s="59">
        <f t="shared" si="384"/>
        <v>0</v>
      </c>
    </row>
    <row r="4471" spans="12:16" ht="15" hidden="1" customHeight="1">
      <c r="L4471" s="58" t="str">
        <f t="shared" si="382"/>
        <v>-</v>
      </c>
      <c r="M4471" s="59">
        <f t="shared" si="380"/>
        <v>0</v>
      </c>
      <c r="N4471" s="59">
        <f t="shared" si="383"/>
        <v>0</v>
      </c>
      <c r="O4471" s="59">
        <f t="shared" si="381"/>
        <v>0</v>
      </c>
      <c r="P4471" s="59">
        <f t="shared" si="384"/>
        <v>0</v>
      </c>
    </row>
    <row r="4472" spans="12:16" ht="15" hidden="1" customHeight="1">
      <c r="L4472" s="58" t="str">
        <f t="shared" si="382"/>
        <v>-</v>
      </c>
      <c r="M4472" s="59">
        <f t="shared" si="380"/>
        <v>0</v>
      </c>
      <c r="N4472" s="59">
        <f t="shared" si="383"/>
        <v>0</v>
      </c>
      <c r="O4472" s="59">
        <f t="shared" si="381"/>
        <v>0</v>
      </c>
      <c r="P4472" s="59">
        <f t="shared" si="384"/>
        <v>0</v>
      </c>
    </row>
    <row r="4473" spans="12:16" ht="15" hidden="1" customHeight="1">
      <c r="L4473" s="58" t="str">
        <f t="shared" si="382"/>
        <v>-</v>
      </c>
      <c r="M4473" s="59">
        <f t="shared" si="380"/>
        <v>0</v>
      </c>
      <c r="N4473" s="59">
        <f t="shared" si="383"/>
        <v>0</v>
      </c>
      <c r="O4473" s="59">
        <f t="shared" si="381"/>
        <v>0</v>
      </c>
      <c r="P4473" s="59">
        <f t="shared" si="384"/>
        <v>0</v>
      </c>
    </row>
    <row r="4474" spans="12:16" ht="15" hidden="1" customHeight="1">
      <c r="L4474" s="58" t="str">
        <f t="shared" si="382"/>
        <v>-</v>
      </c>
      <c r="M4474" s="59">
        <f t="shared" si="380"/>
        <v>0</v>
      </c>
      <c r="N4474" s="59">
        <f t="shared" si="383"/>
        <v>0</v>
      </c>
      <c r="O4474" s="59">
        <f t="shared" si="381"/>
        <v>0</v>
      </c>
      <c r="P4474" s="59">
        <f t="shared" si="384"/>
        <v>0</v>
      </c>
    </row>
    <row r="4475" spans="12:16" ht="15" hidden="1" customHeight="1">
      <c r="L4475" s="58" t="str">
        <f t="shared" si="382"/>
        <v>-</v>
      </c>
      <c r="M4475" s="59">
        <f t="shared" si="380"/>
        <v>0</v>
      </c>
      <c r="N4475" s="59">
        <f t="shared" si="383"/>
        <v>0</v>
      </c>
      <c r="O4475" s="59">
        <f t="shared" si="381"/>
        <v>0</v>
      </c>
      <c r="P4475" s="59">
        <f t="shared" si="384"/>
        <v>0</v>
      </c>
    </row>
    <row r="4476" spans="12:16" ht="15" hidden="1" customHeight="1">
      <c r="L4476" s="58" t="str">
        <f t="shared" si="382"/>
        <v>-</v>
      </c>
      <c r="M4476" s="59">
        <f t="shared" si="380"/>
        <v>0</v>
      </c>
      <c r="N4476" s="59">
        <f t="shared" si="383"/>
        <v>0</v>
      </c>
      <c r="O4476" s="59">
        <f t="shared" si="381"/>
        <v>0</v>
      </c>
      <c r="P4476" s="59">
        <f t="shared" si="384"/>
        <v>0</v>
      </c>
    </row>
    <row r="4477" spans="12:16" ht="15" hidden="1" customHeight="1">
      <c r="L4477" s="58" t="str">
        <f t="shared" si="382"/>
        <v>-</v>
      </c>
      <c r="M4477" s="59">
        <f t="shared" si="380"/>
        <v>0</v>
      </c>
      <c r="N4477" s="59">
        <f t="shared" si="383"/>
        <v>0</v>
      </c>
      <c r="O4477" s="59">
        <f t="shared" si="381"/>
        <v>0</v>
      </c>
      <c r="P4477" s="59">
        <f t="shared" si="384"/>
        <v>0</v>
      </c>
    </row>
    <row r="4478" spans="12:16" ht="15" hidden="1" customHeight="1">
      <c r="L4478" s="58" t="str">
        <f t="shared" si="382"/>
        <v>-</v>
      </c>
      <c r="M4478" s="59">
        <f t="shared" si="380"/>
        <v>0</v>
      </c>
      <c r="N4478" s="59">
        <f t="shared" si="383"/>
        <v>0</v>
      </c>
      <c r="O4478" s="59">
        <f t="shared" si="381"/>
        <v>0</v>
      </c>
      <c r="P4478" s="59">
        <f t="shared" si="384"/>
        <v>0</v>
      </c>
    </row>
    <row r="4479" spans="12:16" ht="15" hidden="1" customHeight="1">
      <c r="L4479" s="58" t="str">
        <f t="shared" si="382"/>
        <v>-</v>
      </c>
      <c r="M4479" s="59">
        <f t="shared" si="380"/>
        <v>0</v>
      </c>
      <c r="N4479" s="59">
        <f t="shared" si="383"/>
        <v>0</v>
      </c>
      <c r="O4479" s="59">
        <f t="shared" si="381"/>
        <v>0</v>
      </c>
      <c r="P4479" s="59">
        <f t="shared" si="384"/>
        <v>0</v>
      </c>
    </row>
    <row r="4480" spans="12:16" ht="15" hidden="1" customHeight="1">
      <c r="L4480" s="58" t="str">
        <f t="shared" si="382"/>
        <v>-</v>
      </c>
      <c r="M4480" s="59">
        <f t="shared" si="380"/>
        <v>0</v>
      </c>
      <c r="N4480" s="59">
        <f t="shared" si="383"/>
        <v>0</v>
      </c>
      <c r="O4480" s="59">
        <f t="shared" si="381"/>
        <v>0</v>
      </c>
      <c r="P4480" s="59">
        <f t="shared" si="384"/>
        <v>0</v>
      </c>
    </row>
    <row r="4481" spans="12:16" ht="15" hidden="1" customHeight="1">
      <c r="L4481" s="58" t="str">
        <f t="shared" si="382"/>
        <v>-</v>
      </c>
      <c r="M4481" s="59">
        <f t="shared" si="380"/>
        <v>0</v>
      </c>
      <c r="N4481" s="59">
        <f t="shared" si="383"/>
        <v>0</v>
      </c>
      <c r="O4481" s="59">
        <f t="shared" si="381"/>
        <v>0</v>
      </c>
      <c r="P4481" s="59">
        <f t="shared" si="384"/>
        <v>0</v>
      </c>
    </row>
    <row r="4482" spans="12:16" ht="15" hidden="1" customHeight="1">
      <c r="L4482" s="58" t="str">
        <f t="shared" si="382"/>
        <v>-</v>
      </c>
      <c r="M4482" s="59">
        <f t="shared" si="380"/>
        <v>0</v>
      </c>
      <c r="N4482" s="59">
        <f t="shared" si="383"/>
        <v>0</v>
      </c>
      <c r="O4482" s="59">
        <f t="shared" si="381"/>
        <v>0</v>
      </c>
      <c r="P4482" s="59">
        <f t="shared" si="384"/>
        <v>0</v>
      </c>
    </row>
    <row r="4483" spans="12:16" ht="15" hidden="1" customHeight="1">
      <c r="L4483" s="58" t="str">
        <f t="shared" si="382"/>
        <v>-</v>
      </c>
      <c r="M4483" s="59">
        <f t="shared" si="380"/>
        <v>0</v>
      </c>
      <c r="N4483" s="59">
        <f t="shared" si="383"/>
        <v>0</v>
      </c>
      <c r="O4483" s="59">
        <f t="shared" si="381"/>
        <v>0</v>
      </c>
      <c r="P4483" s="59">
        <f t="shared" si="384"/>
        <v>0</v>
      </c>
    </row>
    <row r="4484" spans="12:16" ht="15" hidden="1" customHeight="1">
      <c r="L4484" s="58" t="str">
        <f t="shared" si="382"/>
        <v>-</v>
      </c>
      <c r="M4484" s="59">
        <f t="shared" si="380"/>
        <v>0</v>
      </c>
      <c r="N4484" s="59">
        <f t="shared" si="383"/>
        <v>0</v>
      </c>
      <c r="O4484" s="59">
        <f t="shared" si="381"/>
        <v>0</v>
      </c>
      <c r="P4484" s="59">
        <f t="shared" si="384"/>
        <v>0</v>
      </c>
    </row>
    <row r="4485" spans="12:16" ht="15" hidden="1" customHeight="1">
      <c r="L4485" s="58" t="str">
        <f t="shared" si="382"/>
        <v>-</v>
      </c>
      <c r="M4485" s="59">
        <f t="shared" si="380"/>
        <v>0</v>
      </c>
      <c r="N4485" s="59">
        <f t="shared" si="383"/>
        <v>0</v>
      </c>
      <c r="O4485" s="59">
        <f t="shared" si="381"/>
        <v>0</v>
      </c>
      <c r="P4485" s="59">
        <f t="shared" si="384"/>
        <v>0</v>
      </c>
    </row>
    <row r="4486" spans="12:16" ht="15" hidden="1" customHeight="1">
      <c r="L4486" s="58" t="str">
        <f t="shared" si="382"/>
        <v>-</v>
      </c>
      <c r="M4486" s="59">
        <f t="shared" si="380"/>
        <v>0</v>
      </c>
      <c r="N4486" s="59">
        <f t="shared" si="383"/>
        <v>0</v>
      </c>
      <c r="O4486" s="59">
        <f t="shared" si="381"/>
        <v>0</v>
      </c>
      <c r="P4486" s="59">
        <f t="shared" si="384"/>
        <v>0</v>
      </c>
    </row>
    <row r="4487" spans="12:16" ht="15" hidden="1" customHeight="1">
      <c r="L4487" s="58" t="str">
        <f t="shared" si="382"/>
        <v>-</v>
      </c>
      <c r="M4487" s="59">
        <f t="shared" si="380"/>
        <v>0</v>
      </c>
      <c r="N4487" s="59">
        <f t="shared" si="383"/>
        <v>0</v>
      </c>
      <c r="O4487" s="59">
        <f t="shared" si="381"/>
        <v>0</v>
      </c>
      <c r="P4487" s="59">
        <f t="shared" si="384"/>
        <v>0</v>
      </c>
    </row>
    <row r="4488" spans="12:16" ht="15" hidden="1" customHeight="1">
      <c r="L4488" s="58" t="str">
        <f t="shared" si="382"/>
        <v>-</v>
      </c>
      <c r="M4488" s="59">
        <f t="shared" si="380"/>
        <v>0</v>
      </c>
      <c r="N4488" s="59">
        <f t="shared" si="383"/>
        <v>0</v>
      </c>
      <c r="O4488" s="59">
        <f t="shared" si="381"/>
        <v>0</v>
      </c>
      <c r="P4488" s="59">
        <f t="shared" si="384"/>
        <v>0</v>
      </c>
    </row>
    <row r="4489" spans="12:16" ht="15" hidden="1" customHeight="1">
      <c r="L4489" s="58" t="str">
        <f t="shared" si="382"/>
        <v>-</v>
      </c>
      <c r="M4489" s="59">
        <f t="shared" si="380"/>
        <v>0</v>
      </c>
      <c r="N4489" s="59">
        <f t="shared" si="383"/>
        <v>0</v>
      </c>
      <c r="O4489" s="59">
        <f t="shared" si="381"/>
        <v>0</v>
      </c>
      <c r="P4489" s="59">
        <f t="shared" si="384"/>
        <v>0</v>
      </c>
    </row>
    <row r="4490" spans="12:16" ht="15" hidden="1" customHeight="1">
      <c r="L4490" s="58" t="str">
        <f t="shared" si="382"/>
        <v>-</v>
      </c>
      <c r="M4490" s="59">
        <f t="shared" si="380"/>
        <v>0</v>
      </c>
      <c r="N4490" s="59">
        <f t="shared" si="383"/>
        <v>0</v>
      </c>
      <c r="O4490" s="59">
        <f t="shared" si="381"/>
        <v>0</v>
      </c>
      <c r="P4490" s="59">
        <f t="shared" si="384"/>
        <v>0</v>
      </c>
    </row>
    <row r="4491" spans="12:16" ht="15" hidden="1" customHeight="1">
      <c r="L4491" s="58" t="str">
        <f t="shared" si="382"/>
        <v>-</v>
      </c>
      <c r="M4491" s="59">
        <f t="shared" si="380"/>
        <v>0</v>
      </c>
      <c r="N4491" s="59">
        <f t="shared" si="383"/>
        <v>0</v>
      </c>
      <c r="O4491" s="59">
        <f t="shared" si="381"/>
        <v>0</v>
      </c>
      <c r="P4491" s="59">
        <f t="shared" si="384"/>
        <v>0</v>
      </c>
    </row>
    <row r="4492" spans="12:16" ht="15" hidden="1" customHeight="1">
      <c r="L4492" s="58" t="str">
        <f t="shared" si="382"/>
        <v>-</v>
      </c>
      <c r="M4492" s="59">
        <f t="shared" si="380"/>
        <v>0</v>
      </c>
      <c r="N4492" s="59">
        <f t="shared" si="383"/>
        <v>0</v>
      </c>
      <c r="O4492" s="59">
        <f t="shared" si="381"/>
        <v>0</v>
      </c>
      <c r="P4492" s="59">
        <f t="shared" si="384"/>
        <v>0</v>
      </c>
    </row>
    <row r="4493" spans="12:16" ht="15" hidden="1" customHeight="1">
      <c r="L4493" s="58" t="str">
        <f t="shared" si="382"/>
        <v>-</v>
      </c>
      <c r="M4493" s="59">
        <f t="shared" si="380"/>
        <v>0</v>
      </c>
      <c r="N4493" s="59">
        <f t="shared" si="383"/>
        <v>0</v>
      </c>
      <c r="O4493" s="59">
        <f t="shared" si="381"/>
        <v>0</v>
      </c>
      <c r="P4493" s="59">
        <f t="shared" si="384"/>
        <v>0</v>
      </c>
    </row>
    <row r="4494" spans="12:16" ht="15" hidden="1" customHeight="1">
      <c r="L4494" s="58" t="str">
        <f t="shared" si="382"/>
        <v>-</v>
      </c>
      <c r="M4494" s="59">
        <f t="shared" si="380"/>
        <v>0</v>
      </c>
      <c r="N4494" s="59">
        <f t="shared" si="383"/>
        <v>0</v>
      </c>
      <c r="O4494" s="59">
        <f t="shared" si="381"/>
        <v>0</v>
      </c>
      <c r="P4494" s="59">
        <f t="shared" si="384"/>
        <v>0</v>
      </c>
    </row>
    <row r="4495" spans="12:16" ht="15" hidden="1" customHeight="1">
      <c r="L4495" s="58" t="str">
        <f t="shared" si="382"/>
        <v>-</v>
      </c>
      <c r="M4495" s="59">
        <f t="shared" si="380"/>
        <v>0</v>
      </c>
      <c r="N4495" s="59">
        <f t="shared" si="383"/>
        <v>0</v>
      </c>
      <c r="O4495" s="59">
        <f t="shared" si="381"/>
        <v>0</v>
      </c>
      <c r="P4495" s="59">
        <f t="shared" si="384"/>
        <v>0</v>
      </c>
    </row>
    <row r="4496" spans="12:16" ht="15" hidden="1" customHeight="1">
      <c r="L4496" s="58" t="str">
        <f t="shared" si="382"/>
        <v>-</v>
      </c>
      <c r="M4496" s="59">
        <f t="shared" si="380"/>
        <v>0</v>
      </c>
      <c r="N4496" s="59">
        <f t="shared" si="383"/>
        <v>0</v>
      </c>
      <c r="O4496" s="59">
        <f t="shared" si="381"/>
        <v>0</v>
      </c>
      <c r="P4496" s="59">
        <f t="shared" si="384"/>
        <v>0</v>
      </c>
    </row>
    <row r="4497" spans="12:16" ht="15" hidden="1" customHeight="1">
      <c r="L4497" s="58" t="str">
        <f t="shared" si="382"/>
        <v>-</v>
      </c>
      <c r="M4497" s="59">
        <f t="shared" si="380"/>
        <v>0</v>
      </c>
      <c r="N4497" s="59">
        <f t="shared" si="383"/>
        <v>0</v>
      </c>
      <c r="O4497" s="59">
        <f t="shared" si="381"/>
        <v>0</v>
      </c>
      <c r="P4497" s="59">
        <f t="shared" si="384"/>
        <v>0</v>
      </c>
    </row>
    <row r="4498" spans="12:16" ht="15" hidden="1" customHeight="1">
      <c r="L4498" s="58" t="str">
        <f t="shared" si="382"/>
        <v>-</v>
      </c>
      <c r="M4498" s="59">
        <f t="shared" si="380"/>
        <v>0</v>
      </c>
      <c r="N4498" s="59">
        <f t="shared" si="383"/>
        <v>0</v>
      </c>
      <c r="O4498" s="59">
        <f t="shared" si="381"/>
        <v>0</v>
      </c>
      <c r="P4498" s="59">
        <f t="shared" si="384"/>
        <v>0</v>
      </c>
    </row>
    <row r="4499" spans="12:16" ht="15" hidden="1" customHeight="1">
      <c r="L4499" s="58" t="str">
        <f t="shared" si="382"/>
        <v>-</v>
      </c>
      <c r="M4499" s="59">
        <f t="shared" ref="M4499:M4562" si="385">IFERROR(VLOOKUP(L4499,$B$19:$E$80,4,FALSE),0)</f>
        <v>0</v>
      </c>
      <c r="N4499" s="59">
        <f t="shared" si="383"/>
        <v>0</v>
      </c>
      <c r="O4499" s="59">
        <f t="shared" ref="O4499:O4562" si="386">IFERROR(IF(ISNUMBER(N4498),N4498,$E$8)*IF(L4499&gt;=$J$8,$E$12,$E$12)/IF(MOD(YEAR(L4499),4),365,366)*IF(ISBLANK(L4498),L4499-$F$5,L4499-L4498),0)</f>
        <v>0</v>
      </c>
      <c r="P4499" s="59">
        <f t="shared" si="384"/>
        <v>0</v>
      </c>
    </row>
    <row r="4500" spans="12:16" ht="15" hidden="1" customHeight="1">
      <c r="L4500" s="58" t="str">
        <f t="shared" si="382"/>
        <v>-</v>
      </c>
      <c r="M4500" s="59">
        <f t="shared" si="385"/>
        <v>0</v>
      </c>
      <c r="N4500" s="59">
        <f t="shared" si="383"/>
        <v>0</v>
      </c>
      <c r="O4500" s="59">
        <f t="shared" si="386"/>
        <v>0</v>
      </c>
      <c r="P4500" s="59">
        <f t="shared" si="384"/>
        <v>0</v>
      </c>
    </row>
    <row r="4501" spans="12:16" ht="15" hidden="1" customHeight="1">
      <c r="L4501" s="58" t="str">
        <f t="shared" si="382"/>
        <v>-</v>
      </c>
      <c r="M4501" s="59">
        <f t="shared" si="385"/>
        <v>0</v>
      </c>
      <c r="N4501" s="59">
        <f t="shared" si="383"/>
        <v>0</v>
      </c>
      <c r="O4501" s="59">
        <f t="shared" si="386"/>
        <v>0</v>
      </c>
      <c r="P4501" s="59">
        <f t="shared" si="384"/>
        <v>0</v>
      </c>
    </row>
    <row r="4502" spans="12:16" ht="15" hidden="1" customHeight="1">
      <c r="L4502" s="58" t="str">
        <f t="shared" si="382"/>
        <v>-</v>
      </c>
      <c r="M4502" s="59">
        <f t="shared" si="385"/>
        <v>0</v>
      </c>
      <c r="N4502" s="59">
        <f t="shared" si="383"/>
        <v>0</v>
      </c>
      <c r="O4502" s="59">
        <f t="shared" si="386"/>
        <v>0</v>
      </c>
      <c r="P4502" s="59">
        <f t="shared" si="384"/>
        <v>0</v>
      </c>
    </row>
    <row r="4503" spans="12:16" ht="15" hidden="1" customHeight="1">
      <c r="L4503" s="58" t="str">
        <f t="shared" si="382"/>
        <v>-</v>
      </c>
      <c r="M4503" s="59">
        <f t="shared" si="385"/>
        <v>0</v>
      </c>
      <c r="N4503" s="59">
        <f t="shared" si="383"/>
        <v>0</v>
      </c>
      <c r="O4503" s="59">
        <f t="shared" si="386"/>
        <v>0</v>
      </c>
      <c r="P4503" s="59">
        <f t="shared" si="384"/>
        <v>0</v>
      </c>
    </row>
    <row r="4504" spans="12:16" ht="15" hidden="1" customHeight="1">
      <c r="L4504" s="58" t="str">
        <f t="shared" si="382"/>
        <v>-</v>
      </c>
      <c r="M4504" s="59">
        <f t="shared" si="385"/>
        <v>0</v>
      </c>
      <c r="N4504" s="59">
        <f t="shared" si="383"/>
        <v>0</v>
      </c>
      <c r="O4504" s="59">
        <f t="shared" si="386"/>
        <v>0</v>
      </c>
      <c r="P4504" s="59">
        <f t="shared" si="384"/>
        <v>0</v>
      </c>
    </row>
    <row r="4505" spans="12:16" ht="15" hidden="1" customHeight="1">
      <c r="L4505" s="58" t="str">
        <f t="shared" si="382"/>
        <v>-</v>
      </c>
      <c r="M4505" s="59">
        <f t="shared" si="385"/>
        <v>0</v>
      </c>
      <c r="N4505" s="59">
        <f t="shared" si="383"/>
        <v>0</v>
      </c>
      <c r="O4505" s="59">
        <f t="shared" si="386"/>
        <v>0</v>
      </c>
      <c r="P4505" s="59">
        <f t="shared" si="384"/>
        <v>0</v>
      </c>
    </row>
    <row r="4506" spans="12:16" ht="15" hidden="1" customHeight="1">
      <c r="L4506" s="58" t="str">
        <f t="shared" si="382"/>
        <v>-</v>
      </c>
      <c r="M4506" s="59">
        <f t="shared" si="385"/>
        <v>0</v>
      </c>
      <c r="N4506" s="59">
        <f t="shared" si="383"/>
        <v>0</v>
      </c>
      <c r="O4506" s="59">
        <f t="shared" si="386"/>
        <v>0</v>
      </c>
      <c r="P4506" s="59">
        <f t="shared" si="384"/>
        <v>0</v>
      </c>
    </row>
    <row r="4507" spans="12:16" ht="15" hidden="1" customHeight="1">
      <c r="L4507" s="58" t="str">
        <f t="shared" si="382"/>
        <v>-</v>
      </c>
      <c r="M4507" s="59">
        <f t="shared" si="385"/>
        <v>0</v>
      </c>
      <c r="N4507" s="59">
        <f t="shared" si="383"/>
        <v>0</v>
      </c>
      <c r="O4507" s="59">
        <f t="shared" si="386"/>
        <v>0</v>
      </c>
      <c r="P4507" s="59">
        <f t="shared" si="384"/>
        <v>0</v>
      </c>
    </row>
    <row r="4508" spans="12:16" ht="15" hidden="1" customHeight="1">
      <c r="L4508" s="58" t="str">
        <f t="shared" si="382"/>
        <v>-</v>
      </c>
      <c r="M4508" s="59">
        <f t="shared" si="385"/>
        <v>0</v>
      </c>
      <c r="N4508" s="59">
        <f t="shared" si="383"/>
        <v>0</v>
      </c>
      <c r="O4508" s="59">
        <f t="shared" si="386"/>
        <v>0</v>
      </c>
      <c r="P4508" s="59">
        <f t="shared" si="384"/>
        <v>0</v>
      </c>
    </row>
    <row r="4509" spans="12:16" ht="15" hidden="1" customHeight="1">
      <c r="L4509" s="58" t="str">
        <f t="shared" si="382"/>
        <v>-</v>
      </c>
      <c r="M4509" s="59">
        <f t="shared" si="385"/>
        <v>0</v>
      </c>
      <c r="N4509" s="59">
        <f t="shared" si="383"/>
        <v>0</v>
      </c>
      <c r="O4509" s="59">
        <f t="shared" si="386"/>
        <v>0</v>
      </c>
      <c r="P4509" s="59">
        <f t="shared" si="384"/>
        <v>0</v>
      </c>
    </row>
    <row r="4510" spans="12:16" ht="15" hidden="1" customHeight="1">
      <c r="L4510" s="58" t="str">
        <f t="shared" si="382"/>
        <v>-</v>
      </c>
      <c r="M4510" s="59">
        <f t="shared" si="385"/>
        <v>0</v>
      </c>
      <c r="N4510" s="59">
        <f t="shared" si="383"/>
        <v>0</v>
      </c>
      <c r="O4510" s="59">
        <f t="shared" si="386"/>
        <v>0</v>
      </c>
      <c r="P4510" s="59">
        <f t="shared" si="384"/>
        <v>0</v>
      </c>
    </row>
    <row r="4511" spans="12:16" ht="15" hidden="1" customHeight="1">
      <c r="L4511" s="58" t="str">
        <f t="shared" si="382"/>
        <v>-</v>
      </c>
      <c r="M4511" s="59">
        <f t="shared" si="385"/>
        <v>0</v>
      </c>
      <c r="N4511" s="59">
        <f t="shared" si="383"/>
        <v>0</v>
      </c>
      <c r="O4511" s="59">
        <f t="shared" si="386"/>
        <v>0</v>
      </c>
      <c r="P4511" s="59">
        <f t="shared" si="384"/>
        <v>0</v>
      </c>
    </row>
    <row r="4512" spans="12:16" ht="15" hidden="1" customHeight="1">
      <c r="L4512" s="58" t="str">
        <f t="shared" si="382"/>
        <v>-</v>
      </c>
      <c r="M4512" s="59">
        <f t="shared" si="385"/>
        <v>0</v>
      </c>
      <c r="N4512" s="59">
        <f t="shared" si="383"/>
        <v>0</v>
      </c>
      <c r="O4512" s="59">
        <f t="shared" si="386"/>
        <v>0</v>
      </c>
      <c r="P4512" s="59">
        <f t="shared" si="384"/>
        <v>0</v>
      </c>
    </row>
    <row r="4513" spans="12:16" ht="15" hidden="1" customHeight="1">
      <c r="L4513" s="58" t="str">
        <f t="shared" ref="L4513:L4576" si="387">IFERROR(IF(MAX(L4512+1,$F$5+1)&gt;Дата_погашения_Займа,"-",MAX(L4512+1,$F$5+1)),"-")</f>
        <v>-</v>
      </c>
      <c r="M4513" s="59">
        <f t="shared" si="385"/>
        <v>0</v>
      </c>
      <c r="N4513" s="59">
        <f t="shared" si="383"/>
        <v>0</v>
      </c>
      <c r="O4513" s="59">
        <f t="shared" si="386"/>
        <v>0</v>
      </c>
      <c r="P4513" s="59">
        <f t="shared" si="384"/>
        <v>0</v>
      </c>
    </row>
    <row r="4514" spans="12:16" ht="15" hidden="1" customHeight="1">
      <c r="L4514" s="58" t="str">
        <f t="shared" si="387"/>
        <v>-</v>
      </c>
      <c r="M4514" s="59">
        <f t="shared" si="385"/>
        <v>0</v>
      </c>
      <c r="N4514" s="59">
        <f t="shared" si="383"/>
        <v>0</v>
      </c>
      <c r="O4514" s="59">
        <f t="shared" si="386"/>
        <v>0</v>
      </c>
      <c r="P4514" s="59">
        <f t="shared" si="384"/>
        <v>0</v>
      </c>
    </row>
    <row r="4515" spans="12:16" ht="15" hidden="1" customHeight="1">
      <c r="L4515" s="58" t="str">
        <f t="shared" si="387"/>
        <v>-</v>
      </c>
      <c r="M4515" s="59">
        <f t="shared" si="385"/>
        <v>0</v>
      </c>
      <c r="N4515" s="59">
        <f t="shared" si="383"/>
        <v>0</v>
      </c>
      <c r="O4515" s="59">
        <f t="shared" si="386"/>
        <v>0</v>
      </c>
      <c r="P4515" s="59">
        <f t="shared" si="384"/>
        <v>0</v>
      </c>
    </row>
    <row r="4516" spans="12:16" ht="15" hidden="1" customHeight="1">
      <c r="L4516" s="58" t="str">
        <f t="shared" si="387"/>
        <v>-</v>
      </c>
      <c r="M4516" s="59">
        <f t="shared" si="385"/>
        <v>0</v>
      </c>
      <c r="N4516" s="59">
        <f t="shared" si="383"/>
        <v>0</v>
      </c>
      <c r="O4516" s="59">
        <f t="shared" si="386"/>
        <v>0</v>
      </c>
      <c r="P4516" s="59">
        <f t="shared" si="384"/>
        <v>0</v>
      </c>
    </row>
    <row r="4517" spans="12:16" ht="15" hidden="1" customHeight="1">
      <c r="L4517" s="58" t="str">
        <f t="shared" si="387"/>
        <v>-</v>
      </c>
      <c r="M4517" s="59">
        <f t="shared" si="385"/>
        <v>0</v>
      </c>
      <c r="N4517" s="59">
        <f t="shared" si="383"/>
        <v>0</v>
      </c>
      <c r="O4517" s="59">
        <f t="shared" si="386"/>
        <v>0</v>
      </c>
      <c r="P4517" s="59">
        <f t="shared" si="384"/>
        <v>0</v>
      </c>
    </row>
    <row r="4518" spans="12:16" ht="15" hidden="1" customHeight="1">
      <c r="L4518" s="58" t="str">
        <f t="shared" si="387"/>
        <v>-</v>
      </c>
      <c r="M4518" s="59">
        <f t="shared" si="385"/>
        <v>0</v>
      </c>
      <c r="N4518" s="59">
        <f t="shared" si="383"/>
        <v>0</v>
      </c>
      <c r="O4518" s="59">
        <f t="shared" si="386"/>
        <v>0</v>
      </c>
      <c r="P4518" s="59">
        <f t="shared" si="384"/>
        <v>0</v>
      </c>
    </row>
    <row r="4519" spans="12:16" ht="15" hidden="1" customHeight="1">
      <c r="L4519" s="58" t="str">
        <f t="shared" si="387"/>
        <v>-</v>
      </c>
      <c r="M4519" s="59">
        <f t="shared" si="385"/>
        <v>0</v>
      </c>
      <c r="N4519" s="59">
        <f t="shared" si="383"/>
        <v>0</v>
      </c>
      <c r="O4519" s="59">
        <f t="shared" si="386"/>
        <v>0</v>
      </c>
      <c r="P4519" s="59">
        <f t="shared" si="384"/>
        <v>0</v>
      </c>
    </row>
    <row r="4520" spans="12:16" ht="15" hidden="1" customHeight="1">
      <c r="L4520" s="58" t="str">
        <f t="shared" si="387"/>
        <v>-</v>
      </c>
      <c r="M4520" s="59">
        <f t="shared" si="385"/>
        <v>0</v>
      </c>
      <c r="N4520" s="59">
        <f t="shared" si="383"/>
        <v>0</v>
      </c>
      <c r="O4520" s="59">
        <f t="shared" si="386"/>
        <v>0</v>
      </c>
      <c r="P4520" s="59">
        <f t="shared" si="384"/>
        <v>0</v>
      </c>
    </row>
    <row r="4521" spans="12:16" ht="15" hidden="1" customHeight="1">
      <c r="L4521" s="58" t="str">
        <f t="shared" si="387"/>
        <v>-</v>
      </c>
      <c r="M4521" s="59">
        <f t="shared" si="385"/>
        <v>0</v>
      </c>
      <c r="N4521" s="59">
        <f t="shared" ref="N4521:N4584" si="388">IF(ISNUMBER(N4520),N4520-M4521,$E$8)</f>
        <v>0</v>
      </c>
      <c r="O4521" s="59">
        <f t="shared" si="386"/>
        <v>0</v>
      </c>
      <c r="P4521" s="59">
        <f t="shared" ref="P4521:P4584" si="389">IFERROR(IF(ISNUMBER(N4520),N4520,$E$8)*3%/IF(MOD(YEAR(L4521),4),365,366)*IF(ISBLANK(L4520),(L4521-$F$5),L4521-L4520),0)</f>
        <v>0</v>
      </c>
    </row>
    <row r="4522" spans="12:16" ht="15" hidden="1" customHeight="1">
      <c r="L4522" s="58" t="str">
        <f t="shared" si="387"/>
        <v>-</v>
      </c>
      <c r="M4522" s="59">
        <f t="shared" si="385"/>
        <v>0</v>
      </c>
      <c r="N4522" s="59">
        <f t="shared" si="388"/>
        <v>0</v>
      </c>
      <c r="O4522" s="59">
        <f t="shared" si="386"/>
        <v>0</v>
      </c>
      <c r="P4522" s="59">
        <f t="shared" si="389"/>
        <v>0</v>
      </c>
    </row>
    <row r="4523" spans="12:16" ht="15" hidden="1" customHeight="1">
      <c r="L4523" s="58" t="str">
        <f t="shared" si="387"/>
        <v>-</v>
      </c>
      <c r="M4523" s="59">
        <f t="shared" si="385"/>
        <v>0</v>
      </c>
      <c r="N4523" s="59">
        <f t="shared" si="388"/>
        <v>0</v>
      </c>
      <c r="O4523" s="59">
        <f t="shared" si="386"/>
        <v>0</v>
      </c>
      <c r="P4523" s="59">
        <f t="shared" si="389"/>
        <v>0</v>
      </c>
    </row>
    <row r="4524" spans="12:16" ht="15" hidden="1" customHeight="1">
      <c r="L4524" s="58" t="str">
        <f t="shared" si="387"/>
        <v>-</v>
      </c>
      <c r="M4524" s="59">
        <f t="shared" si="385"/>
        <v>0</v>
      </c>
      <c r="N4524" s="59">
        <f t="shared" si="388"/>
        <v>0</v>
      </c>
      <c r="O4524" s="59">
        <f t="shared" si="386"/>
        <v>0</v>
      </c>
      <c r="P4524" s="59">
        <f t="shared" si="389"/>
        <v>0</v>
      </c>
    </row>
    <row r="4525" spans="12:16" ht="15" hidden="1" customHeight="1">
      <c r="L4525" s="58" t="str">
        <f t="shared" si="387"/>
        <v>-</v>
      </c>
      <c r="M4525" s="59">
        <f t="shared" si="385"/>
        <v>0</v>
      </c>
      <c r="N4525" s="59">
        <f t="shared" si="388"/>
        <v>0</v>
      </c>
      <c r="O4525" s="59">
        <f t="shared" si="386"/>
        <v>0</v>
      </c>
      <c r="P4525" s="59">
        <f t="shared" si="389"/>
        <v>0</v>
      </c>
    </row>
    <row r="4526" spans="12:16" ht="15" hidden="1" customHeight="1">
      <c r="L4526" s="58" t="str">
        <f t="shared" si="387"/>
        <v>-</v>
      </c>
      <c r="M4526" s="59">
        <f t="shared" si="385"/>
        <v>0</v>
      </c>
      <c r="N4526" s="59">
        <f t="shared" si="388"/>
        <v>0</v>
      </c>
      <c r="O4526" s="59">
        <f t="shared" si="386"/>
        <v>0</v>
      </c>
      <c r="P4526" s="59">
        <f t="shared" si="389"/>
        <v>0</v>
      </c>
    </row>
    <row r="4527" spans="12:16" ht="15" hidden="1" customHeight="1">
      <c r="L4527" s="58" t="str">
        <f t="shared" si="387"/>
        <v>-</v>
      </c>
      <c r="M4527" s="59">
        <f t="shared" si="385"/>
        <v>0</v>
      </c>
      <c r="N4527" s="59">
        <f t="shared" si="388"/>
        <v>0</v>
      </c>
      <c r="O4527" s="59">
        <f t="shared" si="386"/>
        <v>0</v>
      </c>
      <c r="P4527" s="59">
        <f t="shared" si="389"/>
        <v>0</v>
      </c>
    </row>
    <row r="4528" spans="12:16" ht="15" hidden="1" customHeight="1">
      <c r="L4528" s="58" t="str">
        <f t="shared" si="387"/>
        <v>-</v>
      </c>
      <c r="M4528" s="59">
        <f t="shared" si="385"/>
        <v>0</v>
      </c>
      <c r="N4528" s="59">
        <f t="shared" si="388"/>
        <v>0</v>
      </c>
      <c r="O4528" s="59">
        <f t="shared" si="386"/>
        <v>0</v>
      </c>
      <c r="P4528" s="59">
        <f t="shared" si="389"/>
        <v>0</v>
      </c>
    </row>
    <row r="4529" spans="12:16" ht="15" hidden="1" customHeight="1">
      <c r="L4529" s="58" t="str">
        <f t="shared" si="387"/>
        <v>-</v>
      </c>
      <c r="M4529" s="59">
        <f t="shared" si="385"/>
        <v>0</v>
      </c>
      <c r="N4529" s="59">
        <f t="shared" si="388"/>
        <v>0</v>
      </c>
      <c r="O4529" s="59">
        <f t="shared" si="386"/>
        <v>0</v>
      </c>
      <c r="P4529" s="59">
        <f t="shared" si="389"/>
        <v>0</v>
      </c>
    </row>
    <row r="4530" spans="12:16" ht="15" hidden="1" customHeight="1">
      <c r="L4530" s="58" t="str">
        <f t="shared" si="387"/>
        <v>-</v>
      </c>
      <c r="M4530" s="59">
        <f t="shared" si="385"/>
        <v>0</v>
      </c>
      <c r="N4530" s="59">
        <f t="shared" si="388"/>
        <v>0</v>
      </c>
      <c r="O4530" s="59">
        <f t="shared" si="386"/>
        <v>0</v>
      </c>
      <c r="P4530" s="59">
        <f t="shared" si="389"/>
        <v>0</v>
      </c>
    </row>
    <row r="4531" spans="12:16" ht="15" hidden="1" customHeight="1">
      <c r="L4531" s="58" t="str">
        <f t="shared" si="387"/>
        <v>-</v>
      </c>
      <c r="M4531" s="59">
        <f t="shared" si="385"/>
        <v>0</v>
      </c>
      <c r="N4531" s="59">
        <f t="shared" si="388"/>
        <v>0</v>
      </c>
      <c r="O4531" s="59">
        <f t="shared" si="386"/>
        <v>0</v>
      </c>
      <c r="P4531" s="59">
        <f t="shared" si="389"/>
        <v>0</v>
      </c>
    </row>
    <row r="4532" spans="12:16" ht="15" hidden="1" customHeight="1">
      <c r="L4532" s="58" t="str">
        <f t="shared" si="387"/>
        <v>-</v>
      </c>
      <c r="M4532" s="59">
        <f t="shared" si="385"/>
        <v>0</v>
      </c>
      <c r="N4532" s="59">
        <f t="shared" si="388"/>
        <v>0</v>
      </c>
      <c r="O4532" s="59">
        <f t="shared" si="386"/>
        <v>0</v>
      </c>
      <c r="P4532" s="59">
        <f t="shared" si="389"/>
        <v>0</v>
      </c>
    </row>
    <row r="4533" spans="12:16" ht="15" hidden="1" customHeight="1">
      <c r="L4533" s="58" t="str">
        <f t="shared" si="387"/>
        <v>-</v>
      </c>
      <c r="M4533" s="59">
        <f t="shared" si="385"/>
        <v>0</v>
      </c>
      <c r="N4533" s="59">
        <f t="shared" si="388"/>
        <v>0</v>
      </c>
      <c r="O4533" s="59">
        <f t="shared" si="386"/>
        <v>0</v>
      </c>
      <c r="P4533" s="59">
        <f t="shared" si="389"/>
        <v>0</v>
      </c>
    </row>
    <row r="4534" spans="12:16" ht="15" hidden="1" customHeight="1">
      <c r="L4534" s="58" t="str">
        <f t="shared" si="387"/>
        <v>-</v>
      </c>
      <c r="M4534" s="59">
        <f t="shared" si="385"/>
        <v>0</v>
      </c>
      <c r="N4534" s="59">
        <f t="shared" si="388"/>
        <v>0</v>
      </c>
      <c r="O4534" s="59">
        <f t="shared" si="386"/>
        <v>0</v>
      </c>
      <c r="P4534" s="59">
        <f t="shared" si="389"/>
        <v>0</v>
      </c>
    </row>
    <row r="4535" spans="12:16" ht="15" hidden="1" customHeight="1">
      <c r="L4535" s="58" t="str">
        <f t="shared" si="387"/>
        <v>-</v>
      </c>
      <c r="M4535" s="59">
        <f t="shared" si="385"/>
        <v>0</v>
      </c>
      <c r="N4535" s="59">
        <f t="shared" si="388"/>
        <v>0</v>
      </c>
      <c r="O4535" s="59">
        <f t="shared" si="386"/>
        <v>0</v>
      </c>
      <c r="P4535" s="59">
        <f t="shared" si="389"/>
        <v>0</v>
      </c>
    </row>
    <row r="4536" spans="12:16" ht="15" hidden="1" customHeight="1">
      <c r="L4536" s="58" t="str">
        <f t="shared" si="387"/>
        <v>-</v>
      </c>
      <c r="M4536" s="59">
        <f t="shared" si="385"/>
        <v>0</v>
      </c>
      <c r="N4536" s="59">
        <f t="shared" si="388"/>
        <v>0</v>
      </c>
      <c r="O4536" s="59">
        <f t="shared" si="386"/>
        <v>0</v>
      </c>
      <c r="P4536" s="59">
        <f t="shared" si="389"/>
        <v>0</v>
      </c>
    </row>
    <row r="4537" spans="12:16" ht="15" hidden="1" customHeight="1">
      <c r="L4537" s="58" t="str">
        <f t="shared" si="387"/>
        <v>-</v>
      </c>
      <c r="M4537" s="59">
        <f t="shared" si="385"/>
        <v>0</v>
      </c>
      <c r="N4537" s="59">
        <f t="shared" si="388"/>
        <v>0</v>
      </c>
      <c r="O4537" s="59">
        <f t="shared" si="386"/>
        <v>0</v>
      </c>
      <c r="P4537" s="59">
        <f t="shared" si="389"/>
        <v>0</v>
      </c>
    </row>
    <row r="4538" spans="12:16" ht="15" hidden="1" customHeight="1">
      <c r="L4538" s="58" t="str">
        <f t="shared" si="387"/>
        <v>-</v>
      </c>
      <c r="M4538" s="59">
        <f t="shared" si="385"/>
        <v>0</v>
      </c>
      <c r="N4538" s="59">
        <f t="shared" si="388"/>
        <v>0</v>
      </c>
      <c r="O4538" s="59">
        <f t="shared" si="386"/>
        <v>0</v>
      </c>
      <c r="P4538" s="59">
        <f t="shared" si="389"/>
        <v>0</v>
      </c>
    </row>
    <row r="4539" spans="12:16" ht="15" hidden="1" customHeight="1">
      <c r="L4539" s="58" t="str">
        <f t="shared" si="387"/>
        <v>-</v>
      </c>
      <c r="M4539" s="59">
        <f t="shared" si="385"/>
        <v>0</v>
      </c>
      <c r="N4539" s="59">
        <f t="shared" si="388"/>
        <v>0</v>
      </c>
      <c r="O4539" s="59">
        <f t="shared" si="386"/>
        <v>0</v>
      </c>
      <c r="P4539" s="59">
        <f t="shared" si="389"/>
        <v>0</v>
      </c>
    </row>
    <row r="4540" spans="12:16" ht="15" hidden="1" customHeight="1">
      <c r="L4540" s="58" t="str">
        <f t="shared" si="387"/>
        <v>-</v>
      </c>
      <c r="M4540" s="59">
        <f t="shared" si="385"/>
        <v>0</v>
      </c>
      <c r="N4540" s="59">
        <f t="shared" si="388"/>
        <v>0</v>
      </c>
      <c r="O4540" s="59">
        <f t="shared" si="386"/>
        <v>0</v>
      </c>
      <c r="P4540" s="59">
        <f t="shared" si="389"/>
        <v>0</v>
      </c>
    </row>
    <row r="4541" spans="12:16" ht="15" hidden="1" customHeight="1">
      <c r="L4541" s="58" t="str">
        <f t="shared" si="387"/>
        <v>-</v>
      </c>
      <c r="M4541" s="59">
        <f t="shared" si="385"/>
        <v>0</v>
      </c>
      <c r="N4541" s="59">
        <f t="shared" si="388"/>
        <v>0</v>
      </c>
      <c r="O4541" s="59">
        <f t="shared" si="386"/>
        <v>0</v>
      </c>
      <c r="P4541" s="59">
        <f t="shared" si="389"/>
        <v>0</v>
      </c>
    </row>
    <row r="4542" spans="12:16" ht="15" hidden="1" customHeight="1">
      <c r="L4542" s="58" t="str">
        <f t="shared" si="387"/>
        <v>-</v>
      </c>
      <c r="M4542" s="59">
        <f t="shared" si="385"/>
        <v>0</v>
      </c>
      <c r="N4542" s="59">
        <f t="shared" si="388"/>
        <v>0</v>
      </c>
      <c r="O4542" s="59">
        <f t="shared" si="386"/>
        <v>0</v>
      </c>
      <c r="P4542" s="59">
        <f t="shared" si="389"/>
        <v>0</v>
      </c>
    </row>
    <row r="4543" spans="12:16" ht="15" hidden="1" customHeight="1">
      <c r="L4543" s="58" t="str">
        <f t="shared" si="387"/>
        <v>-</v>
      </c>
      <c r="M4543" s="59">
        <f t="shared" si="385"/>
        <v>0</v>
      </c>
      <c r="N4543" s="59">
        <f t="shared" si="388"/>
        <v>0</v>
      </c>
      <c r="O4543" s="59">
        <f t="shared" si="386"/>
        <v>0</v>
      </c>
      <c r="P4543" s="59">
        <f t="shared" si="389"/>
        <v>0</v>
      </c>
    </row>
    <row r="4544" spans="12:16" ht="15" hidden="1" customHeight="1">
      <c r="L4544" s="58" t="str">
        <f t="shared" si="387"/>
        <v>-</v>
      </c>
      <c r="M4544" s="59">
        <f t="shared" si="385"/>
        <v>0</v>
      </c>
      <c r="N4544" s="59">
        <f t="shared" si="388"/>
        <v>0</v>
      </c>
      <c r="O4544" s="59">
        <f t="shared" si="386"/>
        <v>0</v>
      </c>
      <c r="P4544" s="59">
        <f t="shared" si="389"/>
        <v>0</v>
      </c>
    </row>
    <row r="4545" spans="12:16" ht="15" hidden="1" customHeight="1">
      <c r="L4545" s="58" t="str">
        <f t="shared" si="387"/>
        <v>-</v>
      </c>
      <c r="M4545" s="59">
        <f t="shared" si="385"/>
        <v>0</v>
      </c>
      <c r="N4545" s="59">
        <f t="shared" si="388"/>
        <v>0</v>
      </c>
      <c r="O4545" s="59">
        <f t="shared" si="386"/>
        <v>0</v>
      </c>
      <c r="P4545" s="59">
        <f t="shared" si="389"/>
        <v>0</v>
      </c>
    </row>
    <row r="4546" spans="12:16" ht="15" hidden="1" customHeight="1">
      <c r="L4546" s="58" t="str">
        <f t="shared" si="387"/>
        <v>-</v>
      </c>
      <c r="M4546" s="59">
        <f t="shared" si="385"/>
        <v>0</v>
      </c>
      <c r="N4546" s="59">
        <f t="shared" si="388"/>
        <v>0</v>
      </c>
      <c r="O4546" s="59">
        <f t="shared" si="386"/>
        <v>0</v>
      </c>
      <c r="P4546" s="59">
        <f t="shared" si="389"/>
        <v>0</v>
      </c>
    </row>
    <row r="4547" spans="12:16" ht="15" hidden="1" customHeight="1">
      <c r="L4547" s="58" t="str">
        <f t="shared" si="387"/>
        <v>-</v>
      </c>
      <c r="M4547" s="59">
        <f t="shared" si="385"/>
        <v>0</v>
      </c>
      <c r="N4547" s="59">
        <f t="shared" si="388"/>
        <v>0</v>
      </c>
      <c r="O4547" s="59">
        <f t="shared" si="386"/>
        <v>0</v>
      </c>
      <c r="P4547" s="59">
        <f t="shared" si="389"/>
        <v>0</v>
      </c>
    </row>
    <row r="4548" spans="12:16" ht="15" hidden="1" customHeight="1">
      <c r="L4548" s="58" t="str">
        <f t="shared" si="387"/>
        <v>-</v>
      </c>
      <c r="M4548" s="59">
        <f t="shared" si="385"/>
        <v>0</v>
      </c>
      <c r="N4548" s="59">
        <f t="shared" si="388"/>
        <v>0</v>
      </c>
      <c r="O4548" s="59">
        <f t="shared" si="386"/>
        <v>0</v>
      </c>
      <c r="P4548" s="59">
        <f t="shared" si="389"/>
        <v>0</v>
      </c>
    </row>
    <row r="4549" spans="12:16" ht="15" hidden="1" customHeight="1">
      <c r="L4549" s="58" t="str">
        <f t="shared" si="387"/>
        <v>-</v>
      </c>
      <c r="M4549" s="59">
        <f t="shared" si="385"/>
        <v>0</v>
      </c>
      <c r="N4549" s="59">
        <f t="shared" si="388"/>
        <v>0</v>
      </c>
      <c r="O4549" s="59">
        <f t="shared" si="386"/>
        <v>0</v>
      </c>
      <c r="P4549" s="59">
        <f t="shared" si="389"/>
        <v>0</v>
      </c>
    </row>
    <row r="4550" spans="12:16" ht="15" hidden="1" customHeight="1">
      <c r="L4550" s="58" t="str">
        <f t="shared" si="387"/>
        <v>-</v>
      </c>
      <c r="M4550" s="59">
        <f t="shared" si="385"/>
        <v>0</v>
      </c>
      <c r="N4550" s="59">
        <f t="shared" si="388"/>
        <v>0</v>
      </c>
      <c r="O4550" s="59">
        <f t="shared" si="386"/>
        <v>0</v>
      </c>
      <c r="P4550" s="59">
        <f t="shared" si="389"/>
        <v>0</v>
      </c>
    </row>
    <row r="4551" spans="12:16" ht="15" hidden="1" customHeight="1">
      <c r="L4551" s="58" t="str">
        <f t="shared" si="387"/>
        <v>-</v>
      </c>
      <c r="M4551" s="59">
        <f t="shared" si="385"/>
        <v>0</v>
      </c>
      <c r="N4551" s="59">
        <f t="shared" si="388"/>
        <v>0</v>
      </c>
      <c r="O4551" s="59">
        <f t="shared" si="386"/>
        <v>0</v>
      </c>
      <c r="P4551" s="59">
        <f t="shared" si="389"/>
        <v>0</v>
      </c>
    </row>
    <row r="4552" spans="12:16" ht="15" hidden="1" customHeight="1">
      <c r="L4552" s="58" t="str">
        <f t="shared" si="387"/>
        <v>-</v>
      </c>
      <c r="M4552" s="59">
        <f t="shared" si="385"/>
        <v>0</v>
      </c>
      <c r="N4552" s="59">
        <f t="shared" si="388"/>
        <v>0</v>
      </c>
      <c r="O4552" s="59">
        <f t="shared" si="386"/>
        <v>0</v>
      </c>
      <c r="P4552" s="59">
        <f t="shared" si="389"/>
        <v>0</v>
      </c>
    </row>
    <row r="4553" spans="12:16" ht="15" hidden="1" customHeight="1">
      <c r="L4553" s="58" t="str">
        <f t="shared" si="387"/>
        <v>-</v>
      </c>
      <c r="M4553" s="59">
        <f t="shared" si="385"/>
        <v>0</v>
      </c>
      <c r="N4553" s="59">
        <f t="shared" si="388"/>
        <v>0</v>
      </c>
      <c r="O4553" s="59">
        <f t="shared" si="386"/>
        <v>0</v>
      </c>
      <c r="P4553" s="59">
        <f t="shared" si="389"/>
        <v>0</v>
      </c>
    </row>
    <row r="4554" spans="12:16" ht="15" hidden="1" customHeight="1">
      <c r="L4554" s="58" t="str">
        <f t="shared" si="387"/>
        <v>-</v>
      </c>
      <c r="M4554" s="59">
        <f t="shared" si="385"/>
        <v>0</v>
      </c>
      <c r="N4554" s="59">
        <f t="shared" si="388"/>
        <v>0</v>
      </c>
      <c r="O4554" s="59">
        <f t="shared" si="386"/>
        <v>0</v>
      </c>
      <c r="P4554" s="59">
        <f t="shared" si="389"/>
        <v>0</v>
      </c>
    </row>
    <row r="4555" spans="12:16" ht="15" hidden="1" customHeight="1">
      <c r="L4555" s="58" t="str">
        <f t="shared" si="387"/>
        <v>-</v>
      </c>
      <c r="M4555" s="59">
        <f t="shared" si="385"/>
        <v>0</v>
      </c>
      <c r="N4555" s="59">
        <f t="shared" si="388"/>
        <v>0</v>
      </c>
      <c r="O4555" s="59">
        <f t="shared" si="386"/>
        <v>0</v>
      </c>
      <c r="P4555" s="59">
        <f t="shared" si="389"/>
        <v>0</v>
      </c>
    </row>
    <row r="4556" spans="12:16" ht="15" hidden="1" customHeight="1">
      <c r="L4556" s="58" t="str">
        <f t="shared" si="387"/>
        <v>-</v>
      </c>
      <c r="M4556" s="59">
        <f t="shared" si="385"/>
        <v>0</v>
      </c>
      <c r="N4556" s="59">
        <f t="shared" si="388"/>
        <v>0</v>
      </c>
      <c r="O4556" s="59">
        <f t="shared" si="386"/>
        <v>0</v>
      </c>
      <c r="P4556" s="59">
        <f t="shared" si="389"/>
        <v>0</v>
      </c>
    </row>
    <row r="4557" spans="12:16" ht="15" hidden="1" customHeight="1">
      <c r="L4557" s="58" t="str">
        <f t="shared" si="387"/>
        <v>-</v>
      </c>
      <c r="M4557" s="59">
        <f t="shared" si="385"/>
        <v>0</v>
      </c>
      <c r="N4557" s="59">
        <f t="shared" si="388"/>
        <v>0</v>
      </c>
      <c r="O4557" s="59">
        <f t="shared" si="386"/>
        <v>0</v>
      </c>
      <c r="P4557" s="59">
        <f t="shared" si="389"/>
        <v>0</v>
      </c>
    </row>
    <row r="4558" spans="12:16" ht="15" hidden="1" customHeight="1">
      <c r="L4558" s="58" t="str">
        <f t="shared" si="387"/>
        <v>-</v>
      </c>
      <c r="M4558" s="59">
        <f t="shared" si="385"/>
        <v>0</v>
      </c>
      <c r="N4558" s="59">
        <f t="shared" si="388"/>
        <v>0</v>
      </c>
      <c r="O4558" s="59">
        <f t="shared" si="386"/>
        <v>0</v>
      </c>
      <c r="P4558" s="59">
        <f t="shared" si="389"/>
        <v>0</v>
      </c>
    </row>
    <row r="4559" spans="12:16" ht="15" hidden="1" customHeight="1">
      <c r="L4559" s="58" t="str">
        <f t="shared" si="387"/>
        <v>-</v>
      </c>
      <c r="M4559" s="59">
        <f t="shared" si="385"/>
        <v>0</v>
      </c>
      <c r="N4559" s="59">
        <f t="shared" si="388"/>
        <v>0</v>
      </c>
      <c r="O4559" s="59">
        <f t="shared" si="386"/>
        <v>0</v>
      </c>
      <c r="P4559" s="59">
        <f t="shared" si="389"/>
        <v>0</v>
      </c>
    </row>
    <row r="4560" spans="12:16" ht="15" hidden="1" customHeight="1">
      <c r="L4560" s="58" t="str">
        <f t="shared" si="387"/>
        <v>-</v>
      </c>
      <c r="M4560" s="59">
        <f t="shared" si="385"/>
        <v>0</v>
      </c>
      <c r="N4560" s="59">
        <f t="shared" si="388"/>
        <v>0</v>
      </c>
      <c r="O4560" s="59">
        <f t="shared" si="386"/>
        <v>0</v>
      </c>
      <c r="P4560" s="59">
        <f t="shared" si="389"/>
        <v>0</v>
      </c>
    </row>
    <row r="4561" spans="12:16" ht="15" hidden="1" customHeight="1">
      <c r="L4561" s="58" t="str">
        <f t="shared" si="387"/>
        <v>-</v>
      </c>
      <c r="M4561" s="59">
        <f t="shared" si="385"/>
        <v>0</v>
      </c>
      <c r="N4561" s="59">
        <f t="shared" si="388"/>
        <v>0</v>
      </c>
      <c r="O4561" s="59">
        <f t="shared" si="386"/>
        <v>0</v>
      </c>
      <c r="P4561" s="59">
        <f t="shared" si="389"/>
        <v>0</v>
      </c>
    </row>
    <row r="4562" spans="12:16" ht="15" hidden="1" customHeight="1">
      <c r="L4562" s="58" t="str">
        <f t="shared" si="387"/>
        <v>-</v>
      </c>
      <c r="M4562" s="59">
        <f t="shared" si="385"/>
        <v>0</v>
      </c>
      <c r="N4562" s="59">
        <f t="shared" si="388"/>
        <v>0</v>
      </c>
      <c r="O4562" s="59">
        <f t="shared" si="386"/>
        <v>0</v>
      </c>
      <c r="P4562" s="59">
        <f t="shared" si="389"/>
        <v>0</v>
      </c>
    </row>
    <row r="4563" spans="12:16" ht="15" hidden="1" customHeight="1">
      <c r="L4563" s="58" t="str">
        <f t="shared" si="387"/>
        <v>-</v>
      </c>
      <c r="M4563" s="59">
        <f t="shared" ref="M4563:M4626" si="390">IFERROR(VLOOKUP(L4563,$B$19:$E$80,4,FALSE),0)</f>
        <v>0</v>
      </c>
      <c r="N4563" s="59">
        <f t="shared" si="388"/>
        <v>0</v>
      </c>
      <c r="O4563" s="59">
        <f t="shared" ref="O4563:O4626" si="391">IFERROR(IF(ISNUMBER(N4562),N4562,$E$8)*IF(L4563&gt;=$J$8,$E$12,$E$12)/IF(MOD(YEAR(L4563),4),365,366)*IF(ISBLANK(L4562),L4563-$F$5,L4563-L4562),0)</f>
        <v>0</v>
      </c>
      <c r="P4563" s="59">
        <f t="shared" si="389"/>
        <v>0</v>
      </c>
    </row>
    <row r="4564" spans="12:16" ht="15" hidden="1" customHeight="1">
      <c r="L4564" s="58" t="str">
        <f t="shared" si="387"/>
        <v>-</v>
      </c>
      <c r="M4564" s="59">
        <f t="shared" si="390"/>
        <v>0</v>
      </c>
      <c r="N4564" s="59">
        <f t="shared" si="388"/>
        <v>0</v>
      </c>
      <c r="O4564" s="59">
        <f t="shared" si="391"/>
        <v>0</v>
      </c>
      <c r="P4564" s="59">
        <f t="shared" si="389"/>
        <v>0</v>
      </c>
    </row>
    <row r="4565" spans="12:16" ht="15" hidden="1" customHeight="1">
      <c r="L4565" s="58" t="str">
        <f t="shared" si="387"/>
        <v>-</v>
      </c>
      <c r="M4565" s="59">
        <f t="shared" si="390"/>
        <v>0</v>
      </c>
      <c r="N4565" s="59">
        <f t="shared" si="388"/>
        <v>0</v>
      </c>
      <c r="O4565" s="59">
        <f t="shared" si="391"/>
        <v>0</v>
      </c>
      <c r="P4565" s="59">
        <f t="shared" si="389"/>
        <v>0</v>
      </c>
    </row>
    <row r="4566" spans="12:16" ht="15" hidden="1" customHeight="1">
      <c r="L4566" s="58" t="str">
        <f t="shared" si="387"/>
        <v>-</v>
      </c>
      <c r="M4566" s="59">
        <f t="shared" si="390"/>
        <v>0</v>
      </c>
      <c r="N4566" s="59">
        <f t="shared" si="388"/>
        <v>0</v>
      </c>
      <c r="O4566" s="59">
        <f t="shared" si="391"/>
        <v>0</v>
      </c>
      <c r="P4566" s="59">
        <f t="shared" si="389"/>
        <v>0</v>
      </c>
    </row>
    <row r="4567" spans="12:16" ht="15" hidden="1" customHeight="1">
      <c r="L4567" s="58" t="str">
        <f t="shared" si="387"/>
        <v>-</v>
      </c>
      <c r="M4567" s="59">
        <f t="shared" si="390"/>
        <v>0</v>
      </c>
      <c r="N4567" s="59">
        <f t="shared" si="388"/>
        <v>0</v>
      </c>
      <c r="O4567" s="59">
        <f t="shared" si="391"/>
        <v>0</v>
      </c>
      <c r="P4567" s="59">
        <f t="shared" si="389"/>
        <v>0</v>
      </c>
    </row>
    <row r="4568" spans="12:16" ht="15" hidden="1" customHeight="1">
      <c r="L4568" s="58" t="str">
        <f t="shared" si="387"/>
        <v>-</v>
      </c>
      <c r="M4568" s="59">
        <f t="shared" si="390"/>
        <v>0</v>
      </c>
      <c r="N4568" s="59">
        <f t="shared" si="388"/>
        <v>0</v>
      </c>
      <c r="O4568" s="59">
        <f t="shared" si="391"/>
        <v>0</v>
      </c>
      <c r="P4568" s="59">
        <f t="shared" si="389"/>
        <v>0</v>
      </c>
    </row>
    <row r="4569" spans="12:16" ht="15" hidden="1" customHeight="1">
      <c r="L4569" s="58" t="str">
        <f t="shared" si="387"/>
        <v>-</v>
      </c>
      <c r="M4569" s="59">
        <f t="shared" si="390"/>
        <v>0</v>
      </c>
      <c r="N4569" s="59">
        <f t="shared" si="388"/>
        <v>0</v>
      </c>
      <c r="O4569" s="59">
        <f t="shared" si="391"/>
        <v>0</v>
      </c>
      <c r="P4569" s="59">
        <f t="shared" si="389"/>
        <v>0</v>
      </c>
    </row>
    <row r="4570" spans="12:16" ht="15" hidden="1" customHeight="1">
      <c r="L4570" s="58" t="str">
        <f t="shared" si="387"/>
        <v>-</v>
      </c>
      <c r="M4570" s="59">
        <f t="shared" si="390"/>
        <v>0</v>
      </c>
      <c r="N4570" s="59">
        <f t="shared" si="388"/>
        <v>0</v>
      </c>
      <c r="O4570" s="59">
        <f t="shared" si="391"/>
        <v>0</v>
      </c>
      <c r="P4570" s="59">
        <f t="shared" si="389"/>
        <v>0</v>
      </c>
    </row>
    <row r="4571" spans="12:16" ht="15" hidden="1" customHeight="1">
      <c r="L4571" s="58" t="str">
        <f t="shared" si="387"/>
        <v>-</v>
      </c>
      <c r="M4571" s="59">
        <f t="shared" si="390"/>
        <v>0</v>
      </c>
      <c r="N4571" s="59">
        <f t="shared" si="388"/>
        <v>0</v>
      </c>
      <c r="O4571" s="59">
        <f t="shared" si="391"/>
        <v>0</v>
      </c>
      <c r="P4571" s="59">
        <f t="shared" si="389"/>
        <v>0</v>
      </c>
    </row>
    <row r="4572" spans="12:16" ht="15" hidden="1" customHeight="1">
      <c r="L4572" s="58" t="str">
        <f t="shared" si="387"/>
        <v>-</v>
      </c>
      <c r="M4572" s="59">
        <f t="shared" si="390"/>
        <v>0</v>
      </c>
      <c r="N4572" s="59">
        <f t="shared" si="388"/>
        <v>0</v>
      </c>
      <c r="O4572" s="59">
        <f t="shared" si="391"/>
        <v>0</v>
      </c>
      <c r="P4572" s="59">
        <f t="shared" si="389"/>
        <v>0</v>
      </c>
    </row>
    <row r="4573" spans="12:16" ht="15" hidden="1" customHeight="1">
      <c r="L4573" s="58" t="str">
        <f t="shared" si="387"/>
        <v>-</v>
      </c>
      <c r="M4573" s="59">
        <f t="shared" si="390"/>
        <v>0</v>
      </c>
      <c r="N4573" s="59">
        <f t="shared" si="388"/>
        <v>0</v>
      </c>
      <c r="O4573" s="59">
        <f t="shared" si="391"/>
        <v>0</v>
      </c>
      <c r="P4573" s="59">
        <f t="shared" si="389"/>
        <v>0</v>
      </c>
    </row>
    <row r="4574" spans="12:16" ht="15" hidden="1" customHeight="1">
      <c r="L4574" s="58" t="str">
        <f t="shared" si="387"/>
        <v>-</v>
      </c>
      <c r="M4574" s="59">
        <f t="shared" si="390"/>
        <v>0</v>
      </c>
      <c r="N4574" s="59">
        <f t="shared" si="388"/>
        <v>0</v>
      </c>
      <c r="O4574" s="59">
        <f t="shared" si="391"/>
        <v>0</v>
      </c>
      <c r="P4574" s="59">
        <f t="shared" si="389"/>
        <v>0</v>
      </c>
    </row>
    <row r="4575" spans="12:16" ht="15" hidden="1" customHeight="1">
      <c r="L4575" s="58" t="str">
        <f t="shared" si="387"/>
        <v>-</v>
      </c>
      <c r="M4575" s="59">
        <f t="shared" si="390"/>
        <v>0</v>
      </c>
      <c r="N4575" s="59">
        <f t="shared" si="388"/>
        <v>0</v>
      </c>
      <c r="O4575" s="59">
        <f t="shared" si="391"/>
        <v>0</v>
      </c>
      <c r="P4575" s="59">
        <f t="shared" si="389"/>
        <v>0</v>
      </c>
    </row>
    <row r="4576" spans="12:16" ht="15" hidden="1" customHeight="1">
      <c r="L4576" s="58" t="str">
        <f t="shared" si="387"/>
        <v>-</v>
      </c>
      <c r="M4576" s="59">
        <f t="shared" si="390"/>
        <v>0</v>
      </c>
      <c r="N4576" s="59">
        <f t="shared" si="388"/>
        <v>0</v>
      </c>
      <c r="O4576" s="59">
        <f t="shared" si="391"/>
        <v>0</v>
      </c>
      <c r="P4576" s="59">
        <f t="shared" si="389"/>
        <v>0</v>
      </c>
    </row>
    <row r="4577" spans="12:16" ht="15" hidden="1" customHeight="1">
      <c r="L4577" s="58" t="str">
        <f t="shared" ref="L4577:L4640" si="392">IFERROR(IF(MAX(L4576+1,$F$5+1)&gt;Дата_погашения_Займа,"-",MAX(L4576+1,$F$5+1)),"-")</f>
        <v>-</v>
      </c>
      <c r="M4577" s="59">
        <f t="shared" si="390"/>
        <v>0</v>
      </c>
      <c r="N4577" s="59">
        <f t="shared" si="388"/>
        <v>0</v>
      </c>
      <c r="O4577" s="59">
        <f t="shared" si="391"/>
        <v>0</v>
      </c>
      <c r="P4577" s="59">
        <f t="shared" si="389"/>
        <v>0</v>
      </c>
    </row>
    <row r="4578" spans="12:16" ht="15" hidden="1" customHeight="1">
      <c r="L4578" s="58" t="str">
        <f t="shared" si="392"/>
        <v>-</v>
      </c>
      <c r="M4578" s="59">
        <f t="shared" si="390"/>
        <v>0</v>
      </c>
      <c r="N4578" s="59">
        <f t="shared" si="388"/>
        <v>0</v>
      </c>
      <c r="O4578" s="59">
        <f t="shared" si="391"/>
        <v>0</v>
      </c>
      <c r="P4578" s="59">
        <f t="shared" si="389"/>
        <v>0</v>
      </c>
    </row>
    <row r="4579" spans="12:16" ht="15" hidden="1" customHeight="1">
      <c r="L4579" s="58" t="str">
        <f t="shared" si="392"/>
        <v>-</v>
      </c>
      <c r="M4579" s="59">
        <f t="shared" si="390"/>
        <v>0</v>
      </c>
      <c r="N4579" s="59">
        <f t="shared" si="388"/>
        <v>0</v>
      </c>
      <c r="O4579" s="59">
        <f t="shared" si="391"/>
        <v>0</v>
      </c>
      <c r="P4579" s="59">
        <f t="shared" si="389"/>
        <v>0</v>
      </c>
    </row>
    <row r="4580" spans="12:16" ht="15" hidden="1" customHeight="1">
      <c r="L4580" s="58" t="str">
        <f t="shared" si="392"/>
        <v>-</v>
      </c>
      <c r="M4580" s="59">
        <f t="shared" si="390"/>
        <v>0</v>
      </c>
      <c r="N4580" s="59">
        <f t="shared" si="388"/>
        <v>0</v>
      </c>
      <c r="O4580" s="59">
        <f t="shared" si="391"/>
        <v>0</v>
      </c>
      <c r="P4580" s="59">
        <f t="shared" si="389"/>
        <v>0</v>
      </c>
    </row>
    <row r="4581" spans="12:16" ht="15" hidden="1" customHeight="1">
      <c r="L4581" s="58" t="str">
        <f t="shared" si="392"/>
        <v>-</v>
      </c>
      <c r="M4581" s="59">
        <f t="shared" si="390"/>
        <v>0</v>
      </c>
      <c r="N4581" s="59">
        <f t="shared" si="388"/>
        <v>0</v>
      </c>
      <c r="O4581" s="59">
        <f t="shared" si="391"/>
        <v>0</v>
      </c>
      <c r="P4581" s="59">
        <f t="shared" si="389"/>
        <v>0</v>
      </c>
    </row>
    <row r="4582" spans="12:16" ht="15" hidden="1" customHeight="1">
      <c r="L4582" s="58" t="str">
        <f t="shared" si="392"/>
        <v>-</v>
      </c>
      <c r="M4582" s="59">
        <f t="shared" si="390"/>
        <v>0</v>
      </c>
      <c r="N4582" s="59">
        <f t="shared" si="388"/>
        <v>0</v>
      </c>
      <c r="O4582" s="59">
        <f t="shared" si="391"/>
        <v>0</v>
      </c>
      <c r="P4582" s="59">
        <f t="shared" si="389"/>
        <v>0</v>
      </c>
    </row>
    <row r="4583" spans="12:16" ht="15" hidden="1" customHeight="1">
      <c r="L4583" s="58" t="str">
        <f t="shared" si="392"/>
        <v>-</v>
      </c>
      <c r="M4583" s="59">
        <f t="shared" si="390"/>
        <v>0</v>
      </c>
      <c r="N4583" s="59">
        <f t="shared" si="388"/>
        <v>0</v>
      </c>
      <c r="O4583" s="59">
        <f t="shared" si="391"/>
        <v>0</v>
      </c>
      <c r="P4583" s="59">
        <f t="shared" si="389"/>
        <v>0</v>
      </c>
    </row>
    <row r="4584" spans="12:16" ht="15" hidden="1" customHeight="1">
      <c r="L4584" s="58" t="str">
        <f t="shared" si="392"/>
        <v>-</v>
      </c>
      <c r="M4584" s="59">
        <f t="shared" si="390"/>
        <v>0</v>
      </c>
      <c r="N4584" s="59">
        <f t="shared" si="388"/>
        <v>0</v>
      </c>
      <c r="O4584" s="59">
        <f t="shared" si="391"/>
        <v>0</v>
      </c>
      <c r="P4584" s="59">
        <f t="shared" si="389"/>
        <v>0</v>
      </c>
    </row>
    <row r="4585" spans="12:16" ht="15" hidden="1" customHeight="1">
      <c r="L4585" s="58" t="str">
        <f t="shared" si="392"/>
        <v>-</v>
      </c>
      <c r="M4585" s="59">
        <f t="shared" si="390"/>
        <v>0</v>
      </c>
      <c r="N4585" s="59">
        <f t="shared" ref="N4585:N4648" si="393">IF(ISNUMBER(N4584),N4584-M4585,$E$8)</f>
        <v>0</v>
      </c>
      <c r="O4585" s="59">
        <f t="shared" si="391"/>
        <v>0</v>
      </c>
      <c r="P4585" s="59">
        <f t="shared" ref="P4585:P4648" si="394">IFERROR(IF(ISNUMBER(N4584),N4584,$E$8)*3%/IF(MOD(YEAR(L4585),4),365,366)*IF(ISBLANK(L4584),(L4585-$F$5),L4585-L4584),0)</f>
        <v>0</v>
      </c>
    </row>
    <row r="4586" spans="12:16" ht="15" hidden="1" customHeight="1">
      <c r="L4586" s="58" t="str">
        <f t="shared" si="392"/>
        <v>-</v>
      </c>
      <c r="M4586" s="59">
        <f t="shared" si="390"/>
        <v>0</v>
      </c>
      <c r="N4586" s="59">
        <f t="shared" si="393"/>
        <v>0</v>
      </c>
      <c r="O4586" s="59">
        <f t="shared" si="391"/>
        <v>0</v>
      </c>
      <c r="P4586" s="59">
        <f t="shared" si="394"/>
        <v>0</v>
      </c>
    </row>
    <row r="4587" spans="12:16" ht="15" hidden="1" customHeight="1">
      <c r="L4587" s="58" t="str">
        <f t="shared" si="392"/>
        <v>-</v>
      </c>
      <c r="M4587" s="59">
        <f t="shared" si="390"/>
        <v>0</v>
      </c>
      <c r="N4587" s="59">
        <f t="shared" si="393"/>
        <v>0</v>
      </c>
      <c r="O4587" s="59">
        <f t="shared" si="391"/>
        <v>0</v>
      </c>
      <c r="P4587" s="59">
        <f t="shared" si="394"/>
        <v>0</v>
      </c>
    </row>
    <row r="4588" spans="12:16" ht="15" hidden="1" customHeight="1">
      <c r="L4588" s="58" t="str">
        <f t="shared" si="392"/>
        <v>-</v>
      </c>
      <c r="M4588" s="59">
        <f t="shared" si="390"/>
        <v>0</v>
      </c>
      <c r="N4588" s="59">
        <f t="shared" si="393"/>
        <v>0</v>
      </c>
      <c r="O4588" s="59">
        <f t="shared" si="391"/>
        <v>0</v>
      </c>
      <c r="P4588" s="59">
        <f t="shared" si="394"/>
        <v>0</v>
      </c>
    </row>
    <row r="4589" spans="12:16" ht="15" hidden="1" customHeight="1">
      <c r="L4589" s="58" t="str">
        <f t="shared" si="392"/>
        <v>-</v>
      </c>
      <c r="M4589" s="59">
        <f t="shared" si="390"/>
        <v>0</v>
      </c>
      <c r="N4589" s="59">
        <f t="shared" si="393"/>
        <v>0</v>
      </c>
      <c r="O4589" s="59">
        <f t="shared" si="391"/>
        <v>0</v>
      </c>
      <c r="P4589" s="59">
        <f t="shared" si="394"/>
        <v>0</v>
      </c>
    </row>
    <row r="4590" spans="12:16" ht="15" hidden="1" customHeight="1">
      <c r="L4590" s="58" t="str">
        <f t="shared" si="392"/>
        <v>-</v>
      </c>
      <c r="M4590" s="59">
        <f t="shared" si="390"/>
        <v>0</v>
      </c>
      <c r="N4590" s="59">
        <f t="shared" si="393"/>
        <v>0</v>
      </c>
      <c r="O4590" s="59">
        <f t="shared" si="391"/>
        <v>0</v>
      </c>
      <c r="P4590" s="59">
        <f t="shared" si="394"/>
        <v>0</v>
      </c>
    </row>
    <row r="4591" spans="12:16" ht="15" hidden="1" customHeight="1">
      <c r="L4591" s="58" t="str">
        <f t="shared" si="392"/>
        <v>-</v>
      </c>
      <c r="M4591" s="59">
        <f t="shared" si="390"/>
        <v>0</v>
      </c>
      <c r="N4591" s="59">
        <f t="shared" si="393"/>
        <v>0</v>
      </c>
      <c r="O4591" s="59">
        <f t="shared" si="391"/>
        <v>0</v>
      </c>
      <c r="P4591" s="59">
        <f t="shared" si="394"/>
        <v>0</v>
      </c>
    </row>
    <row r="4592" spans="12:16" ht="15" hidden="1" customHeight="1">
      <c r="L4592" s="58" t="str">
        <f t="shared" si="392"/>
        <v>-</v>
      </c>
      <c r="M4592" s="59">
        <f t="shared" si="390"/>
        <v>0</v>
      </c>
      <c r="N4592" s="59">
        <f t="shared" si="393"/>
        <v>0</v>
      </c>
      <c r="O4592" s="59">
        <f t="shared" si="391"/>
        <v>0</v>
      </c>
      <c r="P4592" s="59">
        <f t="shared" si="394"/>
        <v>0</v>
      </c>
    </row>
    <row r="4593" spans="12:16" ht="15" hidden="1" customHeight="1">
      <c r="L4593" s="58" t="str">
        <f t="shared" si="392"/>
        <v>-</v>
      </c>
      <c r="M4593" s="59">
        <f t="shared" si="390"/>
        <v>0</v>
      </c>
      <c r="N4593" s="59">
        <f t="shared" si="393"/>
        <v>0</v>
      </c>
      <c r="O4593" s="59">
        <f t="shared" si="391"/>
        <v>0</v>
      </c>
      <c r="P4593" s="59">
        <f t="shared" si="394"/>
        <v>0</v>
      </c>
    </row>
    <row r="4594" spans="12:16" ht="15" hidden="1" customHeight="1">
      <c r="L4594" s="58" t="str">
        <f t="shared" si="392"/>
        <v>-</v>
      </c>
      <c r="M4594" s="59">
        <f t="shared" si="390"/>
        <v>0</v>
      </c>
      <c r="N4594" s="59">
        <f t="shared" si="393"/>
        <v>0</v>
      </c>
      <c r="O4594" s="59">
        <f t="shared" si="391"/>
        <v>0</v>
      </c>
      <c r="P4594" s="59">
        <f t="shared" si="394"/>
        <v>0</v>
      </c>
    </row>
    <row r="4595" spans="12:16" ht="15" hidden="1" customHeight="1">
      <c r="L4595" s="58" t="str">
        <f t="shared" si="392"/>
        <v>-</v>
      </c>
      <c r="M4595" s="59">
        <f t="shared" si="390"/>
        <v>0</v>
      </c>
      <c r="N4595" s="59">
        <f t="shared" si="393"/>
        <v>0</v>
      </c>
      <c r="O4595" s="59">
        <f t="shared" si="391"/>
        <v>0</v>
      </c>
      <c r="P4595" s="59">
        <f t="shared" si="394"/>
        <v>0</v>
      </c>
    </row>
    <row r="4596" spans="12:16" ht="15" hidden="1" customHeight="1">
      <c r="L4596" s="58" t="str">
        <f t="shared" si="392"/>
        <v>-</v>
      </c>
      <c r="M4596" s="59">
        <f t="shared" si="390"/>
        <v>0</v>
      </c>
      <c r="N4596" s="59">
        <f t="shared" si="393"/>
        <v>0</v>
      </c>
      <c r="O4596" s="59">
        <f t="shared" si="391"/>
        <v>0</v>
      </c>
      <c r="P4596" s="59">
        <f t="shared" si="394"/>
        <v>0</v>
      </c>
    </row>
    <row r="4597" spans="12:16" ht="15" hidden="1" customHeight="1">
      <c r="L4597" s="58" t="str">
        <f t="shared" si="392"/>
        <v>-</v>
      </c>
      <c r="M4597" s="59">
        <f t="shared" si="390"/>
        <v>0</v>
      </c>
      <c r="N4597" s="59">
        <f t="shared" si="393"/>
        <v>0</v>
      </c>
      <c r="O4597" s="59">
        <f t="shared" si="391"/>
        <v>0</v>
      </c>
      <c r="P4597" s="59">
        <f t="shared" si="394"/>
        <v>0</v>
      </c>
    </row>
    <row r="4598" spans="12:16" ht="15" hidden="1" customHeight="1">
      <c r="L4598" s="58" t="str">
        <f t="shared" si="392"/>
        <v>-</v>
      </c>
      <c r="M4598" s="59">
        <f t="shared" si="390"/>
        <v>0</v>
      </c>
      <c r="N4598" s="59">
        <f t="shared" si="393"/>
        <v>0</v>
      </c>
      <c r="O4598" s="59">
        <f t="shared" si="391"/>
        <v>0</v>
      </c>
      <c r="P4598" s="59">
        <f t="shared" si="394"/>
        <v>0</v>
      </c>
    </row>
    <row r="4599" spans="12:16" ht="15" hidden="1" customHeight="1">
      <c r="L4599" s="58" t="str">
        <f t="shared" si="392"/>
        <v>-</v>
      </c>
      <c r="M4599" s="59">
        <f t="shared" si="390"/>
        <v>0</v>
      </c>
      <c r="N4599" s="59">
        <f t="shared" si="393"/>
        <v>0</v>
      </c>
      <c r="O4599" s="59">
        <f t="shared" si="391"/>
        <v>0</v>
      </c>
      <c r="P4599" s="59">
        <f t="shared" si="394"/>
        <v>0</v>
      </c>
    </row>
    <row r="4600" spans="12:16" ht="15" hidden="1" customHeight="1">
      <c r="L4600" s="58" t="str">
        <f t="shared" si="392"/>
        <v>-</v>
      </c>
      <c r="M4600" s="59">
        <f t="shared" si="390"/>
        <v>0</v>
      </c>
      <c r="N4600" s="59">
        <f t="shared" si="393"/>
        <v>0</v>
      </c>
      <c r="O4600" s="59">
        <f t="shared" si="391"/>
        <v>0</v>
      </c>
      <c r="P4600" s="59">
        <f t="shared" si="394"/>
        <v>0</v>
      </c>
    </row>
    <row r="4601" spans="12:16" ht="15" hidden="1" customHeight="1">
      <c r="L4601" s="58" t="str">
        <f t="shared" si="392"/>
        <v>-</v>
      </c>
      <c r="M4601" s="59">
        <f t="shared" si="390"/>
        <v>0</v>
      </c>
      <c r="N4601" s="59">
        <f t="shared" si="393"/>
        <v>0</v>
      </c>
      <c r="O4601" s="59">
        <f t="shared" si="391"/>
        <v>0</v>
      </c>
      <c r="P4601" s="59">
        <f t="shared" si="394"/>
        <v>0</v>
      </c>
    </row>
    <row r="4602" spans="12:16" ht="15" hidden="1" customHeight="1">
      <c r="L4602" s="58" t="str">
        <f t="shared" si="392"/>
        <v>-</v>
      </c>
      <c r="M4602" s="59">
        <f t="shared" si="390"/>
        <v>0</v>
      </c>
      <c r="N4602" s="59">
        <f t="shared" si="393"/>
        <v>0</v>
      </c>
      <c r="O4602" s="59">
        <f t="shared" si="391"/>
        <v>0</v>
      </c>
      <c r="P4602" s="59">
        <f t="shared" si="394"/>
        <v>0</v>
      </c>
    </row>
    <row r="4603" spans="12:16" ht="15" hidden="1" customHeight="1">
      <c r="L4603" s="58" t="str">
        <f t="shared" si="392"/>
        <v>-</v>
      </c>
      <c r="M4603" s="59">
        <f t="shared" si="390"/>
        <v>0</v>
      </c>
      <c r="N4603" s="59">
        <f t="shared" si="393"/>
        <v>0</v>
      </c>
      <c r="O4603" s="59">
        <f t="shared" si="391"/>
        <v>0</v>
      </c>
      <c r="P4603" s="59">
        <f t="shared" si="394"/>
        <v>0</v>
      </c>
    </row>
    <row r="4604" spans="12:16" ht="15" hidden="1" customHeight="1">
      <c r="L4604" s="58" t="str">
        <f t="shared" si="392"/>
        <v>-</v>
      </c>
      <c r="M4604" s="59">
        <f t="shared" si="390"/>
        <v>0</v>
      </c>
      <c r="N4604" s="59">
        <f t="shared" si="393"/>
        <v>0</v>
      </c>
      <c r="O4604" s="59">
        <f t="shared" si="391"/>
        <v>0</v>
      </c>
      <c r="P4604" s="59">
        <f t="shared" si="394"/>
        <v>0</v>
      </c>
    </row>
    <row r="4605" spans="12:16" ht="15" hidden="1" customHeight="1">
      <c r="L4605" s="58" t="str">
        <f t="shared" si="392"/>
        <v>-</v>
      </c>
      <c r="M4605" s="59">
        <f t="shared" si="390"/>
        <v>0</v>
      </c>
      <c r="N4605" s="59">
        <f t="shared" si="393"/>
        <v>0</v>
      </c>
      <c r="O4605" s="59">
        <f t="shared" si="391"/>
        <v>0</v>
      </c>
      <c r="P4605" s="59">
        <f t="shared" si="394"/>
        <v>0</v>
      </c>
    </row>
    <row r="4606" spans="12:16" ht="15" hidden="1" customHeight="1">
      <c r="L4606" s="58" t="str">
        <f t="shared" si="392"/>
        <v>-</v>
      </c>
      <c r="M4606" s="59">
        <f t="shared" si="390"/>
        <v>0</v>
      </c>
      <c r="N4606" s="59">
        <f t="shared" si="393"/>
        <v>0</v>
      </c>
      <c r="O4606" s="59">
        <f t="shared" si="391"/>
        <v>0</v>
      </c>
      <c r="P4606" s="59">
        <f t="shared" si="394"/>
        <v>0</v>
      </c>
    </row>
    <row r="4607" spans="12:16" ht="15" hidden="1" customHeight="1">
      <c r="L4607" s="58" t="str">
        <f t="shared" si="392"/>
        <v>-</v>
      </c>
      <c r="M4607" s="59">
        <f t="shared" si="390"/>
        <v>0</v>
      </c>
      <c r="N4607" s="59">
        <f t="shared" si="393"/>
        <v>0</v>
      </c>
      <c r="O4607" s="59">
        <f t="shared" si="391"/>
        <v>0</v>
      </c>
      <c r="P4607" s="59">
        <f t="shared" si="394"/>
        <v>0</v>
      </c>
    </row>
    <row r="4608" spans="12:16" ht="15" hidden="1" customHeight="1">
      <c r="L4608" s="58" t="str">
        <f t="shared" si="392"/>
        <v>-</v>
      </c>
      <c r="M4608" s="59">
        <f t="shared" si="390"/>
        <v>0</v>
      </c>
      <c r="N4608" s="59">
        <f t="shared" si="393"/>
        <v>0</v>
      </c>
      <c r="O4608" s="59">
        <f t="shared" si="391"/>
        <v>0</v>
      </c>
      <c r="P4608" s="59">
        <f t="shared" si="394"/>
        <v>0</v>
      </c>
    </row>
    <row r="4609" spans="12:16" ht="15" hidden="1" customHeight="1">
      <c r="L4609" s="58" t="str">
        <f t="shared" si="392"/>
        <v>-</v>
      </c>
      <c r="M4609" s="59">
        <f t="shared" si="390"/>
        <v>0</v>
      </c>
      <c r="N4609" s="59">
        <f t="shared" si="393"/>
        <v>0</v>
      </c>
      <c r="O4609" s="59">
        <f t="shared" si="391"/>
        <v>0</v>
      </c>
      <c r="P4609" s="59">
        <f t="shared" si="394"/>
        <v>0</v>
      </c>
    </row>
    <row r="4610" spans="12:16" ht="15" hidden="1" customHeight="1">
      <c r="L4610" s="58" t="str">
        <f t="shared" si="392"/>
        <v>-</v>
      </c>
      <c r="M4610" s="59">
        <f t="shared" si="390"/>
        <v>0</v>
      </c>
      <c r="N4610" s="59">
        <f t="shared" si="393"/>
        <v>0</v>
      </c>
      <c r="O4610" s="59">
        <f t="shared" si="391"/>
        <v>0</v>
      </c>
      <c r="P4610" s="59">
        <f t="shared" si="394"/>
        <v>0</v>
      </c>
    </row>
    <row r="4611" spans="12:16" ht="15" hidden="1" customHeight="1">
      <c r="L4611" s="58" t="str">
        <f t="shared" si="392"/>
        <v>-</v>
      </c>
      <c r="M4611" s="59">
        <f t="shared" si="390"/>
        <v>0</v>
      </c>
      <c r="N4611" s="59">
        <f t="shared" si="393"/>
        <v>0</v>
      </c>
      <c r="O4611" s="59">
        <f t="shared" si="391"/>
        <v>0</v>
      </c>
      <c r="P4611" s="59">
        <f t="shared" si="394"/>
        <v>0</v>
      </c>
    </row>
    <row r="4612" spans="12:16" ht="15" hidden="1" customHeight="1">
      <c r="L4612" s="58" t="str">
        <f t="shared" si="392"/>
        <v>-</v>
      </c>
      <c r="M4612" s="59">
        <f t="shared" si="390"/>
        <v>0</v>
      </c>
      <c r="N4612" s="59">
        <f t="shared" si="393"/>
        <v>0</v>
      </c>
      <c r="O4612" s="59">
        <f t="shared" si="391"/>
        <v>0</v>
      </c>
      <c r="P4612" s="59">
        <f t="shared" si="394"/>
        <v>0</v>
      </c>
    </row>
    <row r="4613" spans="12:16" ht="15" hidden="1" customHeight="1">
      <c r="L4613" s="58" t="str">
        <f t="shared" si="392"/>
        <v>-</v>
      </c>
      <c r="M4613" s="59">
        <f t="shared" si="390"/>
        <v>0</v>
      </c>
      <c r="N4613" s="59">
        <f t="shared" si="393"/>
        <v>0</v>
      </c>
      <c r="O4613" s="59">
        <f t="shared" si="391"/>
        <v>0</v>
      </c>
      <c r="P4613" s="59">
        <f t="shared" si="394"/>
        <v>0</v>
      </c>
    </row>
    <row r="4614" spans="12:16" ht="15" hidden="1" customHeight="1">
      <c r="L4614" s="58" t="str">
        <f t="shared" si="392"/>
        <v>-</v>
      </c>
      <c r="M4614" s="59">
        <f t="shared" si="390"/>
        <v>0</v>
      </c>
      <c r="N4614" s="59">
        <f t="shared" si="393"/>
        <v>0</v>
      </c>
      <c r="O4614" s="59">
        <f t="shared" si="391"/>
        <v>0</v>
      </c>
      <c r="P4614" s="59">
        <f t="shared" si="394"/>
        <v>0</v>
      </c>
    </row>
    <row r="4615" spans="12:16" ht="15" hidden="1" customHeight="1">
      <c r="L4615" s="58" t="str">
        <f t="shared" si="392"/>
        <v>-</v>
      </c>
      <c r="M4615" s="59">
        <f t="shared" si="390"/>
        <v>0</v>
      </c>
      <c r="N4615" s="59">
        <f t="shared" si="393"/>
        <v>0</v>
      </c>
      <c r="O4615" s="59">
        <f t="shared" si="391"/>
        <v>0</v>
      </c>
      <c r="P4615" s="59">
        <f t="shared" si="394"/>
        <v>0</v>
      </c>
    </row>
    <row r="4616" spans="12:16" ht="15" hidden="1" customHeight="1">
      <c r="L4616" s="58" t="str">
        <f t="shared" si="392"/>
        <v>-</v>
      </c>
      <c r="M4616" s="59">
        <f t="shared" si="390"/>
        <v>0</v>
      </c>
      <c r="N4616" s="59">
        <f t="shared" si="393"/>
        <v>0</v>
      </c>
      <c r="O4616" s="59">
        <f t="shared" si="391"/>
        <v>0</v>
      </c>
      <c r="P4616" s="59">
        <f t="shared" si="394"/>
        <v>0</v>
      </c>
    </row>
    <row r="4617" spans="12:16" ht="15" hidden="1" customHeight="1">
      <c r="L4617" s="58" t="str">
        <f t="shared" si="392"/>
        <v>-</v>
      </c>
      <c r="M4617" s="59">
        <f t="shared" si="390"/>
        <v>0</v>
      </c>
      <c r="N4617" s="59">
        <f t="shared" si="393"/>
        <v>0</v>
      </c>
      <c r="O4617" s="59">
        <f t="shared" si="391"/>
        <v>0</v>
      </c>
      <c r="P4617" s="59">
        <f t="shared" si="394"/>
        <v>0</v>
      </c>
    </row>
    <row r="4618" spans="12:16" ht="15" hidden="1" customHeight="1">
      <c r="L4618" s="58" t="str">
        <f t="shared" si="392"/>
        <v>-</v>
      </c>
      <c r="M4618" s="59">
        <f t="shared" si="390"/>
        <v>0</v>
      </c>
      <c r="N4618" s="59">
        <f t="shared" si="393"/>
        <v>0</v>
      </c>
      <c r="O4618" s="59">
        <f t="shared" si="391"/>
        <v>0</v>
      </c>
      <c r="P4618" s="59">
        <f t="shared" si="394"/>
        <v>0</v>
      </c>
    </row>
    <row r="4619" spans="12:16" ht="15" hidden="1" customHeight="1">
      <c r="L4619" s="58" t="str">
        <f t="shared" si="392"/>
        <v>-</v>
      </c>
      <c r="M4619" s="59">
        <f t="shared" si="390"/>
        <v>0</v>
      </c>
      <c r="N4619" s="59">
        <f t="shared" si="393"/>
        <v>0</v>
      </c>
      <c r="O4619" s="59">
        <f t="shared" si="391"/>
        <v>0</v>
      </c>
      <c r="P4619" s="59">
        <f t="shared" si="394"/>
        <v>0</v>
      </c>
    </row>
    <row r="4620" spans="12:16" ht="15" hidden="1" customHeight="1">
      <c r="L4620" s="58" t="str">
        <f t="shared" si="392"/>
        <v>-</v>
      </c>
      <c r="M4620" s="59">
        <f t="shared" si="390"/>
        <v>0</v>
      </c>
      <c r="N4620" s="59">
        <f t="shared" si="393"/>
        <v>0</v>
      </c>
      <c r="O4620" s="59">
        <f t="shared" si="391"/>
        <v>0</v>
      </c>
      <c r="P4620" s="59">
        <f t="shared" si="394"/>
        <v>0</v>
      </c>
    </row>
    <row r="4621" spans="12:16" ht="15" hidden="1" customHeight="1">
      <c r="L4621" s="58" t="str">
        <f t="shared" si="392"/>
        <v>-</v>
      </c>
      <c r="M4621" s="59">
        <f t="shared" si="390"/>
        <v>0</v>
      </c>
      <c r="N4621" s="59">
        <f t="shared" si="393"/>
        <v>0</v>
      </c>
      <c r="O4621" s="59">
        <f t="shared" si="391"/>
        <v>0</v>
      </c>
      <c r="P4621" s="59">
        <f t="shared" si="394"/>
        <v>0</v>
      </c>
    </row>
    <row r="4622" spans="12:16" ht="15" hidden="1" customHeight="1">
      <c r="L4622" s="58" t="str">
        <f t="shared" si="392"/>
        <v>-</v>
      </c>
      <c r="M4622" s="59">
        <f t="shared" si="390"/>
        <v>0</v>
      </c>
      <c r="N4622" s="59">
        <f t="shared" si="393"/>
        <v>0</v>
      </c>
      <c r="O4622" s="59">
        <f t="shared" si="391"/>
        <v>0</v>
      </c>
      <c r="P4622" s="59">
        <f t="shared" si="394"/>
        <v>0</v>
      </c>
    </row>
    <row r="4623" spans="12:16" ht="15" hidden="1" customHeight="1">
      <c r="L4623" s="58" t="str">
        <f t="shared" si="392"/>
        <v>-</v>
      </c>
      <c r="M4623" s="59">
        <f t="shared" si="390"/>
        <v>0</v>
      </c>
      <c r="N4623" s="59">
        <f t="shared" si="393"/>
        <v>0</v>
      </c>
      <c r="O4623" s="59">
        <f t="shared" si="391"/>
        <v>0</v>
      </c>
      <c r="P4623" s="59">
        <f t="shared" si="394"/>
        <v>0</v>
      </c>
    </row>
    <row r="4624" spans="12:16" ht="15" hidden="1" customHeight="1">
      <c r="L4624" s="58" t="str">
        <f t="shared" si="392"/>
        <v>-</v>
      </c>
      <c r="M4624" s="59">
        <f t="shared" si="390"/>
        <v>0</v>
      </c>
      <c r="N4624" s="59">
        <f t="shared" si="393"/>
        <v>0</v>
      </c>
      <c r="O4624" s="59">
        <f t="shared" si="391"/>
        <v>0</v>
      </c>
      <c r="P4624" s="59">
        <f t="shared" si="394"/>
        <v>0</v>
      </c>
    </row>
    <row r="4625" spans="12:16" ht="15" hidden="1" customHeight="1">
      <c r="L4625" s="58" t="str">
        <f t="shared" si="392"/>
        <v>-</v>
      </c>
      <c r="M4625" s="59">
        <f t="shared" si="390"/>
        <v>0</v>
      </c>
      <c r="N4625" s="59">
        <f t="shared" si="393"/>
        <v>0</v>
      </c>
      <c r="O4625" s="59">
        <f t="shared" si="391"/>
        <v>0</v>
      </c>
      <c r="P4625" s="59">
        <f t="shared" si="394"/>
        <v>0</v>
      </c>
    </row>
    <row r="4626" spans="12:16" ht="15" hidden="1" customHeight="1">
      <c r="L4626" s="58" t="str">
        <f t="shared" si="392"/>
        <v>-</v>
      </c>
      <c r="M4626" s="59">
        <f t="shared" si="390"/>
        <v>0</v>
      </c>
      <c r="N4626" s="59">
        <f t="shared" si="393"/>
        <v>0</v>
      </c>
      <c r="O4626" s="59">
        <f t="shared" si="391"/>
        <v>0</v>
      </c>
      <c r="P4626" s="59">
        <f t="shared" si="394"/>
        <v>0</v>
      </c>
    </row>
    <row r="4627" spans="12:16" ht="15" hidden="1" customHeight="1">
      <c r="L4627" s="58" t="str">
        <f t="shared" si="392"/>
        <v>-</v>
      </c>
      <c r="M4627" s="59">
        <f t="shared" ref="M4627:M4690" si="395">IFERROR(VLOOKUP(L4627,$B$19:$E$80,4,FALSE),0)</f>
        <v>0</v>
      </c>
      <c r="N4627" s="59">
        <f t="shared" si="393"/>
        <v>0</v>
      </c>
      <c r="O4627" s="59">
        <f t="shared" ref="O4627:O4690" si="396">IFERROR(IF(ISNUMBER(N4626),N4626,$E$8)*IF(L4627&gt;=$J$8,$E$12,$E$12)/IF(MOD(YEAR(L4627),4),365,366)*IF(ISBLANK(L4626),L4627-$F$5,L4627-L4626),0)</f>
        <v>0</v>
      </c>
      <c r="P4627" s="59">
        <f t="shared" si="394"/>
        <v>0</v>
      </c>
    </row>
    <row r="4628" spans="12:16" ht="15" hidden="1" customHeight="1">
      <c r="L4628" s="58" t="str">
        <f t="shared" si="392"/>
        <v>-</v>
      </c>
      <c r="M4628" s="59">
        <f t="shared" si="395"/>
        <v>0</v>
      </c>
      <c r="N4628" s="59">
        <f t="shared" si="393"/>
        <v>0</v>
      </c>
      <c r="O4628" s="59">
        <f t="shared" si="396"/>
        <v>0</v>
      </c>
      <c r="P4628" s="59">
        <f t="shared" si="394"/>
        <v>0</v>
      </c>
    </row>
    <row r="4629" spans="12:16" ht="15" hidden="1" customHeight="1">
      <c r="L4629" s="58" t="str">
        <f t="shared" si="392"/>
        <v>-</v>
      </c>
      <c r="M4629" s="59">
        <f t="shared" si="395"/>
        <v>0</v>
      </c>
      <c r="N4629" s="59">
        <f t="shared" si="393"/>
        <v>0</v>
      </c>
      <c r="O4629" s="59">
        <f t="shared" si="396"/>
        <v>0</v>
      </c>
      <c r="P4629" s="59">
        <f t="shared" si="394"/>
        <v>0</v>
      </c>
    </row>
    <row r="4630" spans="12:16" ht="15" hidden="1" customHeight="1">
      <c r="L4630" s="58" t="str">
        <f t="shared" si="392"/>
        <v>-</v>
      </c>
      <c r="M4630" s="59">
        <f t="shared" si="395"/>
        <v>0</v>
      </c>
      <c r="N4630" s="59">
        <f t="shared" si="393"/>
        <v>0</v>
      </c>
      <c r="O4630" s="59">
        <f t="shared" si="396"/>
        <v>0</v>
      </c>
      <c r="P4630" s="59">
        <f t="shared" si="394"/>
        <v>0</v>
      </c>
    </row>
    <row r="4631" spans="12:16" ht="15" hidden="1" customHeight="1">
      <c r="L4631" s="58" t="str">
        <f t="shared" si="392"/>
        <v>-</v>
      </c>
      <c r="M4631" s="59">
        <f t="shared" si="395"/>
        <v>0</v>
      </c>
      <c r="N4631" s="59">
        <f t="shared" si="393"/>
        <v>0</v>
      </c>
      <c r="O4631" s="59">
        <f t="shared" si="396"/>
        <v>0</v>
      </c>
      <c r="P4631" s="59">
        <f t="shared" si="394"/>
        <v>0</v>
      </c>
    </row>
    <row r="4632" spans="12:16" ht="15" hidden="1" customHeight="1">
      <c r="L4632" s="58" t="str">
        <f t="shared" si="392"/>
        <v>-</v>
      </c>
      <c r="M4632" s="59">
        <f t="shared" si="395"/>
        <v>0</v>
      </c>
      <c r="N4632" s="59">
        <f t="shared" si="393"/>
        <v>0</v>
      </c>
      <c r="O4632" s="59">
        <f t="shared" si="396"/>
        <v>0</v>
      </c>
      <c r="P4632" s="59">
        <f t="shared" si="394"/>
        <v>0</v>
      </c>
    </row>
    <row r="4633" spans="12:16" ht="15" hidden="1" customHeight="1">
      <c r="L4633" s="58" t="str">
        <f t="shared" si="392"/>
        <v>-</v>
      </c>
      <c r="M4633" s="59">
        <f t="shared" si="395"/>
        <v>0</v>
      </c>
      <c r="N4633" s="59">
        <f t="shared" si="393"/>
        <v>0</v>
      </c>
      <c r="O4633" s="59">
        <f t="shared" si="396"/>
        <v>0</v>
      </c>
      <c r="P4633" s="59">
        <f t="shared" si="394"/>
        <v>0</v>
      </c>
    </row>
    <row r="4634" spans="12:16" ht="15" hidden="1" customHeight="1">
      <c r="L4634" s="58" t="str">
        <f t="shared" si="392"/>
        <v>-</v>
      </c>
      <c r="M4634" s="59">
        <f t="shared" si="395"/>
        <v>0</v>
      </c>
      <c r="N4634" s="59">
        <f t="shared" si="393"/>
        <v>0</v>
      </c>
      <c r="O4634" s="59">
        <f t="shared" si="396"/>
        <v>0</v>
      </c>
      <c r="P4634" s="59">
        <f t="shared" si="394"/>
        <v>0</v>
      </c>
    </row>
    <row r="4635" spans="12:16" ht="15" hidden="1" customHeight="1">
      <c r="L4635" s="58" t="str">
        <f t="shared" si="392"/>
        <v>-</v>
      </c>
      <c r="M4635" s="59">
        <f t="shared" si="395"/>
        <v>0</v>
      </c>
      <c r="N4635" s="59">
        <f t="shared" si="393"/>
        <v>0</v>
      </c>
      <c r="O4635" s="59">
        <f t="shared" si="396"/>
        <v>0</v>
      </c>
      <c r="P4635" s="59">
        <f t="shared" si="394"/>
        <v>0</v>
      </c>
    </row>
    <row r="4636" spans="12:16" ht="15" hidden="1" customHeight="1">
      <c r="L4636" s="58" t="str">
        <f t="shared" si="392"/>
        <v>-</v>
      </c>
      <c r="M4636" s="59">
        <f t="shared" si="395"/>
        <v>0</v>
      </c>
      <c r="N4636" s="59">
        <f t="shared" si="393"/>
        <v>0</v>
      </c>
      <c r="O4636" s="59">
        <f t="shared" si="396"/>
        <v>0</v>
      </c>
      <c r="P4636" s="59">
        <f t="shared" si="394"/>
        <v>0</v>
      </c>
    </row>
    <row r="4637" spans="12:16" ht="15" hidden="1" customHeight="1">
      <c r="L4637" s="58" t="str">
        <f t="shared" si="392"/>
        <v>-</v>
      </c>
      <c r="M4637" s="59">
        <f t="shared" si="395"/>
        <v>0</v>
      </c>
      <c r="N4637" s="59">
        <f t="shared" si="393"/>
        <v>0</v>
      </c>
      <c r="O4637" s="59">
        <f t="shared" si="396"/>
        <v>0</v>
      </c>
      <c r="P4637" s="59">
        <f t="shared" si="394"/>
        <v>0</v>
      </c>
    </row>
    <row r="4638" spans="12:16" ht="15" hidden="1" customHeight="1">
      <c r="L4638" s="58" t="str">
        <f t="shared" si="392"/>
        <v>-</v>
      </c>
      <c r="M4638" s="59">
        <f t="shared" si="395"/>
        <v>0</v>
      </c>
      <c r="N4638" s="59">
        <f t="shared" si="393"/>
        <v>0</v>
      </c>
      <c r="O4638" s="59">
        <f t="shared" si="396"/>
        <v>0</v>
      </c>
      <c r="P4638" s="59">
        <f t="shared" si="394"/>
        <v>0</v>
      </c>
    </row>
    <row r="4639" spans="12:16" ht="15" hidden="1" customHeight="1">
      <c r="L4639" s="58" t="str">
        <f t="shared" si="392"/>
        <v>-</v>
      </c>
      <c r="M4639" s="59">
        <f t="shared" si="395"/>
        <v>0</v>
      </c>
      <c r="N4639" s="59">
        <f t="shared" si="393"/>
        <v>0</v>
      </c>
      <c r="O4639" s="59">
        <f t="shared" si="396"/>
        <v>0</v>
      </c>
      <c r="P4639" s="59">
        <f t="shared" si="394"/>
        <v>0</v>
      </c>
    </row>
    <row r="4640" spans="12:16" ht="15" hidden="1" customHeight="1">
      <c r="L4640" s="58" t="str">
        <f t="shared" si="392"/>
        <v>-</v>
      </c>
      <c r="M4640" s="59">
        <f t="shared" si="395"/>
        <v>0</v>
      </c>
      <c r="N4640" s="59">
        <f t="shared" si="393"/>
        <v>0</v>
      </c>
      <c r="O4640" s="59">
        <f t="shared" si="396"/>
        <v>0</v>
      </c>
      <c r="P4640" s="59">
        <f t="shared" si="394"/>
        <v>0</v>
      </c>
    </row>
    <row r="4641" spans="12:16" ht="15" hidden="1" customHeight="1">
      <c r="L4641" s="58" t="str">
        <f t="shared" ref="L4641:L4704" si="397">IFERROR(IF(MAX(L4640+1,$F$5+1)&gt;Дата_погашения_Займа,"-",MAX(L4640+1,$F$5+1)),"-")</f>
        <v>-</v>
      </c>
      <c r="M4641" s="59">
        <f t="shared" si="395"/>
        <v>0</v>
      </c>
      <c r="N4641" s="59">
        <f t="shared" si="393"/>
        <v>0</v>
      </c>
      <c r="O4641" s="59">
        <f t="shared" si="396"/>
        <v>0</v>
      </c>
      <c r="P4641" s="59">
        <f t="shared" si="394"/>
        <v>0</v>
      </c>
    </row>
    <row r="4642" spans="12:16" ht="15" hidden="1" customHeight="1">
      <c r="L4642" s="58" t="str">
        <f t="shared" si="397"/>
        <v>-</v>
      </c>
      <c r="M4642" s="59">
        <f t="shared" si="395"/>
        <v>0</v>
      </c>
      <c r="N4642" s="59">
        <f t="shared" si="393"/>
        <v>0</v>
      </c>
      <c r="O4642" s="59">
        <f t="shared" si="396"/>
        <v>0</v>
      </c>
      <c r="P4642" s="59">
        <f t="shared" si="394"/>
        <v>0</v>
      </c>
    </row>
    <row r="4643" spans="12:16" ht="15" hidden="1" customHeight="1">
      <c r="L4643" s="58" t="str">
        <f t="shared" si="397"/>
        <v>-</v>
      </c>
      <c r="M4643" s="59">
        <f t="shared" si="395"/>
        <v>0</v>
      </c>
      <c r="N4643" s="59">
        <f t="shared" si="393"/>
        <v>0</v>
      </c>
      <c r="O4643" s="59">
        <f t="shared" si="396"/>
        <v>0</v>
      </c>
      <c r="P4643" s="59">
        <f t="shared" si="394"/>
        <v>0</v>
      </c>
    </row>
    <row r="4644" spans="12:16" ht="15" hidden="1" customHeight="1">
      <c r="L4644" s="58" t="str">
        <f t="shared" si="397"/>
        <v>-</v>
      </c>
      <c r="M4644" s="59">
        <f t="shared" si="395"/>
        <v>0</v>
      </c>
      <c r="N4644" s="59">
        <f t="shared" si="393"/>
        <v>0</v>
      </c>
      <c r="O4644" s="59">
        <f t="shared" si="396"/>
        <v>0</v>
      </c>
      <c r="P4644" s="59">
        <f t="shared" si="394"/>
        <v>0</v>
      </c>
    </row>
    <row r="4645" spans="12:16" ht="15" hidden="1" customHeight="1">
      <c r="L4645" s="58" t="str">
        <f t="shared" si="397"/>
        <v>-</v>
      </c>
      <c r="M4645" s="59">
        <f t="shared" si="395"/>
        <v>0</v>
      </c>
      <c r="N4645" s="59">
        <f t="shared" si="393"/>
        <v>0</v>
      </c>
      <c r="O4645" s="59">
        <f t="shared" si="396"/>
        <v>0</v>
      </c>
      <c r="P4645" s="59">
        <f t="shared" si="394"/>
        <v>0</v>
      </c>
    </row>
    <row r="4646" spans="12:16" ht="15" hidden="1" customHeight="1">
      <c r="L4646" s="58" t="str">
        <f t="shared" si="397"/>
        <v>-</v>
      </c>
      <c r="M4646" s="59">
        <f t="shared" si="395"/>
        <v>0</v>
      </c>
      <c r="N4646" s="59">
        <f t="shared" si="393"/>
        <v>0</v>
      </c>
      <c r="O4646" s="59">
        <f t="shared" si="396"/>
        <v>0</v>
      </c>
      <c r="P4646" s="59">
        <f t="shared" si="394"/>
        <v>0</v>
      </c>
    </row>
    <row r="4647" spans="12:16" ht="15" hidden="1" customHeight="1">
      <c r="L4647" s="58" t="str">
        <f t="shared" si="397"/>
        <v>-</v>
      </c>
      <c r="M4647" s="59">
        <f t="shared" si="395"/>
        <v>0</v>
      </c>
      <c r="N4647" s="59">
        <f t="shared" si="393"/>
        <v>0</v>
      </c>
      <c r="O4647" s="59">
        <f t="shared" si="396"/>
        <v>0</v>
      </c>
      <c r="P4647" s="59">
        <f t="shared" si="394"/>
        <v>0</v>
      </c>
    </row>
    <row r="4648" spans="12:16" ht="15" hidden="1" customHeight="1">
      <c r="L4648" s="58" t="str">
        <f t="shared" si="397"/>
        <v>-</v>
      </c>
      <c r="M4648" s="59">
        <f t="shared" si="395"/>
        <v>0</v>
      </c>
      <c r="N4648" s="59">
        <f t="shared" si="393"/>
        <v>0</v>
      </c>
      <c r="O4648" s="59">
        <f t="shared" si="396"/>
        <v>0</v>
      </c>
      <c r="P4648" s="59">
        <f t="shared" si="394"/>
        <v>0</v>
      </c>
    </row>
    <row r="4649" spans="12:16" ht="15" hidden="1" customHeight="1">
      <c r="L4649" s="58" t="str">
        <f t="shared" si="397"/>
        <v>-</v>
      </c>
      <c r="M4649" s="59">
        <f t="shared" si="395"/>
        <v>0</v>
      </c>
      <c r="N4649" s="59">
        <f t="shared" ref="N4649:N4712" si="398">IF(ISNUMBER(N4648),N4648-M4649,$E$8)</f>
        <v>0</v>
      </c>
      <c r="O4649" s="59">
        <f t="shared" si="396"/>
        <v>0</v>
      </c>
      <c r="P4649" s="59">
        <f t="shared" ref="P4649:P4712" si="399">IFERROR(IF(ISNUMBER(N4648),N4648,$E$8)*3%/IF(MOD(YEAR(L4649),4),365,366)*IF(ISBLANK(L4648),(L4649-$F$5),L4649-L4648),0)</f>
        <v>0</v>
      </c>
    </row>
    <row r="4650" spans="12:16" ht="15" hidden="1" customHeight="1">
      <c r="L4650" s="58" t="str">
        <f t="shared" si="397"/>
        <v>-</v>
      </c>
      <c r="M4650" s="59">
        <f t="shared" si="395"/>
        <v>0</v>
      </c>
      <c r="N4650" s="59">
        <f t="shared" si="398"/>
        <v>0</v>
      </c>
      <c r="O4650" s="59">
        <f t="shared" si="396"/>
        <v>0</v>
      </c>
      <c r="P4650" s="59">
        <f t="shared" si="399"/>
        <v>0</v>
      </c>
    </row>
    <row r="4651" spans="12:16" ht="15" hidden="1" customHeight="1">
      <c r="L4651" s="58" t="str">
        <f t="shared" si="397"/>
        <v>-</v>
      </c>
      <c r="M4651" s="59">
        <f t="shared" si="395"/>
        <v>0</v>
      </c>
      <c r="N4651" s="59">
        <f t="shared" si="398"/>
        <v>0</v>
      </c>
      <c r="O4651" s="59">
        <f t="shared" si="396"/>
        <v>0</v>
      </c>
      <c r="P4651" s="59">
        <f t="shared" si="399"/>
        <v>0</v>
      </c>
    </row>
    <row r="4652" spans="12:16" ht="15" hidden="1" customHeight="1">
      <c r="L4652" s="58" t="str">
        <f t="shared" si="397"/>
        <v>-</v>
      </c>
      <c r="M4652" s="59">
        <f t="shared" si="395"/>
        <v>0</v>
      </c>
      <c r="N4652" s="59">
        <f t="shared" si="398"/>
        <v>0</v>
      </c>
      <c r="O4652" s="59">
        <f t="shared" si="396"/>
        <v>0</v>
      </c>
      <c r="P4652" s="59">
        <f t="shared" si="399"/>
        <v>0</v>
      </c>
    </row>
    <row r="4653" spans="12:16" ht="15" hidden="1" customHeight="1">
      <c r="L4653" s="58" t="str">
        <f t="shared" si="397"/>
        <v>-</v>
      </c>
      <c r="M4653" s="59">
        <f t="shared" si="395"/>
        <v>0</v>
      </c>
      <c r="N4653" s="59">
        <f t="shared" si="398"/>
        <v>0</v>
      </c>
      <c r="O4653" s="59">
        <f t="shared" si="396"/>
        <v>0</v>
      </c>
      <c r="P4653" s="59">
        <f t="shared" si="399"/>
        <v>0</v>
      </c>
    </row>
    <row r="4654" spans="12:16" ht="15" hidden="1" customHeight="1">
      <c r="L4654" s="58" t="str">
        <f t="shared" si="397"/>
        <v>-</v>
      </c>
      <c r="M4654" s="59">
        <f t="shared" si="395"/>
        <v>0</v>
      </c>
      <c r="N4654" s="59">
        <f t="shared" si="398"/>
        <v>0</v>
      </c>
      <c r="O4654" s="59">
        <f t="shared" si="396"/>
        <v>0</v>
      </c>
      <c r="P4654" s="59">
        <f t="shared" si="399"/>
        <v>0</v>
      </c>
    </row>
    <row r="4655" spans="12:16" ht="15" hidden="1" customHeight="1">
      <c r="L4655" s="58" t="str">
        <f t="shared" si="397"/>
        <v>-</v>
      </c>
      <c r="M4655" s="59">
        <f t="shared" si="395"/>
        <v>0</v>
      </c>
      <c r="N4655" s="59">
        <f t="shared" si="398"/>
        <v>0</v>
      </c>
      <c r="O4655" s="59">
        <f t="shared" si="396"/>
        <v>0</v>
      </c>
      <c r="P4655" s="59">
        <f t="shared" si="399"/>
        <v>0</v>
      </c>
    </row>
    <row r="4656" spans="12:16" ht="15" hidden="1" customHeight="1">
      <c r="L4656" s="58" t="str">
        <f t="shared" si="397"/>
        <v>-</v>
      </c>
      <c r="M4656" s="59">
        <f t="shared" si="395"/>
        <v>0</v>
      </c>
      <c r="N4656" s="59">
        <f t="shared" si="398"/>
        <v>0</v>
      </c>
      <c r="O4656" s="59">
        <f t="shared" si="396"/>
        <v>0</v>
      </c>
      <c r="P4656" s="59">
        <f t="shared" si="399"/>
        <v>0</v>
      </c>
    </row>
    <row r="4657" spans="12:16" ht="15" hidden="1" customHeight="1">
      <c r="L4657" s="58" t="str">
        <f t="shared" si="397"/>
        <v>-</v>
      </c>
      <c r="M4657" s="59">
        <f t="shared" si="395"/>
        <v>0</v>
      </c>
      <c r="N4657" s="59">
        <f t="shared" si="398"/>
        <v>0</v>
      </c>
      <c r="O4657" s="59">
        <f t="shared" si="396"/>
        <v>0</v>
      </c>
      <c r="P4657" s="59">
        <f t="shared" si="399"/>
        <v>0</v>
      </c>
    </row>
    <row r="4658" spans="12:16" ht="15" hidden="1" customHeight="1">
      <c r="L4658" s="58" t="str">
        <f t="shared" si="397"/>
        <v>-</v>
      </c>
      <c r="M4658" s="59">
        <f t="shared" si="395"/>
        <v>0</v>
      </c>
      <c r="N4658" s="59">
        <f t="shared" si="398"/>
        <v>0</v>
      </c>
      <c r="O4658" s="59">
        <f t="shared" si="396"/>
        <v>0</v>
      </c>
      <c r="P4658" s="59">
        <f t="shared" si="399"/>
        <v>0</v>
      </c>
    </row>
    <row r="4659" spans="12:16" ht="15" hidden="1" customHeight="1">
      <c r="L4659" s="58" t="str">
        <f t="shared" si="397"/>
        <v>-</v>
      </c>
      <c r="M4659" s="59">
        <f t="shared" si="395"/>
        <v>0</v>
      </c>
      <c r="N4659" s="59">
        <f t="shared" si="398"/>
        <v>0</v>
      </c>
      <c r="O4659" s="59">
        <f t="shared" si="396"/>
        <v>0</v>
      </c>
      <c r="P4659" s="59">
        <f t="shared" si="399"/>
        <v>0</v>
      </c>
    </row>
    <row r="4660" spans="12:16" ht="15" hidden="1" customHeight="1">
      <c r="L4660" s="58" t="str">
        <f t="shared" si="397"/>
        <v>-</v>
      </c>
      <c r="M4660" s="59">
        <f t="shared" si="395"/>
        <v>0</v>
      </c>
      <c r="N4660" s="59">
        <f t="shared" si="398"/>
        <v>0</v>
      </c>
      <c r="O4660" s="59">
        <f t="shared" si="396"/>
        <v>0</v>
      </c>
      <c r="P4660" s="59">
        <f t="shared" si="399"/>
        <v>0</v>
      </c>
    </row>
    <row r="4661" spans="12:16" ht="15" hidden="1" customHeight="1">
      <c r="L4661" s="58" t="str">
        <f t="shared" si="397"/>
        <v>-</v>
      </c>
      <c r="M4661" s="59">
        <f t="shared" si="395"/>
        <v>0</v>
      </c>
      <c r="N4661" s="59">
        <f t="shared" si="398"/>
        <v>0</v>
      </c>
      <c r="O4661" s="59">
        <f t="shared" si="396"/>
        <v>0</v>
      </c>
      <c r="P4661" s="59">
        <f t="shared" si="399"/>
        <v>0</v>
      </c>
    </row>
    <row r="4662" spans="12:16" ht="15" hidden="1" customHeight="1">
      <c r="L4662" s="58" t="str">
        <f t="shared" si="397"/>
        <v>-</v>
      </c>
      <c r="M4662" s="59">
        <f t="shared" si="395"/>
        <v>0</v>
      </c>
      <c r="N4662" s="59">
        <f t="shared" si="398"/>
        <v>0</v>
      </c>
      <c r="O4662" s="59">
        <f t="shared" si="396"/>
        <v>0</v>
      </c>
      <c r="P4662" s="59">
        <f t="shared" si="399"/>
        <v>0</v>
      </c>
    </row>
    <row r="4663" spans="12:16" ht="15" hidden="1" customHeight="1">
      <c r="L4663" s="58" t="str">
        <f t="shared" si="397"/>
        <v>-</v>
      </c>
      <c r="M4663" s="59">
        <f t="shared" si="395"/>
        <v>0</v>
      </c>
      <c r="N4663" s="59">
        <f t="shared" si="398"/>
        <v>0</v>
      </c>
      <c r="O4663" s="59">
        <f t="shared" si="396"/>
        <v>0</v>
      </c>
      <c r="P4663" s="59">
        <f t="shared" si="399"/>
        <v>0</v>
      </c>
    </row>
    <row r="4664" spans="12:16" ht="15" hidden="1" customHeight="1">
      <c r="L4664" s="58" t="str">
        <f t="shared" si="397"/>
        <v>-</v>
      </c>
      <c r="M4664" s="59">
        <f t="shared" si="395"/>
        <v>0</v>
      </c>
      <c r="N4664" s="59">
        <f t="shared" si="398"/>
        <v>0</v>
      </c>
      <c r="O4664" s="59">
        <f t="shared" si="396"/>
        <v>0</v>
      </c>
      <c r="P4664" s="59">
        <f t="shared" si="399"/>
        <v>0</v>
      </c>
    </row>
    <row r="4665" spans="12:16" ht="15" hidden="1" customHeight="1">
      <c r="L4665" s="58" t="str">
        <f t="shared" si="397"/>
        <v>-</v>
      </c>
      <c r="M4665" s="59">
        <f t="shared" si="395"/>
        <v>0</v>
      </c>
      <c r="N4665" s="59">
        <f t="shared" si="398"/>
        <v>0</v>
      </c>
      <c r="O4665" s="59">
        <f t="shared" si="396"/>
        <v>0</v>
      </c>
      <c r="P4665" s="59">
        <f t="shared" si="399"/>
        <v>0</v>
      </c>
    </row>
    <row r="4666" spans="12:16" ht="15" hidden="1" customHeight="1">
      <c r="L4666" s="58" t="str">
        <f t="shared" si="397"/>
        <v>-</v>
      </c>
      <c r="M4666" s="59">
        <f t="shared" si="395"/>
        <v>0</v>
      </c>
      <c r="N4666" s="59">
        <f t="shared" si="398"/>
        <v>0</v>
      </c>
      <c r="O4666" s="59">
        <f t="shared" si="396"/>
        <v>0</v>
      </c>
      <c r="P4666" s="59">
        <f t="shared" si="399"/>
        <v>0</v>
      </c>
    </row>
    <row r="4667" spans="12:16" ht="15" hidden="1" customHeight="1">
      <c r="L4667" s="58" t="str">
        <f t="shared" si="397"/>
        <v>-</v>
      </c>
      <c r="M4667" s="59">
        <f t="shared" si="395"/>
        <v>0</v>
      </c>
      <c r="N4667" s="59">
        <f t="shared" si="398"/>
        <v>0</v>
      </c>
      <c r="O4667" s="59">
        <f t="shared" si="396"/>
        <v>0</v>
      </c>
      <c r="P4667" s="59">
        <f t="shared" si="399"/>
        <v>0</v>
      </c>
    </row>
    <row r="4668" spans="12:16" ht="15" hidden="1" customHeight="1">
      <c r="L4668" s="58" t="str">
        <f t="shared" si="397"/>
        <v>-</v>
      </c>
      <c r="M4668" s="59">
        <f t="shared" si="395"/>
        <v>0</v>
      </c>
      <c r="N4668" s="59">
        <f t="shared" si="398"/>
        <v>0</v>
      </c>
      <c r="O4668" s="59">
        <f t="shared" si="396"/>
        <v>0</v>
      </c>
      <c r="P4668" s="59">
        <f t="shared" si="399"/>
        <v>0</v>
      </c>
    </row>
    <row r="4669" spans="12:16" ht="15" hidden="1" customHeight="1">
      <c r="L4669" s="58" t="str">
        <f t="shared" si="397"/>
        <v>-</v>
      </c>
      <c r="M4669" s="59">
        <f t="shared" si="395"/>
        <v>0</v>
      </c>
      <c r="N4669" s="59">
        <f t="shared" si="398"/>
        <v>0</v>
      </c>
      <c r="O4669" s="59">
        <f t="shared" si="396"/>
        <v>0</v>
      </c>
      <c r="P4669" s="59">
        <f t="shared" si="399"/>
        <v>0</v>
      </c>
    </row>
    <row r="4670" spans="12:16" ht="15" hidden="1" customHeight="1">
      <c r="L4670" s="58" t="str">
        <f t="shared" si="397"/>
        <v>-</v>
      </c>
      <c r="M4670" s="59">
        <f t="shared" si="395"/>
        <v>0</v>
      </c>
      <c r="N4670" s="59">
        <f t="shared" si="398"/>
        <v>0</v>
      </c>
      <c r="O4670" s="59">
        <f t="shared" si="396"/>
        <v>0</v>
      </c>
      <c r="P4670" s="59">
        <f t="shared" si="399"/>
        <v>0</v>
      </c>
    </row>
    <row r="4671" spans="12:16" ht="15" hidden="1" customHeight="1">
      <c r="L4671" s="58" t="str">
        <f t="shared" si="397"/>
        <v>-</v>
      </c>
      <c r="M4671" s="59">
        <f t="shared" si="395"/>
        <v>0</v>
      </c>
      <c r="N4671" s="59">
        <f t="shared" si="398"/>
        <v>0</v>
      </c>
      <c r="O4671" s="59">
        <f t="shared" si="396"/>
        <v>0</v>
      </c>
      <c r="P4671" s="59">
        <f t="shared" si="399"/>
        <v>0</v>
      </c>
    </row>
    <row r="4672" spans="12:16" ht="15" hidden="1" customHeight="1">
      <c r="L4672" s="58" t="str">
        <f t="shared" si="397"/>
        <v>-</v>
      </c>
      <c r="M4672" s="59">
        <f t="shared" si="395"/>
        <v>0</v>
      </c>
      <c r="N4672" s="59">
        <f t="shared" si="398"/>
        <v>0</v>
      </c>
      <c r="O4672" s="59">
        <f t="shared" si="396"/>
        <v>0</v>
      </c>
      <c r="P4672" s="59">
        <f t="shared" si="399"/>
        <v>0</v>
      </c>
    </row>
    <row r="4673" spans="12:16" ht="15" hidden="1" customHeight="1">
      <c r="L4673" s="58" t="str">
        <f t="shared" si="397"/>
        <v>-</v>
      </c>
      <c r="M4673" s="59">
        <f t="shared" si="395"/>
        <v>0</v>
      </c>
      <c r="N4673" s="59">
        <f t="shared" si="398"/>
        <v>0</v>
      </c>
      <c r="O4673" s="59">
        <f t="shared" si="396"/>
        <v>0</v>
      </c>
      <c r="P4673" s="59">
        <f t="shared" si="399"/>
        <v>0</v>
      </c>
    </row>
    <row r="4674" spans="12:16" ht="15" hidden="1" customHeight="1">
      <c r="L4674" s="58" t="str">
        <f t="shared" si="397"/>
        <v>-</v>
      </c>
      <c r="M4674" s="59">
        <f t="shared" si="395"/>
        <v>0</v>
      </c>
      <c r="N4674" s="59">
        <f t="shared" si="398"/>
        <v>0</v>
      </c>
      <c r="O4674" s="59">
        <f t="shared" si="396"/>
        <v>0</v>
      </c>
      <c r="P4674" s="59">
        <f t="shared" si="399"/>
        <v>0</v>
      </c>
    </row>
    <row r="4675" spans="12:16" ht="15" hidden="1" customHeight="1">
      <c r="L4675" s="58" t="str">
        <f t="shared" si="397"/>
        <v>-</v>
      </c>
      <c r="M4675" s="59">
        <f t="shared" si="395"/>
        <v>0</v>
      </c>
      <c r="N4675" s="59">
        <f t="shared" si="398"/>
        <v>0</v>
      </c>
      <c r="O4675" s="59">
        <f t="shared" si="396"/>
        <v>0</v>
      </c>
      <c r="P4675" s="59">
        <f t="shared" si="399"/>
        <v>0</v>
      </c>
    </row>
    <row r="4676" spans="12:16" ht="15" hidden="1" customHeight="1">
      <c r="L4676" s="58" t="str">
        <f t="shared" si="397"/>
        <v>-</v>
      </c>
      <c r="M4676" s="59">
        <f t="shared" si="395"/>
        <v>0</v>
      </c>
      <c r="N4676" s="59">
        <f t="shared" si="398"/>
        <v>0</v>
      </c>
      <c r="O4676" s="59">
        <f t="shared" si="396"/>
        <v>0</v>
      </c>
      <c r="P4676" s="59">
        <f t="shared" si="399"/>
        <v>0</v>
      </c>
    </row>
    <row r="4677" spans="12:16" ht="15" hidden="1" customHeight="1">
      <c r="L4677" s="58" t="str">
        <f t="shared" si="397"/>
        <v>-</v>
      </c>
      <c r="M4677" s="59">
        <f t="shared" si="395"/>
        <v>0</v>
      </c>
      <c r="N4677" s="59">
        <f t="shared" si="398"/>
        <v>0</v>
      </c>
      <c r="O4677" s="59">
        <f t="shared" si="396"/>
        <v>0</v>
      </c>
      <c r="P4677" s="59">
        <f t="shared" si="399"/>
        <v>0</v>
      </c>
    </row>
    <row r="4678" spans="12:16" ht="15" hidden="1" customHeight="1">
      <c r="L4678" s="58" t="str">
        <f t="shared" si="397"/>
        <v>-</v>
      </c>
      <c r="M4678" s="59">
        <f t="shared" si="395"/>
        <v>0</v>
      </c>
      <c r="N4678" s="59">
        <f t="shared" si="398"/>
        <v>0</v>
      </c>
      <c r="O4678" s="59">
        <f t="shared" si="396"/>
        <v>0</v>
      </c>
      <c r="P4678" s="59">
        <f t="shared" si="399"/>
        <v>0</v>
      </c>
    </row>
    <row r="4679" spans="12:16" ht="15" hidden="1" customHeight="1">
      <c r="L4679" s="58" t="str">
        <f t="shared" si="397"/>
        <v>-</v>
      </c>
      <c r="M4679" s="59">
        <f t="shared" si="395"/>
        <v>0</v>
      </c>
      <c r="N4679" s="59">
        <f t="shared" si="398"/>
        <v>0</v>
      </c>
      <c r="O4679" s="59">
        <f t="shared" si="396"/>
        <v>0</v>
      </c>
      <c r="P4679" s="59">
        <f t="shared" si="399"/>
        <v>0</v>
      </c>
    </row>
    <row r="4680" spans="12:16" ht="15" hidden="1" customHeight="1">
      <c r="L4680" s="58" t="str">
        <f t="shared" si="397"/>
        <v>-</v>
      </c>
      <c r="M4680" s="59">
        <f t="shared" si="395"/>
        <v>0</v>
      </c>
      <c r="N4680" s="59">
        <f t="shared" si="398"/>
        <v>0</v>
      </c>
      <c r="O4680" s="59">
        <f t="shared" si="396"/>
        <v>0</v>
      </c>
      <c r="P4680" s="59">
        <f t="shared" si="399"/>
        <v>0</v>
      </c>
    </row>
    <row r="4681" spans="12:16" ht="15" hidden="1" customHeight="1">
      <c r="L4681" s="58" t="str">
        <f t="shared" si="397"/>
        <v>-</v>
      </c>
      <c r="M4681" s="59">
        <f t="shared" si="395"/>
        <v>0</v>
      </c>
      <c r="N4681" s="59">
        <f t="shared" si="398"/>
        <v>0</v>
      </c>
      <c r="O4681" s="59">
        <f t="shared" si="396"/>
        <v>0</v>
      </c>
      <c r="P4681" s="59">
        <f t="shared" si="399"/>
        <v>0</v>
      </c>
    </row>
    <row r="4682" spans="12:16" ht="15" hidden="1" customHeight="1">
      <c r="L4682" s="58" t="str">
        <f t="shared" si="397"/>
        <v>-</v>
      </c>
      <c r="M4682" s="59">
        <f t="shared" si="395"/>
        <v>0</v>
      </c>
      <c r="N4682" s="59">
        <f t="shared" si="398"/>
        <v>0</v>
      </c>
      <c r="O4682" s="59">
        <f t="shared" si="396"/>
        <v>0</v>
      </c>
      <c r="P4682" s="59">
        <f t="shared" si="399"/>
        <v>0</v>
      </c>
    </row>
    <row r="4683" spans="12:16" ht="15" hidden="1" customHeight="1">
      <c r="L4683" s="58" t="str">
        <f t="shared" si="397"/>
        <v>-</v>
      </c>
      <c r="M4683" s="59">
        <f t="shared" si="395"/>
        <v>0</v>
      </c>
      <c r="N4683" s="59">
        <f t="shared" si="398"/>
        <v>0</v>
      </c>
      <c r="O4683" s="59">
        <f t="shared" si="396"/>
        <v>0</v>
      </c>
      <c r="P4683" s="59">
        <f t="shared" si="399"/>
        <v>0</v>
      </c>
    </row>
    <row r="4684" spans="12:16" ht="15" hidden="1" customHeight="1">
      <c r="L4684" s="58" t="str">
        <f t="shared" si="397"/>
        <v>-</v>
      </c>
      <c r="M4684" s="59">
        <f t="shared" si="395"/>
        <v>0</v>
      </c>
      <c r="N4684" s="59">
        <f t="shared" si="398"/>
        <v>0</v>
      </c>
      <c r="O4684" s="59">
        <f t="shared" si="396"/>
        <v>0</v>
      </c>
      <c r="P4684" s="59">
        <f t="shared" si="399"/>
        <v>0</v>
      </c>
    </row>
    <row r="4685" spans="12:16" ht="15" hidden="1" customHeight="1">
      <c r="L4685" s="58" t="str">
        <f t="shared" si="397"/>
        <v>-</v>
      </c>
      <c r="M4685" s="59">
        <f t="shared" si="395"/>
        <v>0</v>
      </c>
      <c r="N4685" s="59">
        <f t="shared" si="398"/>
        <v>0</v>
      </c>
      <c r="O4685" s="59">
        <f t="shared" si="396"/>
        <v>0</v>
      </c>
      <c r="P4685" s="59">
        <f t="shared" si="399"/>
        <v>0</v>
      </c>
    </row>
    <row r="4686" spans="12:16" ht="15" hidden="1" customHeight="1">
      <c r="L4686" s="58" t="str">
        <f t="shared" si="397"/>
        <v>-</v>
      </c>
      <c r="M4686" s="59">
        <f t="shared" si="395"/>
        <v>0</v>
      </c>
      <c r="N4686" s="59">
        <f t="shared" si="398"/>
        <v>0</v>
      </c>
      <c r="O4686" s="59">
        <f t="shared" si="396"/>
        <v>0</v>
      </c>
      <c r="P4686" s="59">
        <f t="shared" si="399"/>
        <v>0</v>
      </c>
    </row>
    <row r="4687" spans="12:16" ht="15" hidden="1" customHeight="1">
      <c r="L4687" s="58" t="str">
        <f t="shared" si="397"/>
        <v>-</v>
      </c>
      <c r="M4687" s="59">
        <f t="shared" si="395"/>
        <v>0</v>
      </c>
      <c r="N4687" s="59">
        <f t="shared" si="398"/>
        <v>0</v>
      </c>
      <c r="O4687" s="59">
        <f t="shared" si="396"/>
        <v>0</v>
      </c>
      <c r="P4687" s="59">
        <f t="shared" si="399"/>
        <v>0</v>
      </c>
    </row>
    <row r="4688" spans="12:16" ht="15" hidden="1" customHeight="1">
      <c r="L4688" s="58" t="str">
        <f t="shared" si="397"/>
        <v>-</v>
      </c>
      <c r="M4688" s="59">
        <f t="shared" si="395"/>
        <v>0</v>
      </c>
      <c r="N4688" s="59">
        <f t="shared" si="398"/>
        <v>0</v>
      </c>
      <c r="O4688" s="59">
        <f t="shared" si="396"/>
        <v>0</v>
      </c>
      <c r="P4688" s="59">
        <f t="shared" si="399"/>
        <v>0</v>
      </c>
    </row>
    <row r="4689" spans="12:16" ht="15" hidden="1" customHeight="1">
      <c r="L4689" s="58" t="str">
        <f t="shared" si="397"/>
        <v>-</v>
      </c>
      <c r="M4689" s="59">
        <f t="shared" si="395"/>
        <v>0</v>
      </c>
      <c r="N4689" s="59">
        <f t="shared" si="398"/>
        <v>0</v>
      </c>
      <c r="O4689" s="59">
        <f t="shared" si="396"/>
        <v>0</v>
      </c>
      <c r="P4689" s="59">
        <f t="shared" si="399"/>
        <v>0</v>
      </c>
    </row>
    <row r="4690" spans="12:16" ht="15" hidden="1" customHeight="1">
      <c r="L4690" s="58" t="str">
        <f t="shared" si="397"/>
        <v>-</v>
      </c>
      <c r="M4690" s="59">
        <f t="shared" si="395"/>
        <v>0</v>
      </c>
      <c r="N4690" s="59">
        <f t="shared" si="398"/>
        <v>0</v>
      </c>
      <c r="O4690" s="59">
        <f t="shared" si="396"/>
        <v>0</v>
      </c>
      <c r="P4690" s="59">
        <f t="shared" si="399"/>
        <v>0</v>
      </c>
    </row>
    <row r="4691" spans="12:16" ht="15" hidden="1" customHeight="1">
      <c r="L4691" s="58" t="str">
        <f t="shared" si="397"/>
        <v>-</v>
      </c>
      <c r="M4691" s="59">
        <f t="shared" ref="M4691:M4754" si="400">IFERROR(VLOOKUP(L4691,$B$19:$E$80,4,FALSE),0)</f>
        <v>0</v>
      </c>
      <c r="N4691" s="59">
        <f t="shared" si="398"/>
        <v>0</v>
      </c>
      <c r="O4691" s="59">
        <f t="shared" ref="O4691:O4754" si="401">IFERROR(IF(ISNUMBER(N4690),N4690,$E$8)*IF(L4691&gt;=$J$8,$E$12,$E$12)/IF(MOD(YEAR(L4691),4),365,366)*IF(ISBLANK(L4690),L4691-$F$5,L4691-L4690),0)</f>
        <v>0</v>
      </c>
      <c r="P4691" s="59">
        <f t="shared" si="399"/>
        <v>0</v>
      </c>
    </row>
    <row r="4692" spans="12:16" ht="15" hidden="1" customHeight="1">
      <c r="L4692" s="58" t="str">
        <f t="shared" si="397"/>
        <v>-</v>
      </c>
      <c r="M4692" s="59">
        <f t="shared" si="400"/>
        <v>0</v>
      </c>
      <c r="N4692" s="59">
        <f t="shared" si="398"/>
        <v>0</v>
      </c>
      <c r="O4692" s="59">
        <f t="shared" si="401"/>
        <v>0</v>
      </c>
      <c r="P4692" s="59">
        <f t="shared" si="399"/>
        <v>0</v>
      </c>
    </row>
    <row r="4693" spans="12:16" ht="15" hidden="1" customHeight="1">
      <c r="L4693" s="58" t="str">
        <f t="shared" si="397"/>
        <v>-</v>
      </c>
      <c r="M4693" s="59">
        <f t="shared" si="400"/>
        <v>0</v>
      </c>
      <c r="N4693" s="59">
        <f t="shared" si="398"/>
        <v>0</v>
      </c>
      <c r="O4693" s="59">
        <f t="shared" si="401"/>
        <v>0</v>
      </c>
      <c r="P4693" s="59">
        <f t="shared" si="399"/>
        <v>0</v>
      </c>
    </row>
    <row r="4694" spans="12:16" ht="15" hidden="1" customHeight="1">
      <c r="L4694" s="58" t="str">
        <f t="shared" si="397"/>
        <v>-</v>
      </c>
      <c r="M4694" s="59">
        <f t="shared" si="400"/>
        <v>0</v>
      </c>
      <c r="N4694" s="59">
        <f t="shared" si="398"/>
        <v>0</v>
      </c>
      <c r="O4694" s="59">
        <f t="shared" si="401"/>
        <v>0</v>
      </c>
      <c r="P4694" s="59">
        <f t="shared" si="399"/>
        <v>0</v>
      </c>
    </row>
    <row r="4695" spans="12:16" ht="15" hidden="1" customHeight="1">
      <c r="L4695" s="58" t="str">
        <f t="shared" si="397"/>
        <v>-</v>
      </c>
      <c r="M4695" s="59">
        <f t="shared" si="400"/>
        <v>0</v>
      </c>
      <c r="N4695" s="59">
        <f t="shared" si="398"/>
        <v>0</v>
      </c>
      <c r="O4695" s="59">
        <f t="shared" si="401"/>
        <v>0</v>
      </c>
      <c r="P4695" s="59">
        <f t="shared" si="399"/>
        <v>0</v>
      </c>
    </row>
    <row r="4696" spans="12:16" ht="15" hidden="1" customHeight="1">
      <c r="L4696" s="58" t="str">
        <f t="shared" si="397"/>
        <v>-</v>
      </c>
      <c r="M4696" s="59">
        <f t="shared" si="400"/>
        <v>0</v>
      </c>
      <c r="N4696" s="59">
        <f t="shared" si="398"/>
        <v>0</v>
      </c>
      <c r="O4696" s="59">
        <f t="shared" si="401"/>
        <v>0</v>
      </c>
      <c r="P4696" s="59">
        <f t="shared" si="399"/>
        <v>0</v>
      </c>
    </row>
    <row r="4697" spans="12:16" ht="15" hidden="1" customHeight="1">
      <c r="L4697" s="58" t="str">
        <f t="shared" si="397"/>
        <v>-</v>
      </c>
      <c r="M4697" s="59">
        <f t="shared" si="400"/>
        <v>0</v>
      </c>
      <c r="N4697" s="59">
        <f t="shared" si="398"/>
        <v>0</v>
      </c>
      <c r="O4697" s="59">
        <f t="shared" si="401"/>
        <v>0</v>
      </c>
      <c r="P4697" s="59">
        <f t="shared" si="399"/>
        <v>0</v>
      </c>
    </row>
    <row r="4698" spans="12:16" ht="15" hidden="1" customHeight="1">
      <c r="L4698" s="58" t="str">
        <f t="shared" si="397"/>
        <v>-</v>
      </c>
      <c r="M4698" s="59">
        <f t="shared" si="400"/>
        <v>0</v>
      </c>
      <c r="N4698" s="59">
        <f t="shared" si="398"/>
        <v>0</v>
      </c>
      <c r="O4698" s="59">
        <f t="shared" si="401"/>
        <v>0</v>
      </c>
      <c r="P4698" s="59">
        <f t="shared" si="399"/>
        <v>0</v>
      </c>
    </row>
    <row r="4699" spans="12:16" ht="15" hidden="1" customHeight="1">
      <c r="L4699" s="58" t="str">
        <f t="shared" si="397"/>
        <v>-</v>
      </c>
      <c r="M4699" s="59">
        <f t="shared" si="400"/>
        <v>0</v>
      </c>
      <c r="N4699" s="59">
        <f t="shared" si="398"/>
        <v>0</v>
      </c>
      <c r="O4699" s="59">
        <f t="shared" si="401"/>
        <v>0</v>
      </c>
      <c r="P4699" s="59">
        <f t="shared" si="399"/>
        <v>0</v>
      </c>
    </row>
    <row r="4700" spans="12:16" ht="15" hidden="1" customHeight="1">
      <c r="L4700" s="58" t="str">
        <f t="shared" si="397"/>
        <v>-</v>
      </c>
      <c r="M4700" s="59">
        <f t="shared" si="400"/>
        <v>0</v>
      </c>
      <c r="N4700" s="59">
        <f t="shared" si="398"/>
        <v>0</v>
      </c>
      <c r="O4700" s="59">
        <f t="shared" si="401"/>
        <v>0</v>
      </c>
      <c r="P4700" s="59">
        <f t="shared" si="399"/>
        <v>0</v>
      </c>
    </row>
    <row r="4701" spans="12:16" ht="15" hidden="1" customHeight="1">
      <c r="L4701" s="58" t="str">
        <f t="shared" si="397"/>
        <v>-</v>
      </c>
      <c r="M4701" s="59">
        <f t="shared" si="400"/>
        <v>0</v>
      </c>
      <c r="N4701" s="59">
        <f t="shared" si="398"/>
        <v>0</v>
      </c>
      <c r="O4701" s="59">
        <f t="shared" si="401"/>
        <v>0</v>
      </c>
      <c r="P4701" s="59">
        <f t="shared" si="399"/>
        <v>0</v>
      </c>
    </row>
    <row r="4702" spans="12:16" ht="15" hidden="1" customHeight="1">
      <c r="L4702" s="58" t="str">
        <f t="shared" si="397"/>
        <v>-</v>
      </c>
      <c r="M4702" s="59">
        <f t="shared" si="400"/>
        <v>0</v>
      </c>
      <c r="N4702" s="59">
        <f t="shared" si="398"/>
        <v>0</v>
      </c>
      <c r="O4702" s="59">
        <f t="shared" si="401"/>
        <v>0</v>
      </c>
      <c r="P4702" s="59">
        <f t="shared" si="399"/>
        <v>0</v>
      </c>
    </row>
    <row r="4703" spans="12:16" ht="15" hidden="1" customHeight="1">
      <c r="L4703" s="58" t="str">
        <f t="shared" si="397"/>
        <v>-</v>
      </c>
      <c r="M4703" s="59">
        <f t="shared" si="400"/>
        <v>0</v>
      </c>
      <c r="N4703" s="59">
        <f t="shared" si="398"/>
        <v>0</v>
      </c>
      <c r="O4703" s="59">
        <f t="shared" si="401"/>
        <v>0</v>
      </c>
      <c r="P4703" s="59">
        <f t="shared" si="399"/>
        <v>0</v>
      </c>
    </row>
    <row r="4704" spans="12:16" ht="15" hidden="1" customHeight="1">
      <c r="L4704" s="58" t="str">
        <f t="shared" si="397"/>
        <v>-</v>
      </c>
      <c r="M4704" s="59">
        <f t="shared" si="400"/>
        <v>0</v>
      </c>
      <c r="N4704" s="59">
        <f t="shared" si="398"/>
        <v>0</v>
      </c>
      <c r="O4704" s="59">
        <f t="shared" si="401"/>
        <v>0</v>
      </c>
      <c r="P4704" s="59">
        <f t="shared" si="399"/>
        <v>0</v>
      </c>
    </row>
    <row r="4705" spans="12:16" ht="15" hidden="1" customHeight="1">
      <c r="L4705" s="58" t="str">
        <f t="shared" ref="L4705:L4768" si="402">IFERROR(IF(MAX(L4704+1,$F$5+1)&gt;Дата_погашения_Займа,"-",MAX(L4704+1,$F$5+1)),"-")</f>
        <v>-</v>
      </c>
      <c r="M4705" s="59">
        <f t="shared" si="400"/>
        <v>0</v>
      </c>
      <c r="N4705" s="59">
        <f t="shared" si="398"/>
        <v>0</v>
      </c>
      <c r="O4705" s="59">
        <f t="shared" si="401"/>
        <v>0</v>
      </c>
      <c r="P4705" s="59">
        <f t="shared" si="399"/>
        <v>0</v>
      </c>
    </row>
    <row r="4706" spans="12:16" ht="15" hidden="1" customHeight="1">
      <c r="L4706" s="58" t="str">
        <f t="shared" si="402"/>
        <v>-</v>
      </c>
      <c r="M4706" s="59">
        <f t="shared" si="400"/>
        <v>0</v>
      </c>
      <c r="N4706" s="59">
        <f t="shared" si="398"/>
        <v>0</v>
      </c>
      <c r="O4706" s="59">
        <f t="shared" si="401"/>
        <v>0</v>
      </c>
      <c r="P4706" s="59">
        <f t="shared" si="399"/>
        <v>0</v>
      </c>
    </row>
    <row r="4707" spans="12:16" ht="15" hidden="1" customHeight="1">
      <c r="L4707" s="58" t="str">
        <f t="shared" si="402"/>
        <v>-</v>
      </c>
      <c r="M4707" s="59">
        <f t="shared" si="400"/>
        <v>0</v>
      </c>
      <c r="N4707" s="59">
        <f t="shared" si="398"/>
        <v>0</v>
      </c>
      <c r="O4707" s="59">
        <f t="shared" si="401"/>
        <v>0</v>
      </c>
      <c r="P4707" s="59">
        <f t="shared" si="399"/>
        <v>0</v>
      </c>
    </row>
    <row r="4708" spans="12:16" ht="15" hidden="1" customHeight="1">
      <c r="L4708" s="58" t="str">
        <f t="shared" si="402"/>
        <v>-</v>
      </c>
      <c r="M4708" s="59">
        <f t="shared" si="400"/>
        <v>0</v>
      </c>
      <c r="N4708" s="59">
        <f t="shared" si="398"/>
        <v>0</v>
      </c>
      <c r="O4708" s="59">
        <f t="shared" si="401"/>
        <v>0</v>
      </c>
      <c r="P4708" s="59">
        <f t="shared" si="399"/>
        <v>0</v>
      </c>
    </row>
    <row r="4709" spans="12:16" ht="15" hidden="1" customHeight="1">
      <c r="L4709" s="58" t="str">
        <f t="shared" si="402"/>
        <v>-</v>
      </c>
      <c r="M4709" s="59">
        <f t="shared" si="400"/>
        <v>0</v>
      </c>
      <c r="N4709" s="59">
        <f t="shared" si="398"/>
        <v>0</v>
      </c>
      <c r="O4709" s="59">
        <f t="shared" si="401"/>
        <v>0</v>
      </c>
      <c r="P4709" s="59">
        <f t="shared" si="399"/>
        <v>0</v>
      </c>
    </row>
    <row r="4710" spans="12:16" ht="15" hidden="1" customHeight="1">
      <c r="L4710" s="58" t="str">
        <f t="shared" si="402"/>
        <v>-</v>
      </c>
      <c r="M4710" s="59">
        <f t="shared" si="400"/>
        <v>0</v>
      </c>
      <c r="N4710" s="59">
        <f t="shared" si="398"/>
        <v>0</v>
      </c>
      <c r="O4710" s="59">
        <f t="shared" si="401"/>
        <v>0</v>
      </c>
      <c r="P4710" s="59">
        <f t="shared" si="399"/>
        <v>0</v>
      </c>
    </row>
    <row r="4711" spans="12:16" ht="15" hidden="1" customHeight="1">
      <c r="L4711" s="58" t="str">
        <f t="shared" si="402"/>
        <v>-</v>
      </c>
      <c r="M4711" s="59">
        <f t="shared" si="400"/>
        <v>0</v>
      </c>
      <c r="N4711" s="59">
        <f t="shared" si="398"/>
        <v>0</v>
      </c>
      <c r="O4711" s="59">
        <f t="shared" si="401"/>
        <v>0</v>
      </c>
      <c r="P4711" s="59">
        <f t="shared" si="399"/>
        <v>0</v>
      </c>
    </row>
    <row r="4712" spans="12:16" ht="15" hidden="1" customHeight="1">
      <c r="L4712" s="58" t="str">
        <f t="shared" si="402"/>
        <v>-</v>
      </c>
      <c r="M4712" s="59">
        <f t="shared" si="400"/>
        <v>0</v>
      </c>
      <c r="N4712" s="59">
        <f t="shared" si="398"/>
        <v>0</v>
      </c>
      <c r="O4712" s="59">
        <f t="shared" si="401"/>
        <v>0</v>
      </c>
      <c r="P4712" s="59">
        <f t="shared" si="399"/>
        <v>0</v>
      </c>
    </row>
    <row r="4713" spans="12:16" ht="15" hidden="1" customHeight="1">
      <c r="L4713" s="58" t="str">
        <f t="shared" si="402"/>
        <v>-</v>
      </c>
      <c r="M4713" s="59">
        <f t="shared" si="400"/>
        <v>0</v>
      </c>
      <c r="N4713" s="59">
        <f t="shared" ref="N4713:N4776" si="403">IF(ISNUMBER(N4712),N4712-M4713,$E$8)</f>
        <v>0</v>
      </c>
      <c r="O4713" s="59">
        <f t="shared" si="401"/>
        <v>0</v>
      </c>
      <c r="P4713" s="59">
        <f t="shared" ref="P4713:P4776" si="404">IFERROR(IF(ISNUMBER(N4712),N4712,$E$8)*3%/IF(MOD(YEAR(L4713),4),365,366)*IF(ISBLANK(L4712),(L4713-$F$5),L4713-L4712),0)</f>
        <v>0</v>
      </c>
    </row>
    <row r="4714" spans="12:16" ht="15" hidden="1" customHeight="1">
      <c r="L4714" s="58" t="str">
        <f t="shared" si="402"/>
        <v>-</v>
      </c>
      <c r="M4714" s="59">
        <f t="shared" si="400"/>
        <v>0</v>
      </c>
      <c r="N4714" s="59">
        <f t="shared" si="403"/>
        <v>0</v>
      </c>
      <c r="O4714" s="59">
        <f t="shared" si="401"/>
        <v>0</v>
      </c>
      <c r="P4714" s="59">
        <f t="shared" si="404"/>
        <v>0</v>
      </c>
    </row>
    <row r="4715" spans="12:16" ht="15" hidden="1" customHeight="1">
      <c r="L4715" s="58" t="str">
        <f t="shared" si="402"/>
        <v>-</v>
      </c>
      <c r="M4715" s="59">
        <f t="shared" si="400"/>
        <v>0</v>
      </c>
      <c r="N4715" s="59">
        <f t="shared" si="403"/>
        <v>0</v>
      </c>
      <c r="O4715" s="59">
        <f t="shared" si="401"/>
        <v>0</v>
      </c>
      <c r="P4715" s="59">
        <f t="shared" si="404"/>
        <v>0</v>
      </c>
    </row>
    <row r="4716" spans="12:16" ht="15" hidden="1" customHeight="1">
      <c r="L4716" s="58" t="str">
        <f t="shared" si="402"/>
        <v>-</v>
      </c>
      <c r="M4716" s="59">
        <f t="shared" si="400"/>
        <v>0</v>
      </c>
      <c r="N4716" s="59">
        <f t="shared" si="403"/>
        <v>0</v>
      </c>
      <c r="O4716" s="59">
        <f t="shared" si="401"/>
        <v>0</v>
      </c>
      <c r="P4716" s="59">
        <f t="shared" si="404"/>
        <v>0</v>
      </c>
    </row>
    <row r="4717" spans="12:16" ht="15" hidden="1" customHeight="1">
      <c r="L4717" s="58" t="str">
        <f t="shared" si="402"/>
        <v>-</v>
      </c>
      <c r="M4717" s="59">
        <f t="shared" si="400"/>
        <v>0</v>
      </c>
      <c r="N4717" s="59">
        <f t="shared" si="403"/>
        <v>0</v>
      </c>
      <c r="O4717" s="59">
        <f t="shared" si="401"/>
        <v>0</v>
      </c>
      <c r="P4717" s="59">
        <f t="shared" si="404"/>
        <v>0</v>
      </c>
    </row>
    <row r="4718" spans="12:16" ht="15" hidden="1" customHeight="1">
      <c r="L4718" s="58" t="str">
        <f t="shared" si="402"/>
        <v>-</v>
      </c>
      <c r="M4718" s="59">
        <f t="shared" si="400"/>
        <v>0</v>
      </c>
      <c r="N4718" s="59">
        <f t="shared" si="403"/>
        <v>0</v>
      </c>
      <c r="O4718" s="59">
        <f t="shared" si="401"/>
        <v>0</v>
      </c>
      <c r="P4718" s="59">
        <f t="shared" si="404"/>
        <v>0</v>
      </c>
    </row>
    <row r="4719" spans="12:16" ht="15" hidden="1" customHeight="1">
      <c r="L4719" s="58" t="str">
        <f t="shared" si="402"/>
        <v>-</v>
      </c>
      <c r="M4719" s="59">
        <f t="shared" si="400"/>
        <v>0</v>
      </c>
      <c r="N4719" s="59">
        <f t="shared" si="403"/>
        <v>0</v>
      </c>
      <c r="O4719" s="59">
        <f t="shared" si="401"/>
        <v>0</v>
      </c>
      <c r="P4719" s="59">
        <f t="shared" si="404"/>
        <v>0</v>
      </c>
    </row>
    <row r="4720" spans="12:16" ht="15" hidden="1" customHeight="1">
      <c r="L4720" s="58" t="str">
        <f t="shared" si="402"/>
        <v>-</v>
      </c>
      <c r="M4720" s="59">
        <f t="shared" si="400"/>
        <v>0</v>
      </c>
      <c r="N4720" s="59">
        <f t="shared" si="403"/>
        <v>0</v>
      </c>
      <c r="O4720" s="59">
        <f t="shared" si="401"/>
        <v>0</v>
      </c>
      <c r="P4720" s="59">
        <f t="shared" si="404"/>
        <v>0</v>
      </c>
    </row>
    <row r="4721" spans="12:16" ht="15" hidden="1" customHeight="1">
      <c r="L4721" s="58" t="str">
        <f t="shared" si="402"/>
        <v>-</v>
      </c>
      <c r="M4721" s="59">
        <f t="shared" si="400"/>
        <v>0</v>
      </c>
      <c r="N4721" s="59">
        <f t="shared" si="403"/>
        <v>0</v>
      </c>
      <c r="O4721" s="59">
        <f t="shared" si="401"/>
        <v>0</v>
      </c>
      <c r="P4721" s="59">
        <f t="shared" si="404"/>
        <v>0</v>
      </c>
    </row>
    <row r="4722" spans="12:16" ht="15" hidden="1" customHeight="1">
      <c r="L4722" s="58" t="str">
        <f t="shared" si="402"/>
        <v>-</v>
      </c>
      <c r="M4722" s="59">
        <f t="shared" si="400"/>
        <v>0</v>
      </c>
      <c r="N4722" s="59">
        <f t="shared" si="403"/>
        <v>0</v>
      </c>
      <c r="O4722" s="59">
        <f t="shared" si="401"/>
        <v>0</v>
      </c>
      <c r="P4722" s="59">
        <f t="shared" si="404"/>
        <v>0</v>
      </c>
    </row>
    <row r="4723" spans="12:16" ht="15" hidden="1" customHeight="1">
      <c r="L4723" s="58" t="str">
        <f t="shared" si="402"/>
        <v>-</v>
      </c>
      <c r="M4723" s="59">
        <f t="shared" si="400"/>
        <v>0</v>
      </c>
      <c r="N4723" s="59">
        <f t="shared" si="403"/>
        <v>0</v>
      </c>
      <c r="O4723" s="59">
        <f t="shared" si="401"/>
        <v>0</v>
      </c>
      <c r="P4723" s="59">
        <f t="shared" si="404"/>
        <v>0</v>
      </c>
    </row>
    <row r="4724" spans="12:16" ht="15" hidden="1" customHeight="1">
      <c r="L4724" s="58" t="str">
        <f t="shared" si="402"/>
        <v>-</v>
      </c>
      <c r="M4724" s="59">
        <f t="shared" si="400"/>
        <v>0</v>
      </c>
      <c r="N4724" s="59">
        <f t="shared" si="403"/>
        <v>0</v>
      </c>
      <c r="O4724" s="59">
        <f t="shared" si="401"/>
        <v>0</v>
      </c>
      <c r="P4724" s="59">
        <f t="shared" si="404"/>
        <v>0</v>
      </c>
    </row>
    <row r="4725" spans="12:16" ht="15" hidden="1" customHeight="1">
      <c r="L4725" s="58" t="str">
        <f t="shared" si="402"/>
        <v>-</v>
      </c>
      <c r="M4725" s="59">
        <f t="shared" si="400"/>
        <v>0</v>
      </c>
      <c r="N4725" s="59">
        <f t="shared" si="403"/>
        <v>0</v>
      </c>
      <c r="O4725" s="59">
        <f t="shared" si="401"/>
        <v>0</v>
      </c>
      <c r="P4725" s="59">
        <f t="shared" si="404"/>
        <v>0</v>
      </c>
    </row>
    <row r="4726" spans="12:16" ht="15" hidden="1" customHeight="1">
      <c r="L4726" s="58" t="str">
        <f t="shared" si="402"/>
        <v>-</v>
      </c>
      <c r="M4726" s="59">
        <f t="shared" si="400"/>
        <v>0</v>
      </c>
      <c r="N4726" s="59">
        <f t="shared" si="403"/>
        <v>0</v>
      </c>
      <c r="O4726" s="59">
        <f t="shared" si="401"/>
        <v>0</v>
      </c>
      <c r="P4726" s="59">
        <f t="shared" si="404"/>
        <v>0</v>
      </c>
    </row>
    <row r="4727" spans="12:16" ht="15" hidden="1" customHeight="1">
      <c r="L4727" s="58" t="str">
        <f t="shared" si="402"/>
        <v>-</v>
      </c>
      <c r="M4727" s="59">
        <f t="shared" si="400"/>
        <v>0</v>
      </c>
      <c r="N4727" s="59">
        <f t="shared" si="403"/>
        <v>0</v>
      </c>
      <c r="O4727" s="59">
        <f t="shared" si="401"/>
        <v>0</v>
      </c>
      <c r="P4727" s="59">
        <f t="shared" si="404"/>
        <v>0</v>
      </c>
    </row>
    <row r="4728" spans="12:16" ht="15" hidden="1" customHeight="1">
      <c r="L4728" s="58" t="str">
        <f t="shared" si="402"/>
        <v>-</v>
      </c>
      <c r="M4728" s="59">
        <f t="shared" si="400"/>
        <v>0</v>
      </c>
      <c r="N4728" s="59">
        <f t="shared" si="403"/>
        <v>0</v>
      </c>
      <c r="O4728" s="59">
        <f t="shared" si="401"/>
        <v>0</v>
      </c>
      <c r="P4728" s="59">
        <f t="shared" si="404"/>
        <v>0</v>
      </c>
    </row>
    <row r="4729" spans="12:16" ht="15" hidden="1" customHeight="1">
      <c r="L4729" s="58" t="str">
        <f t="shared" si="402"/>
        <v>-</v>
      </c>
      <c r="M4729" s="59">
        <f t="shared" si="400"/>
        <v>0</v>
      </c>
      <c r="N4729" s="59">
        <f t="shared" si="403"/>
        <v>0</v>
      </c>
      <c r="O4729" s="59">
        <f t="shared" si="401"/>
        <v>0</v>
      </c>
      <c r="P4729" s="59">
        <f t="shared" si="404"/>
        <v>0</v>
      </c>
    </row>
    <row r="4730" spans="12:16" ht="15" hidden="1" customHeight="1">
      <c r="L4730" s="58" t="str">
        <f t="shared" si="402"/>
        <v>-</v>
      </c>
      <c r="M4730" s="59">
        <f t="shared" si="400"/>
        <v>0</v>
      </c>
      <c r="N4730" s="59">
        <f t="shared" si="403"/>
        <v>0</v>
      </c>
      <c r="O4730" s="59">
        <f t="shared" si="401"/>
        <v>0</v>
      </c>
      <c r="P4730" s="59">
        <f t="shared" si="404"/>
        <v>0</v>
      </c>
    </row>
    <row r="4731" spans="12:16" ht="15" hidden="1" customHeight="1">
      <c r="L4731" s="58" t="str">
        <f t="shared" si="402"/>
        <v>-</v>
      </c>
      <c r="M4731" s="59">
        <f t="shared" si="400"/>
        <v>0</v>
      </c>
      <c r="N4731" s="59">
        <f t="shared" si="403"/>
        <v>0</v>
      </c>
      <c r="O4731" s="59">
        <f t="shared" si="401"/>
        <v>0</v>
      </c>
      <c r="P4731" s="59">
        <f t="shared" si="404"/>
        <v>0</v>
      </c>
    </row>
    <row r="4732" spans="12:16" ht="15" hidden="1" customHeight="1">
      <c r="L4732" s="58" t="str">
        <f t="shared" si="402"/>
        <v>-</v>
      </c>
      <c r="M4732" s="59">
        <f t="shared" si="400"/>
        <v>0</v>
      </c>
      <c r="N4732" s="59">
        <f t="shared" si="403"/>
        <v>0</v>
      </c>
      <c r="O4732" s="59">
        <f t="shared" si="401"/>
        <v>0</v>
      </c>
      <c r="P4732" s="59">
        <f t="shared" si="404"/>
        <v>0</v>
      </c>
    </row>
    <row r="4733" spans="12:16" ht="15" hidden="1" customHeight="1">
      <c r="L4733" s="58" t="str">
        <f t="shared" si="402"/>
        <v>-</v>
      </c>
      <c r="M4733" s="59">
        <f t="shared" si="400"/>
        <v>0</v>
      </c>
      <c r="N4733" s="59">
        <f t="shared" si="403"/>
        <v>0</v>
      </c>
      <c r="O4733" s="59">
        <f t="shared" si="401"/>
        <v>0</v>
      </c>
      <c r="P4733" s="59">
        <f t="shared" si="404"/>
        <v>0</v>
      </c>
    </row>
    <row r="4734" spans="12:16" ht="15" hidden="1" customHeight="1">
      <c r="L4734" s="58" t="str">
        <f t="shared" si="402"/>
        <v>-</v>
      </c>
      <c r="M4734" s="59">
        <f t="shared" si="400"/>
        <v>0</v>
      </c>
      <c r="N4734" s="59">
        <f t="shared" si="403"/>
        <v>0</v>
      </c>
      <c r="O4734" s="59">
        <f t="shared" si="401"/>
        <v>0</v>
      </c>
      <c r="P4734" s="59">
        <f t="shared" si="404"/>
        <v>0</v>
      </c>
    </row>
    <row r="4735" spans="12:16" ht="15" hidden="1" customHeight="1">
      <c r="L4735" s="58" t="str">
        <f t="shared" si="402"/>
        <v>-</v>
      </c>
      <c r="M4735" s="59">
        <f t="shared" si="400"/>
        <v>0</v>
      </c>
      <c r="N4735" s="59">
        <f t="shared" si="403"/>
        <v>0</v>
      </c>
      <c r="O4735" s="59">
        <f t="shared" si="401"/>
        <v>0</v>
      </c>
      <c r="P4735" s="59">
        <f t="shared" si="404"/>
        <v>0</v>
      </c>
    </row>
    <row r="4736" spans="12:16" ht="15" hidden="1" customHeight="1">
      <c r="L4736" s="58" t="str">
        <f t="shared" si="402"/>
        <v>-</v>
      </c>
      <c r="M4736" s="59">
        <f t="shared" si="400"/>
        <v>0</v>
      </c>
      <c r="N4736" s="59">
        <f t="shared" si="403"/>
        <v>0</v>
      </c>
      <c r="O4736" s="59">
        <f t="shared" si="401"/>
        <v>0</v>
      </c>
      <c r="P4736" s="59">
        <f t="shared" si="404"/>
        <v>0</v>
      </c>
    </row>
    <row r="4737" spans="12:16" ht="15" hidden="1" customHeight="1">
      <c r="L4737" s="58" t="str">
        <f t="shared" si="402"/>
        <v>-</v>
      </c>
      <c r="M4737" s="59">
        <f t="shared" si="400"/>
        <v>0</v>
      </c>
      <c r="N4737" s="59">
        <f t="shared" si="403"/>
        <v>0</v>
      </c>
      <c r="O4737" s="59">
        <f t="shared" si="401"/>
        <v>0</v>
      </c>
      <c r="P4737" s="59">
        <f t="shared" si="404"/>
        <v>0</v>
      </c>
    </row>
    <row r="4738" spans="12:16" ht="15" hidden="1" customHeight="1">
      <c r="L4738" s="58" t="str">
        <f t="shared" si="402"/>
        <v>-</v>
      </c>
      <c r="M4738" s="59">
        <f t="shared" si="400"/>
        <v>0</v>
      </c>
      <c r="N4738" s="59">
        <f t="shared" si="403"/>
        <v>0</v>
      </c>
      <c r="O4738" s="59">
        <f t="shared" si="401"/>
        <v>0</v>
      </c>
      <c r="P4738" s="59">
        <f t="shared" si="404"/>
        <v>0</v>
      </c>
    </row>
    <row r="4739" spans="12:16" ht="15" hidden="1" customHeight="1">
      <c r="L4739" s="58" t="str">
        <f t="shared" si="402"/>
        <v>-</v>
      </c>
      <c r="M4739" s="59">
        <f t="shared" si="400"/>
        <v>0</v>
      </c>
      <c r="N4739" s="59">
        <f t="shared" si="403"/>
        <v>0</v>
      </c>
      <c r="O4739" s="59">
        <f t="shared" si="401"/>
        <v>0</v>
      </c>
      <c r="P4739" s="59">
        <f t="shared" si="404"/>
        <v>0</v>
      </c>
    </row>
    <row r="4740" spans="12:16" ht="15" hidden="1" customHeight="1">
      <c r="L4740" s="58" t="str">
        <f t="shared" si="402"/>
        <v>-</v>
      </c>
      <c r="M4740" s="59">
        <f t="shared" si="400"/>
        <v>0</v>
      </c>
      <c r="N4740" s="59">
        <f t="shared" si="403"/>
        <v>0</v>
      </c>
      <c r="O4740" s="59">
        <f t="shared" si="401"/>
        <v>0</v>
      </c>
      <c r="P4740" s="59">
        <f t="shared" si="404"/>
        <v>0</v>
      </c>
    </row>
    <row r="4741" spans="12:16" ht="15" hidden="1" customHeight="1">
      <c r="L4741" s="58" t="str">
        <f t="shared" si="402"/>
        <v>-</v>
      </c>
      <c r="M4741" s="59">
        <f t="shared" si="400"/>
        <v>0</v>
      </c>
      <c r="N4741" s="59">
        <f t="shared" si="403"/>
        <v>0</v>
      </c>
      <c r="O4741" s="59">
        <f t="shared" si="401"/>
        <v>0</v>
      </c>
      <c r="P4741" s="59">
        <f t="shared" si="404"/>
        <v>0</v>
      </c>
    </row>
    <row r="4742" spans="12:16" ht="15" hidden="1" customHeight="1">
      <c r="L4742" s="58" t="str">
        <f t="shared" si="402"/>
        <v>-</v>
      </c>
      <c r="M4742" s="59">
        <f t="shared" si="400"/>
        <v>0</v>
      </c>
      <c r="N4742" s="59">
        <f t="shared" si="403"/>
        <v>0</v>
      </c>
      <c r="O4742" s="59">
        <f t="shared" si="401"/>
        <v>0</v>
      </c>
      <c r="P4742" s="59">
        <f t="shared" si="404"/>
        <v>0</v>
      </c>
    </row>
    <row r="4743" spans="12:16" ht="15" hidden="1" customHeight="1">
      <c r="L4743" s="58" t="str">
        <f t="shared" si="402"/>
        <v>-</v>
      </c>
      <c r="M4743" s="59">
        <f t="shared" si="400"/>
        <v>0</v>
      </c>
      <c r="N4743" s="59">
        <f t="shared" si="403"/>
        <v>0</v>
      </c>
      <c r="O4743" s="59">
        <f t="shared" si="401"/>
        <v>0</v>
      </c>
      <c r="P4743" s="59">
        <f t="shared" si="404"/>
        <v>0</v>
      </c>
    </row>
    <row r="4744" spans="12:16" ht="15" hidden="1" customHeight="1">
      <c r="L4744" s="58" t="str">
        <f t="shared" si="402"/>
        <v>-</v>
      </c>
      <c r="M4744" s="59">
        <f t="shared" si="400"/>
        <v>0</v>
      </c>
      <c r="N4744" s="59">
        <f t="shared" si="403"/>
        <v>0</v>
      </c>
      <c r="O4744" s="59">
        <f t="shared" si="401"/>
        <v>0</v>
      </c>
      <c r="P4744" s="59">
        <f t="shared" si="404"/>
        <v>0</v>
      </c>
    </row>
    <row r="4745" spans="12:16" ht="15" hidden="1" customHeight="1">
      <c r="L4745" s="58" t="str">
        <f t="shared" si="402"/>
        <v>-</v>
      </c>
      <c r="M4745" s="59">
        <f t="shared" si="400"/>
        <v>0</v>
      </c>
      <c r="N4745" s="59">
        <f t="shared" si="403"/>
        <v>0</v>
      </c>
      <c r="O4745" s="59">
        <f t="shared" si="401"/>
        <v>0</v>
      </c>
      <c r="P4745" s="59">
        <f t="shared" si="404"/>
        <v>0</v>
      </c>
    </row>
    <row r="4746" spans="12:16" ht="15" hidden="1" customHeight="1">
      <c r="L4746" s="58" t="str">
        <f t="shared" si="402"/>
        <v>-</v>
      </c>
      <c r="M4746" s="59">
        <f t="shared" si="400"/>
        <v>0</v>
      </c>
      <c r="N4746" s="59">
        <f t="shared" si="403"/>
        <v>0</v>
      </c>
      <c r="O4746" s="59">
        <f t="shared" si="401"/>
        <v>0</v>
      </c>
      <c r="P4746" s="59">
        <f t="shared" si="404"/>
        <v>0</v>
      </c>
    </row>
    <row r="4747" spans="12:16" ht="15" hidden="1" customHeight="1">
      <c r="L4747" s="58" t="str">
        <f t="shared" si="402"/>
        <v>-</v>
      </c>
      <c r="M4747" s="59">
        <f t="shared" si="400"/>
        <v>0</v>
      </c>
      <c r="N4747" s="59">
        <f t="shared" si="403"/>
        <v>0</v>
      </c>
      <c r="O4747" s="59">
        <f t="shared" si="401"/>
        <v>0</v>
      </c>
      <c r="P4747" s="59">
        <f t="shared" si="404"/>
        <v>0</v>
      </c>
    </row>
    <row r="4748" spans="12:16" ht="15" hidden="1" customHeight="1">
      <c r="L4748" s="58" t="str">
        <f t="shared" si="402"/>
        <v>-</v>
      </c>
      <c r="M4748" s="59">
        <f t="shared" si="400"/>
        <v>0</v>
      </c>
      <c r="N4748" s="59">
        <f t="shared" si="403"/>
        <v>0</v>
      </c>
      <c r="O4748" s="59">
        <f t="shared" si="401"/>
        <v>0</v>
      </c>
      <c r="P4748" s="59">
        <f t="shared" si="404"/>
        <v>0</v>
      </c>
    </row>
    <row r="4749" spans="12:16" ht="15" hidden="1" customHeight="1">
      <c r="L4749" s="58" t="str">
        <f t="shared" si="402"/>
        <v>-</v>
      </c>
      <c r="M4749" s="59">
        <f t="shared" si="400"/>
        <v>0</v>
      </c>
      <c r="N4749" s="59">
        <f t="shared" si="403"/>
        <v>0</v>
      </c>
      <c r="O4749" s="59">
        <f t="shared" si="401"/>
        <v>0</v>
      </c>
      <c r="P4749" s="59">
        <f t="shared" si="404"/>
        <v>0</v>
      </c>
    </row>
    <row r="4750" spans="12:16" ht="15" hidden="1" customHeight="1">
      <c r="L4750" s="58" t="str">
        <f t="shared" si="402"/>
        <v>-</v>
      </c>
      <c r="M4750" s="59">
        <f t="shared" si="400"/>
        <v>0</v>
      </c>
      <c r="N4750" s="59">
        <f t="shared" si="403"/>
        <v>0</v>
      </c>
      <c r="O4750" s="59">
        <f t="shared" si="401"/>
        <v>0</v>
      </c>
      <c r="P4750" s="59">
        <f t="shared" si="404"/>
        <v>0</v>
      </c>
    </row>
    <row r="4751" spans="12:16" ht="15" hidden="1" customHeight="1">
      <c r="L4751" s="58" t="str">
        <f t="shared" si="402"/>
        <v>-</v>
      </c>
      <c r="M4751" s="59">
        <f t="shared" si="400"/>
        <v>0</v>
      </c>
      <c r="N4751" s="59">
        <f t="shared" si="403"/>
        <v>0</v>
      </c>
      <c r="O4751" s="59">
        <f t="shared" si="401"/>
        <v>0</v>
      </c>
      <c r="P4751" s="59">
        <f t="shared" si="404"/>
        <v>0</v>
      </c>
    </row>
    <row r="4752" spans="12:16" ht="15" hidden="1" customHeight="1">
      <c r="L4752" s="58" t="str">
        <f t="shared" si="402"/>
        <v>-</v>
      </c>
      <c r="M4752" s="59">
        <f t="shared" si="400"/>
        <v>0</v>
      </c>
      <c r="N4752" s="59">
        <f t="shared" si="403"/>
        <v>0</v>
      </c>
      <c r="O4752" s="59">
        <f t="shared" si="401"/>
        <v>0</v>
      </c>
      <c r="P4752" s="59">
        <f t="shared" si="404"/>
        <v>0</v>
      </c>
    </row>
    <row r="4753" spans="12:16" ht="15" hidden="1" customHeight="1">
      <c r="L4753" s="58" t="str">
        <f t="shared" si="402"/>
        <v>-</v>
      </c>
      <c r="M4753" s="59">
        <f t="shared" si="400"/>
        <v>0</v>
      </c>
      <c r="N4753" s="59">
        <f t="shared" si="403"/>
        <v>0</v>
      </c>
      <c r="O4753" s="59">
        <f t="shared" si="401"/>
        <v>0</v>
      </c>
      <c r="P4753" s="59">
        <f t="shared" si="404"/>
        <v>0</v>
      </c>
    </row>
    <row r="4754" spans="12:16" ht="15" hidden="1" customHeight="1">
      <c r="L4754" s="58" t="str">
        <f t="shared" si="402"/>
        <v>-</v>
      </c>
      <c r="M4754" s="59">
        <f t="shared" si="400"/>
        <v>0</v>
      </c>
      <c r="N4754" s="59">
        <f t="shared" si="403"/>
        <v>0</v>
      </c>
      <c r="O4754" s="59">
        <f t="shared" si="401"/>
        <v>0</v>
      </c>
      <c r="P4754" s="59">
        <f t="shared" si="404"/>
        <v>0</v>
      </c>
    </row>
    <row r="4755" spans="12:16" ht="15" hidden="1" customHeight="1">
      <c r="L4755" s="58" t="str">
        <f t="shared" si="402"/>
        <v>-</v>
      </c>
      <c r="M4755" s="59">
        <f t="shared" ref="M4755:M4818" si="405">IFERROR(VLOOKUP(L4755,$B$19:$E$80,4,FALSE),0)</f>
        <v>0</v>
      </c>
      <c r="N4755" s="59">
        <f t="shared" si="403"/>
        <v>0</v>
      </c>
      <c r="O4755" s="59">
        <f t="shared" ref="O4755:O4818" si="406">IFERROR(IF(ISNUMBER(N4754),N4754,$E$8)*IF(L4755&gt;=$J$8,$E$12,$E$12)/IF(MOD(YEAR(L4755),4),365,366)*IF(ISBLANK(L4754),L4755-$F$5,L4755-L4754),0)</f>
        <v>0</v>
      </c>
      <c r="P4755" s="59">
        <f t="shared" si="404"/>
        <v>0</v>
      </c>
    </row>
    <row r="4756" spans="12:16" ht="15" hidden="1" customHeight="1">
      <c r="L4756" s="58" t="str">
        <f t="shared" si="402"/>
        <v>-</v>
      </c>
      <c r="M4756" s="59">
        <f t="shared" si="405"/>
        <v>0</v>
      </c>
      <c r="N4756" s="59">
        <f t="shared" si="403"/>
        <v>0</v>
      </c>
      <c r="O4756" s="59">
        <f t="shared" si="406"/>
        <v>0</v>
      </c>
      <c r="P4756" s="59">
        <f t="shared" si="404"/>
        <v>0</v>
      </c>
    </row>
    <row r="4757" spans="12:16" ht="15" hidden="1" customHeight="1">
      <c r="L4757" s="58" t="str">
        <f t="shared" si="402"/>
        <v>-</v>
      </c>
      <c r="M4757" s="59">
        <f t="shared" si="405"/>
        <v>0</v>
      </c>
      <c r="N4757" s="59">
        <f t="shared" si="403"/>
        <v>0</v>
      </c>
      <c r="O4757" s="59">
        <f t="shared" si="406"/>
        <v>0</v>
      </c>
      <c r="P4757" s="59">
        <f t="shared" si="404"/>
        <v>0</v>
      </c>
    </row>
    <row r="4758" spans="12:16" ht="15" hidden="1" customHeight="1">
      <c r="L4758" s="58" t="str">
        <f t="shared" si="402"/>
        <v>-</v>
      </c>
      <c r="M4758" s="59">
        <f t="shared" si="405"/>
        <v>0</v>
      </c>
      <c r="N4758" s="59">
        <f t="shared" si="403"/>
        <v>0</v>
      </c>
      <c r="O4758" s="59">
        <f t="shared" si="406"/>
        <v>0</v>
      </c>
      <c r="P4758" s="59">
        <f t="shared" si="404"/>
        <v>0</v>
      </c>
    </row>
    <row r="4759" spans="12:16" ht="15" hidden="1" customHeight="1">
      <c r="L4759" s="58" t="str">
        <f t="shared" si="402"/>
        <v>-</v>
      </c>
      <c r="M4759" s="59">
        <f t="shared" si="405"/>
        <v>0</v>
      </c>
      <c r="N4759" s="59">
        <f t="shared" si="403"/>
        <v>0</v>
      </c>
      <c r="O4759" s="59">
        <f t="shared" si="406"/>
        <v>0</v>
      </c>
      <c r="P4759" s="59">
        <f t="shared" si="404"/>
        <v>0</v>
      </c>
    </row>
    <row r="4760" spans="12:16" ht="15" hidden="1" customHeight="1">
      <c r="L4760" s="58" t="str">
        <f t="shared" si="402"/>
        <v>-</v>
      </c>
      <c r="M4760" s="59">
        <f t="shared" si="405"/>
        <v>0</v>
      </c>
      <c r="N4760" s="59">
        <f t="shared" si="403"/>
        <v>0</v>
      </c>
      <c r="O4760" s="59">
        <f t="shared" si="406"/>
        <v>0</v>
      </c>
      <c r="P4760" s="59">
        <f t="shared" si="404"/>
        <v>0</v>
      </c>
    </row>
    <row r="4761" spans="12:16" ht="15" hidden="1" customHeight="1">
      <c r="L4761" s="58" t="str">
        <f t="shared" si="402"/>
        <v>-</v>
      </c>
      <c r="M4761" s="59">
        <f t="shared" si="405"/>
        <v>0</v>
      </c>
      <c r="N4761" s="59">
        <f t="shared" si="403"/>
        <v>0</v>
      </c>
      <c r="O4761" s="59">
        <f t="shared" si="406"/>
        <v>0</v>
      </c>
      <c r="P4761" s="59">
        <f t="shared" si="404"/>
        <v>0</v>
      </c>
    </row>
    <row r="4762" spans="12:16" ht="15" hidden="1" customHeight="1">
      <c r="L4762" s="58" t="str">
        <f t="shared" si="402"/>
        <v>-</v>
      </c>
      <c r="M4762" s="59">
        <f t="shared" si="405"/>
        <v>0</v>
      </c>
      <c r="N4762" s="59">
        <f t="shared" si="403"/>
        <v>0</v>
      </c>
      <c r="O4762" s="59">
        <f t="shared" si="406"/>
        <v>0</v>
      </c>
      <c r="P4762" s="59">
        <f t="shared" si="404"/>
        <v>0</v>
      </c>
    </row>
    <row r="4763" spans="12:16" ht="15" hidden="1" customHeight="1">
      <c r="L4763" s="58" t="str">
        <f t="shared" si="402"/>
        <v>-</v>
      </c>
      <c r="M4763" s="59">
        <f t="shared" si="405"/>
        <v>0</v>
      </c>
      <c r="N4763" s="59">
        <f t="shared" si="403"/>
        <v>0</v>
      </c>
      <c r="O4763" s="59">
        <f t="shared" si="406"/>
        <v>0</v>
      </c>
      <c r="P4763" s="59">
        <f t="shared" si="404"/>
        <v>0</v>
      </c>
    </row>
    <row r="4764" spans="12:16" ht="15" hidden="1" customHeight="1">
      <c r="L4764" s="58" t="str">
        <f t="shared" si="402"/>
        <v>-</v>
      </c>
      <c r="M4764" s="59">
        <f t="shared" si="405"/>
        <v>0</v>
      </c>
      <c r="N4764" s="59">
        <f t="shared" si="403"/>
        <v>0</v>
      </c>
      <c r="O4764" s="59">
        <f t="shared" si="406"/>
        <v>0</v>
      </c>
      <c r="P4764" s="59">
        <f t="shared" si="404"/>
        <v>0</v>
      </c>
    </row>
    <row r="4765" spans="12:16" ht="15" hidden="1" customHeight="1">
      <c r="L4765" s="58" t="str">
        <f t="shared" si="402"/>
        <v>-</v>
      </c>
      <c r="M4765" s="59">
        <f t="shared" si="405"/>
        <v>0</v>
      </c>
      <c r="N4765" s="59">
        <f t="shared" si="403"/>
        <v>0</v>
      </c>
      <c r="O4765" s="59">
        <f t="shared" si="406"/>
        <v>0</v>
      </c>
      <c r="P4765" s="59">
        <f t="shared" si="404"/>
        <v>0</v>
      </c>
    </row>
    <row r="4766" spans="12:16" ht="15" hidden="1" customHeight="1">
      <c r="L4766" s="58" t="str">
        <f t="shared" si="402"/>
        <v>-</v>
      </c>
      <c r="M4766" s="59">
        <f t="shared" si="405"/>
        <v>0</v>
      </c>
      <c r="N4766" s="59">
        <f t="shared" si="403"/>
        <v>0</v>
      </c>
      <c r="O4766" s="59">
        <f t="shared" si="406"/>
        <v>0</v>
      </c>
      <c r="P4766" s="59">
        <f t="shared" si="404"/>
        <v>0</v>
      </c>
    </row>
    <row r="4767" spans="12:16" ht="15" hidden="1" customHeight="1">
      <c r="L4767" s="58" t="str">
        <f t="shared" si="402"/>
        <v>-</v>
      </c>
      <c r="M4767" s="59">
        <f t="shared" si="405"/>
        <v>0</v>
      </c>
      <c r="N4767" s="59">
        <f t="shared" si="403"/>
        <v>0</v>
      </c>
      <c r="O4767" s="59">
        <f t="shared" si="406"/>
        <v>0</v>
      </c>
      <c r="P4767" s="59">
        <f t="shared" si="404"/>
        <v>0</v>
      </c>
    </row>
    <row r="4768" spans="12:16" ht="15" hidden="1" customHeight="1">
      <c r="L4768" s="58" t="str">
        <f t="shared" si="402"/>
        <v>-</v>
      </c>
      <c r="M4768" s="59">
        <f t="shared" si="405"/>
        <v>0</v>
      </c>
      <c r="N4768" s="59">
        <f t="shared" si="403"/>
        <v>0</v>
      </c>
      <c r="O4768" s="59">
        <f t="shared" si="406"/>
        <v>0</v>
      </c>
      <c r="P4768" s="59">
        <f t="shared" si="404"/>
        <v>0</v>
      </c>
    </row>
    <row r="4769" spans="12:16" ht="15" hidden="1" customHeight="1">
      <c r="L4769" s="58" t="str">
        <f t="shared" ref="L4769:L4832" si="407">IFERROR(IF(MAX(L4768+1,$F$5+1)&gt;Дата_погашения_Займа,"-",MAX(L4768+1,$F$5+1)),"-")</f>
        <v>-</v>
      </c>
      <c r="M4769" s="59">
        <f t="shared" si="405"/>
        <v>0</v>
      </c>
      <c r="N4769" s="59">
        <f t="shared" si="403"/>
        <v>0</v>
      </c>
      <c r="O4769" s="59">
        <f t="shared" si="406"/>
        <v>0</v>
      </c>
      <c r="P4769" s="59">
        <f t="shared" si="404"/>
        <v>0</v>
      </c>
    </row>
    <row r="4770" spans="12:16" ht="15" hidden="1" customHeight="1">
      <c r="L4770" s="58" t="str">
        <f t="shared" si="407"/>
        <v>-</v>
      </c>
      <c r="M4770" s="59">
        <f t="shared" si="405"/>
        <v>0</v>
      </c>
      <c r="N4770" s="59">
        <f t="shared" si="403"/>
        <v>0</v>
      </c>
      <c r="O4770" s="59">
        <f t="shared" si="406"/>
        <v>0</v>
      </c>
      <c r="P4770" s="59">
        <f t="shared" si="404"/>
        <v>0</v>
      </c>
    </row>
    <row r="4771" spans="12:16" ht="15" hidden="1" customHeight="1">
      <c r="L4771" s="58" t="str">
        <f t="shared" si="407"/>
        <v>-</v>
      </c>
      <c r="M4771" s="59">
        <f t="shared" si="405"/>
        <v>0</v>
      </c>
      <c r="N4771" s="59">
        <f t="shared" si="403"/>
        <v>0</v>
      </c>
      <c r="O4771" s="59">
        <f t="shared" si="406"/>
        <v>0</v>
      </c>
      <c r="P4771" s="59">
        <f t="shared" si="404"/>
        <v>0</v>
      </c>
    </row>
    <row r="4772" spans="12:16" ht="15" hidden="1" customHeight="1">
      <c r="L4772" s="58" t="str">
        <f t="shared" si="407"/>
        <v>-</v>
      </c>
      <c r="M4772" s="59">
        <f t="shared" si="405"/>
        <v>0</v>
      </c>
      <c r="N4772" s="59">
        <f t="shared" si="403"/>
        <v>0</v>
      </c>
      <c r="O4772" s="59">
        <f t="shared" si="406"/>
        <v>0</v>
      </c>
      <c r="P4772" s="59">
        <f t="shared" si="404"/>
        <v>0</v>
      </c>
    </row>
    <row r="4773" spans="12:16" ht="15" hidden="1" customHeight="1">
      <c r="L4773" s="58" t="str">
        <f t="shared" si="407"/>
        <v>-</v>
      </c>
      <c r="M4773" s="59">
        <f t="shared" si="405"/>
        <v>0</v>
      </c>
      <c r="N4773" s="59">
        <f t="shared" si="403"/>
        <v>0</v>
      </c>
      <c r="O4773" s="59">
        <f t="shared" si="406"/>
        <v>0</v>
      </c>
      <c r="P4773" s="59">
        <f t="shared" si="404"/>
        <v>0</v>
      </c>
    </row>
    <row r="4774" spans="12:16" ht="15" hidden="1" customHeight="1">
      <c r="L4774" s="58" t="str">
        <f t="shared" si="407"/>
        <v>-</v>
      </c>
      <c r="M4774" s="59">
        <f t="shared" si="405"/>
        <v>0</v>
      </c>
      <c r="N4774" s="59">
        <f t="shared" si="403"/>
        <v>0</v>
      </c>
      <c r="O4774" s="59">
        <f t="shared" si="406"/>
        <v>0</v>
      </c>
      <c r="P4774" s="59">
        <f t="shared" si="404"/>
        <v>0</v>
      </c>
    </row>
    <row r="4775" spans="12:16" ht="15" hidden="1" customHeight="1">
      <c r="L4775" s="58" t="str">
        <f t="shared" si="407"/>
        <v>-</v>
      </c>
      <c r="M4775" s="59">
        <f t="shared" si="405"/>
        <v>0</v>
      </c>
      <c r="N4775" s="59">
        <f t="shared" si="403"/>
        <v>0</v>
      </c>
      <c r="O4775" s="59">
        <f t="shared" si="406"/>
        <v>0</v>
      </c>
      <c r="P4775" s="59">
        <f t="shared" si="404"/>
        <v>0</v>
      </c>
    </row>
    <row r="4776" spans="12:16" ht="15" hidden="1" customHeight="1">
      <c r="L4776" s="58" t="str">
        <f t="shared" si="407"/>
        <v>-</v>
      </c>
      <c r="M4776" s="59">
        <f t="shared" si="405"/>
        <v>0</v>
      </c>
      <c r="N4776" s="59">
        <f t="shared" si="403"/>
        <v>0</v>
      </c>
      <c r="O4776" s="59">
        <f t="shared" si="406"/>
        <v>0</v>
      </c>
      <c r="P4776" s="59">
        <f t="shared" si="404"/>
        <v>0</v>
      </c>
    </row>
    <row r="4777" spans="12:16" ht="15" hidden="1" customHeight="1">
      <c r="L4777" s="58" t="str">
        <f t="shared" si="407"/>
        <v>-</v>
      </c>
      <c r="M4777" s="59">
        <f t="shared" si="405"/>
        <v>0</v>
      </c>
      <c r="N4777" s="59">
        <f t="shared" ref="N4777:N4840" si="408">IF(ISNUMBER(N4776),N4776-M4777,$E$8)</f>
        <v>0</v>
      </c>
      <c r="O4777" s="59">
        <f t="shared" si="406"/>
        <v>0</v>
      </c>
      <c r="P4777" s="59">
        <f t="shared" ref="P4777:P4840" si="409">IFERROR(IF(ISNUMBER(N4776),N4776,$E$8)*3%/IF(MOD(YEAR(L4777),4),365,366)*IF(ISBLANK(L4776),(L4777-$F$5),L4777-L4776),0)</f>
        <v>0</v>
      </c>
    </row>
    <row r="4778" spans="12:16" ht="15" hidden="1" customHeight="1">
      <c r="L4778" s="58" t="str">
        <f t="shared" si="407"/>
        <v>-</v>
      </c>
      <c r="M4778" s="59">
        <f t="shared" si="405"/>
        <v>0</v>
      </c>
      <c r="N4778" s="59">
        <f t="shared" si="408"/>
        <v>0</v>
      </c>
      <c r="O4778" s="59">
        <f t="shared" si="406"/>
        <v>0</v>
      </c>
      <c r="P4778" s="59">
        <f t="shared" si="409"/>
        <v>0</v>
      </c>
    </row>
    <row r="4779" spans="12:16" ht="15" hidden="1" customHeight="1">
      <c r="L4779" s="58" t="str">
        <f t="shared" si="407"/>
        <v>-</v>
      </c>
      <c r="M4779" s="59">
        <f t="shared" si="405"/>
        <v>0</v>
      </c>
      <c r="N4779" s="59">
        <f t="shared" si="408"/>
        <v>0</v>
      </c>
      <c r="O4779" s="59">
        <f t="shared" si="406"/>
        <v>0</v>
      </c>
      <c r="P4779" s="59">
        <f t="shared" si="409"/>
        <v>0</v>
      </c>
    </row>
    <row r="4780" spans="12:16" ht="15" hidden="1" customHeight="1">
      <c r="L4780" s="58" t="str">
        <f t="shared" si="407"/>
        <v>-</v>
      </c>
      <c r="M4780" s="59">
        <f t="shared" si="405"/>
        <v>0</v>
      </c>
      <c r="N4780" s="59">
        <f t="shared" si="408"/>
        <v>0</v>
      </c>
      <c r="O4780" s="59">
        <f t="shared" si="406"/>
        <v>0</v>
      </c>
      <c r="P4780" s="59">
        <f t="shared" si="409"/>
        <v>0</v>
      </c>
    </row>
    <row r="4781" spans="12:16" ht="15" hidden="1" customHeight="1">
      <c r="L4781" s="58" t="str">
        <f t="shared" si="407"/>
        <v>-</v>
      </c>
      <c r="M4781" s="59">
        <f t="shared" si="405"/>
        <v>0</v>
      </c>
      <c r="N4781" s="59">
        <f t="shared" si="408"/>
        <v>0</v>
      </c>
      <c r="O4781" s="59">
        <f t="shared" si="406"/>
        <v>0</v>
      </c>
      <c r="P4781" s="59">
        <f t="shared" si="409"/>
        <v>0</v>
      </c>
    </row>
    <row r="4782" spans="12:16" ht="15" hidden="1" customHeight="1">
      <c r="L4782" s="58" t="str">
        <f t="shared" si="407"/>
        <v>-</v>
      </c>
      <c r="M4782" s="59">
        <f t="shared" si="405"/>
        <v>0</v>
      </c>
      <c r="N4782" s="59">
        <f t="shared" si="408"/>
        <v>0</v>
      </c>
      <c r="O4782" s="59">
        <f t="shared" si="406"/>
        <v>0</v>
      </c>
      <c r="P4782" s="59">
        <f t="shared" si="409"/>
        <v>0</v>
      </c>
    </row>
    <row r="4783" spans="12:16" ht="15" hidden="1" customHeight="1">
      <c r="L4783" s="58" t="str">
        <f t="shared" si="407"/>
        <v>-</v>
      </c>
      <c r="M4783" s="59">
        <f t="shared" si="405"/>
        <v>0</v>
      </c>
      <c r="N4783" s="59">
        <f t="shared" si="408"/>
        <v>0</v>
      </c>
      <c r="O4783" s="59">
        <f t="shared" si="406"/>
        <v>0</v>
      </c>
      <c r="P4783" s="59">
        <f t="shared" si="409"/>
        <v>0</v>
      </c>
    </row>
    <row r="4784" spans="12:16" ht="15" hidden="1" customHeight="1">
      <c r="L4784" s="58" t="str">
        <f t="shared" si="407"/>
        <v>-</v>
      </c>
      <c r="M4784" s="59">
        <f t="shared" si="405"/>
        <v>0</v>
      </c>
      <c r="N4784" s="59">
        <f t="shared" si="408"/>
        <v>0</v>
      </c>
      <c r="O4784" s="59">
        <f t="shared" si="406"/>
        <v>0</v>
      </c>
      <c r="P4784" s="59">
        <f t="shared" si="409"/>
        <v>0</v>
      </c>
    </row>
    <row r="4785" spans="12:16" ht="15" hidden="1" customHeight="1">
      <c r="L4785" s="58" t="str">
        <f t="shared" si="407"/>
        <v>-</v>
      </c>
      <c r="M4785" s="59">
        <f t="shared" si="405"/>
        <v>0</v>
      </c>
      <c r="N4785" s="59">
        <f t="shared" si="408"/>
        <v>0</v>
      </c>
      <c r="O4785" s="59">
        <f t="shared" si="406"/>
        <v>0</v>
      </c>
      <c r="P4785" s="59">
        <f t="shared" si="409"/>
        <v>0</v>
      </c>
    </row>
    <row r="4786" spans="12:16" ht="15" hidden="1" customHeight="1">
      <c r="L4786" s="58" t="str">
        <f t="shared" si="407"/>
        <v>-</v>
      </c>
      <c r="M4786" s="59">
        <f t="shared" si="405"/>
        <v>0</v>
      </c>
      <c r="N4786" s="59">
        <f t="shared" si="408"/>
        <v>0</v>
      </c>
      <c r="O4786" s="59">
        <f t="shared" si="406"/>
        <v>0</v>
      </c>
      <c r="P4786" s="59">
        <f t="shared" si="409"/>
        <v>0</v>
      </c>
    </row>
    <row r="4787" spans="12:16" ht="15" hidden="1" customHeight="1">
      <c r="L4787" s="58" t="str">
        <f t="shared" si="407"/>
        <v>-</v>
      </c>
      <c r="M4787" s="59">
        <f t="shared" si="405"/>
        <v>0</v>
      </c>
      <c r="N4787" s="59">
        <f t="shared" si="408"/>
        <v>0</v>
      </c>
      <c r="O4787" s="59">
        <f t="shared" si="406"/>
        <v>0</v>
      </c>
      <c r="P4787" s="59">
        <f t="shared" si="409"/>
        <v>0</v>
      </c>
    </row>
    <row r="4788" spans="12:16" ht="15" hidden="1" customHeight="1">
      <c r="L4788" s="58" t="str">
        <f t="shared" si="407"/>
        <v>-</v>
      </c>
      <c r="M4788" s="59">
        <f t="shared" si="405"/>
        <v>0</v>
      </c>
      <c r="N4788" s="59">
        <f t="shared" si="408"/>
        <v>0</v>
      </c>
      <c r="O4788" s="59">
        <f t="shared" si="406"/>
        <v>0</v>
      </c>
      <c r="P4788" s="59">
        <f t="shared" si="409"/>
        <v>0</v>
      </c>
    </row>
    <row r="4789" spans="12:16" ht="15" hidden="1" customHeight="1">
      <c r="L4789" s="58" t="str">
        <f t="shared" si="407"/>
        <v>-</v>
      </c>
      <c r="M4789" s="59">
        <f t="shared" si="405"/>
        <v>0</v>
      </c>
      <c r="N4789" s="59">
        <f t="shared" si="408"/>
        <v>0</v>
      </c>
      <c r="O4789" s="59">
        <f t="shared" si="406"/>
        <v>0</v>
      </c>
      <c r="P4789" s="59">
        <f t="shared" si="409"/>
        <v>0</v>
      </c>
    </row>
    <row r="4790" spans="12:16" ht="15" hidden="1" customHeight="1">
      <c r="L4790" s="58" t="str">
        <f t="shared" si="407"/>
        <v>-</v>
      </c>
      <c r="M4790" s="59">
        <f t="shared" si="405"/>
        <v>0</v>
      </c>
      <c r="N4790" s="59">
        <f t="shared" si="408"/>
        <v>0</v>
      </c>
      <c r="O4790" s="59">
        <f t="shared" si="406"/>
        <v>0</v>
      </c>
      <c r="P4790" s="59">
        <f t="shared" si="409"/>
        <v>0</v>
      </c>
    </row>
    <row r="4791" spans="12:16" ht="15" hidden="1" customHeight="1">
      <c r="L4791" s="58" t="str">
        <f t="shared" si="407"/>
        <v>-</v>
      </c>
      <c r="M4791" s="59">
        <f t="shared" si="405"/>
        <v>0</v>
      </c>
      <c r="N4791" s="59">
        <f t="shared" si="408"/>
        <v>0</v>
      </c>
      <c r="O4791" s="59">
        <f t="shared" si="406"/>
        <v>0</v>
      </c>
      <c r="P4791" s="59">
        <f t="shared" si="409"/>
        <v>0</v>
      </c>
    </row>
    <row r="4792" spans="12:16" ht="15" hidden="1" customHeight="1">
      <c r="L4792" s="58" t="str">
        <f t="shared" si="407"/>
        <v>-</v>
      </c>
      <c r="M4792" s="59">
        <f t="shared" si="405"/>
        <v>0</v>
      </c>
      <c r="N4792" s="59">
        <f t="shared" si="408"/>
        <v>0</v>
      </c>
      <c r="O4792" s="59">
        <f t="shared" si="406"/>
        <v>0</v>
      </c>
      <c r="P4792" s="59">
        <f t="shared" si="409"/>
        <v>0</v>
      </c>
    </row>
    <row r="4793" spans="12:16" ht="15" hidden="1" customHeight="1">
      <c r="L4793" s="58" t="str">
        <f t="shared" si="407"/>
        <v>-</v>
      </c>
      <c r="M4793" s="59">
        <f t="shared" si="405"/>
        <v>0</v>
      </c>
      <c r="N4793" s="59">
        <f t="shared" si="408"/>
        <v>0</v>
      </c>
      <c r="O4793" s="59">
        <f t="shared" si="406"/>
        <v>0</v>
      </c>
      <c r="P4793" s="59">
        <f t="shared" si="409"/>
        <v>0</v>
      </c>
    </row>
    <row r="4794" spans="12:16" ht="15" hidden="1" customHeight="1">
      <c r="L4794" s="58" t="str">
        <f t="shared" si="407"/>
        <v>-</v>
      </c>
      <c r="M4794" s="59">
        <f t="shared" si="405"/>
        <v>0</v>
      </c>
      <c r="N4794" s="59">
        <f t="shared" si="408"/>
        <v>0</v>
      </c>
      <c r="O4794" s="59">
        <f t="shared" si="406"/>
        <v>0</v>
      </c>
      <c r="P4794" s="59">
        <f t="shared" si="409"/>
        <v>0</v>
      </c>
    </row>
    <row r="4795" spans="12:16" ht="15" hidden="1" customHeight="1">
      <c r="L4795" s="58" t="str">
        <f t="shared" si="407"/>
        <v>-</v>
      </c>
      <c r="M4795" s="59">
        <f t="shared" si="405"/>
        <v>0</v>
      </c>
      <c r="N4795" s="59">
        <f t="shared" si="408"/>
        <v>0</v>
      </c>
      <c r="O4795" s="59">
        <f t="shared" si="406"/>
        <v>0</v>
      </c>
      <c r="P4795" s="59">
        <f t="shared" si="409"/>
        <v>0</v>
      </c>
    </row>
    <row r="4796" spans="12:16" ht="15" hidden="1" customHeight="1">
      <c r="L4796" s="58" t="str">
        <f t="shared" si="407"/>
        <v>-</v>
      </c>
      <c r="M4796" s="59">
        <f t="shared" si="405"/>
        <v>0</v>
      </c>
      <c r="N4796" s="59">
        <f t="shared" si="408"/>
        <v>0</v>
      </c>
      <c r="O4796" s="59">
        <f t="shared" si="406"/>
        <v>0</v>
      </c>
      <c r="P4796" s="59">
        <f t="shared" si="409"/>
        <v>0</v>
      </c>
    </row>
    <row r="4797" spans="12:16" ht="15" hidden="1" customHeight="1">
      <c r="L4797" s="58" t="str">
        <f t="shared" si="407"/>
        <v>-</v>
      </c>
      <c r="M4797" s="59">
        <f t="shared" si="405"/>
        <v>0</v>
      </c>
      <c r="N4797" s="59">
        <f t="shared" si="408"/>
        <v>0</v>
      </c>
      <c r="O4797" s="59">
        <f t="shared" si="406"/>
        <v>0</v>
      </c>
      <c r="P4797" s="59">
        <f t="shared" si="409"/>
        <v>0</v>
      </c>
    </row>
    <row r="4798" spans="12:16" ht="15" hidden="1" customHeight="1">
      <c r="L4798" s="58" t="str">
        <f t="shared" si="407"/>
        <v>-</v>
      </c>
      <c r="M4798" s="59">
        <f t="shared" si="405"/>
        <v>0</v>
      </c>
      <c r="N4798" s="59">
        <f t="shared" si="408"/>
        <v>0</v>
      </c>
      <c r="O4798" s="59">
        <f t="shared" si="406"/>
        <v>0</v>
      </c>
      <c r="P4798" s="59">
        <f t="shared" si="409"/>
        <v>0</v>
      </c>
    </row>
    <row r="4799" spans="12:16" ht="15" hidden="1" customHeight="1">
      <c r="L4799" s="58" t="str">
        <f t="shared" si="407"/>
        <v>-</v>
      </c>
      <c r="M4799" s="59">
        <f t="shared" si="405"/>
        <v>0</v>
      </c>
      <c r="N4799" s="59">
        <f t="shared" si="408"/>
        <v>0</v>
      </c>
      <c r="O4799" s="59">
        <f t="shared" si="406"/>
        <v>0</v>
      </c>
      <c r="P4799" s="59">
        <f t="shared" si="409"/>
        <v>0</v>
      </c>
    </row>
    <row r="4800" spans="12:16" ht="15" hidden="1" customHeight="1">
      <c r="L4800" s="58" t="str">
        <f t="shared" si="407"/>
        <v>-</v>
      </c>
      <c r="M4800" s="59">
        <f t="shared" si="405"/>
        <v>0</v>
      </c>
      <c r="N4800" s="59">
        <f t="shared" si="408"/>
        <v>0</v>
      </c>
      <c r="O4800" s="59">
        <f t="shared" si="406"/>
        <v>0</v>
      </c>
      <c r="P4800" s="59">
        <f t="shared" si="409"/>
        <v>0</v>
      </c>
    </row>
    <row r="4801" spans="12:16" ht="15" hidden="1" customHeight="1">
      <c r="L4801" s="58" t="str">
        <f t="shared" si="407"/>
        <v>-</v>
      </c>
      <c r="M4801" s="59">
        <f t="shared" si="405"/>
        <v>0</v>
      </c>
      <c r="N4801" s="59">
        <f t="shared" si="408"/>
        <v>0</v>
      </c>
      <c r="O4801" s="59">
        <f t="shared" si="406"/>
        <v>0</v>
      </c>
      <c r="P4801" s="59">
        <f t="shared" si="409"/>
        <v>0</v>
      </c>
    </row>
    <row r="4802" spans="12:16" ht="15" hidden="1" customHeight="1">
      <c r="L4802" s="58" t="str">
        <f t="shared" si="407"/>
        <v>-</v>
      </c>
      <c r="M4802" s="59">
        <f t="shared" si="405"/>
        <v>0</v>
      </c>
      <c r="N4802" s="59">
        <f t="shared" si="408"/>
        <v>0</v>
      </c>
      <c r="O4802" s="59">
        <f t="shared" si="406"/>
        <v>0</v>
      </c>
      <c r="P4802" s="59">
        <f t="shared" si="409"/>
        <v>0</v>
      </c>
    </row>
    <row r="4803" spans="12:16" ht="15" hidden="1" customHeight="1">
      <c r="L4803" s="58" t="str">
        <f t="shared" si="407"/>
        <v>-</v>
      </c>
      <c r="M4803" s="59">
        <f t="shared" si="405"/>
        <v>0</v>
      </c>
      <c r="N4803" s="59">
        <f t="shared" si="408"/>
        <v>0</v>
      </c>
      <c r="O4803" s="59">
        <f t="shared" si="406"/>
        <v>0</v>
      </c>
      <c r="P4803" s="59">
        <f t="shared" si="409"/>
        <v>0</v>
      </c>
    </row>
    <row r="4804" spans="12:16" ht="15" hidden="1" customHeight="1">
      <c r="L4804" s="58" t="str">
        <f t="shared" si="407"/>
        <v>-</v>
      </c>
      <c r="M4804" s="59">
        <f t="shared" si="405"/>
        <v>0</v>
      </c>
      <c r="N4804" s="59">
        <f t="shared" si="408"/>
        <v>0</v>
      </c>
      <c r="O4804" s="59">
        <f t="shared" si="406"/>
        <v>0</v>
      </c>
      <c r="P4804" s="59">
        <f t="shared" si="409"/>
        <v>0</v>
      </c>
    </row>
    <row r="4805" spans="12:16" ht="15" hidden="1" customHeight="1">
      <c r="L4805" s="58" t="str">
        <f t="shared" si="407"/>
        <v>-</v>
      </c>
      <c r="M4805" s="59">
        <f t="shared" si="405"/>
        <v>0</v>
      </c>
      <c r="N4805" s="59">
        <f t="shared" si="408"/>
        <v>0</v>
      </c>
      <c r="O4805" s="59">
        <f t="shared" si="406"/>
        <v>0</v>
      </c>
      <c r="P4805" s="59">
        <f t="shared" si="409"/>
        <v>0</v>
      </c>
    </row>
    <row r="4806" spans="12:16" ht="15" hidden="1" customHeight="1">
      <c r="L4806" s="58" t="str">
        <f t="shared" si="407"/>
        <v>-</v>
      </c>
      <c r="M4806" s="59">
        <f t="shared" si="405"/>
        <v>0</v>
      </c>
      <c r="N4806" s="59">
        <f t="shared" si="408"/>
        <v>0</v>
      </c>
      <c r="O4806" s="59">
        <f t="shared" si="406"/>
        <v>0</v>
      </c>
      <c r="P4806" s="59">
        <f t="shared" si="409"/>
        <v>0</v>
      </c>
    </row>
    <row r="4807" spans="12:16" ht="15" hidden="1" customHeight="1">
      <c r="L4807" s="58" t="str">
        <f t="shared" si="407"/>
        <v>-</v>
      </c>
      <c r="M4807" s="59">
        <f t="shared" si="405"/>
        <v>0</v>
      </c>
      <c r="N4807" s="59">
        <f t="shared" si="408"/>
        <v>0</v>
      </c>
      <c r="O4807" s="59">
        <f t="shared" si="406"/>
        <v>0</v>
      </c>
      <c r="P4807" s="59">
        <f t="shared" si="409"/>
        <v>0</v>
      </c>
    </row>
    <row r="4808" spans="12:16" ht="15" hidden="1" customHeight="1">
      <c r="L4808" s="58" t="str">
        <f t="shared" si="407"/>
        <v>-</v>
      </c>
      <c r="M4808" s="59">
        <f t="shared" si="405"/>
        <v>0</v>
      </c>
      <c r="N4808" s="59">
        <f t="shared" si="408"/>
        <v>0</v>
      </c>
      <c r="O4808" s="59">
        <f t="shared" si="406"/>
        <v>0</v>
      </c>
      <c r="P4808" s="59">
        <f t="shared" si="409"/>
        <v>0</v>
      </c>
    </row>
    <row r="4809" spans="12:16" ht="15" hidden="1" customHeight="1">
      <c r="L4809" s="58" t="str">
        <f t="shared" si="407"/>
        <v>-</v>
      </c>
      <c r="M4809" s="59">
        <f t="shared" si="405"/>
        <v>0</v>
      </c>
      <c r="N4809" s="59">
        <f t="shared" si="408"/>
        <v>0</v>
      </c>
      <c r="O4809" s="59">
        <f t="shared" si="406"/>
        <v>0</v>
      </c>
      <c r="P4809" s="59">
        <f t="shared" si="409"/>
        <v>0</v>
      </c>
    </row>
    <row r="4810" spans="12:16" ht="15" hidden="1" customHeight="1">
      <c r="L4810" s="58" t="str">
        <f t="shared" si="407"/>
        <v>-</v>
      </c>
      <c r="M4810" s="59">
        <f t="shared" si="405"/>
        <v>0</v>
      </c>
      <c r="N4810" s="59">
        <f t="shared" si="408"/>
        <v>0</v>
      </c>
      <c r="O4810" s="59">
        <f t="shared" si="406"/>
        <v>0</v>
      </c>
      <c r="P4810" s="59">
        <f t="shared" si="409"/>
        <v>0</v>
      </c>
    </row>
    <row r="4811" spans="12:16" ht="15" hidden="1" customHeight="1">
      <c r="L4811" s="58" t="str">
        <f t="shared" si="407"/>
        <v>-</v>
      </c>
      <c r="M4811" s="59">
        <f t="shared" si="405"/>
        <v>0</v>
      </c>
      <c r="N4811" s="59">
        <f t="shared" si="408"/>
        <v>0</v>
      </c>
      <c r="O4811" s="59">
        <f t="shared" si="406"/>
        <v>0</v>
      </c>
      <c r="P4811" s="59">
        <f t="shared" si="409"/>
        <v>0</v>
      </c>
    </row>
    <row r="4812" spans="12:16" ht="15" hidden="1" customHeight="1">
      <c r="L4812" s="58" t="str">
        <f t="shared" si="407"/>
        <v>-</v>
      </c>
      <c r="M4812" s="59">
        <f t="shared" si="405"/>
        <v>0</v>
      </c>
      <c r="N4812" s="59">
        <f t="shared" si="408"/>
        <v>0</v>
      </c>
      <c r="O4812" s="59">
        <f t="shared" si="406"/>
        <v>0</v>
      </c>
      <c r="P4812" s="59">
        <f t="shared" si="409"/>
        <v>0</v>
      </c>
    </row>
    <row r="4813" spans="12:16" ht="15" hidden="1" customHeight="1">
      <c r="L4813" s="58" t="str">
        <f t="shared" si="407"/>
        <v>-</v>
      </c>
      <c r="M4813" s="59">
        <f t="shared" si="405"/>
        <v>0</v>
      </c>
      <c r="N4813" s="59">
        <f t="shared" si="408"/>
        <v>0</v>
      </c>
      <c r="O4813" s="59">
        <f t="shared" si="406"/>
        <v>0</v>
      </c>
      <c r="P4813" s="59">
        <f t="shared" si="409"/>
        <v>0</v>
      </c>
    </row>
    <row r="4814" spans="12:16" ht="15" hidden="1" customHeight="1">
      <c r="L4814" s="58" t="str">
        <f t="shared" si="407"/>
        <v>-</v>
      </c>
      <c r="M4814" s="59">
        <f t="shared" si="405"/>
        <v>0</v>
      </c>
      <c r="N4814" s="59">
        <f t="shared" si="408"/>
        <v>0</v>
      </c>
      <c r="O4814" s="59">
        <f t="shared" si="406"/>
        <v>0</v>
      </c>
      <c r="P4814" s="59">
        <f t="shared" si="409"/>
        <v>0</v>
      </c>
    </row>
    <row r="4815" spans="12:16" ht="15" hidden="1" customHeight="1">
      <c r="L4815" s="58" t="str">
        <f t="shared" si="407"/>
        <v>-</v>
      </c>
      <c r="M4815" s="59">
        <f t="shared" si="405"/>
        <v>0</v>
      </c>
      <c r="N4815" s="59">
        <f t="shared" si="408"/>
        <v>0</v>
      </c>
      <c r="O4815" s="59">
        <f t="shared" si="406"/>
        <v>0</v>
      </c>
      <c r="P4815" s="59">
        <f t="shared" si="409"/>
        <v>0</v>
      </c>
    </row>
    <row r="4816" spans="12:16" ht="15" hidden="1" customHeight="1">
      <c r="L4816" s="58" t="str">
        <f t="shared" si="407"/>
        <v>-</v>
      </c>
      <c r="M4816" s="59">
        <f t="shared" si="405"/>
        <v>0</v>
      </c>
      <c r="N4816" s="59">
        <f t="shared" si="408"/>
        <v>0</v>
      </c>
      <c r="O4816" s="59">
        <f t="shared" si="406"/>
        <v>0</v>
      </c>
      <c r="P4816" s="59">
        <f t="shared" si="409"/>
        <v>0</v>
      </c>
    </row>
    <row r="4817" spans="12:16" ht="15" hidden="1" customHeight="1">
      <c r="L4817" s="58" t="str">
        <f t="shared" si="407"/>
        <v>-</v>
      </c>
      <c r="M4817" s="59">
        <f t="shared" si="405"/>
        <v>0</v>
      </c>
      <c r="N4817" s="59">
        <f t="shared" si="408"/>
        <v>0</v>
      </c>
      <c r="O4817" s="59">
        <f t="shared" si="406"/>
        <v>0</v>
      </c>
      <c r="P4817" s="59">
        <f t="shared" si="409"/>
        <v>0</v>
      </c>
    </row>
    <row r="4818" spans="12:16" ht="15" hidden="1" customHeight="1">
      <c r="L4818" s="58" t="str">
        <f t="shared" si="407"/>
        <v>-</v>
      </c>
      <c r="M4818" s="59">
        <f t="shared" si="405"/>
        <v>0</v>
      </c>
      <c r="N4818" s="59">
        <f t="shared" si="408"/>
        <v>0</v>
      </c>
      <c r="O4818" s="59">
        <f t="shared" si="406"/>
        <v>0</v>
      </c>
      <c r="P4818" s="59">
        <f t="shared" si="409"/>
        <v>0</v>
      </c>
    </row>
    <row r="4819" spans="12:16" ht="15" hidden="1" customHeight="1">
      <c r="L4819" s="58" t="str">
        <f t="shared" si="407"/>
        <v>-</v>
      </c>
      <c r="M4819" s="59">
        <f t="shared" ref="M4819:M4882" si="410">IFERROR(VLOOKUP(L4819,$B$19:$E$80,4,FALSE),0)</f>
        <v>0</v>
      </c>
      <c r="N4819" s="59">
        <f t="shared" si="408"/>
        <v>0</v>
      </c>
      <c r="O4819" s="59">
        <f t="shared" ref="O4819:O4882" si="411">IFERROR(IF(ISNUMBER(N4818),N4818,$E$8)*IF(L4819&gt;=$J$8,$E$12,$E$12)/IF(MOD(YEAR(L4819),4),365,366)*IF(ISBLANK(L4818),L4819-$F$5,L4819-L4818),0)</f>
        <v>0</v>
      </c>
      <c r="P4819" s="59">
        <f t="shared" si="409"/>
        <v>0</v>
      </c>
    </row>
    <row r="4820" spans="12:16" ht="15" hidden="1" customHeight="1">
      <c r="L4820" s="58" t="str">
        <f t="shared" si="407"/>
        <v>-</v>
      </c>
      <c r="M4820" s="59">
        <f t="shared" si="410"/>
        <v>0</v>
      </c>
      <c r="N4820" s="59">
        <f t="shared" si="408"/>
        <v>0</v>
      </c>
      <c r="O4820" s="59">
        <f t="shared" si="411"/>
        <v>0</v>
      </c>
      <c r="P4820" s="59">
        <f t="shared" si="409"/>
        <v>0</v>
      </c>
    </row>
    <row r="4821" spans="12:16" ht="15" hidden="1" customHeight="1">
      <c r="L4821" s="58" t="str">
        <f t="shared" si="407"/>
        <v>-</v>
      </c>
      <c r="M4821" s="59">
        <f t="shared" si="410"/>
        <v>0</v>
      </c>
      <c r="N4821" s="59">
        <f t="shared" si="408"/>
        <v>0</v>
      </c>
      <c r="O4821" s="59">
        <f t="shared" si="411"/>
        <v>0</v>
      </c>
      <c r="P4821" s="59">
        <f t="shared" si="409"/>
        <v>0</v>
      </c>
    </row>
    <row r="4822" spans="12:16" ht="15" hidden="1" customHeight="1">
      <c r="L4822" s="58" t="str">
        <f t="shared" si="407"/>
        <v>-</v>
      </c>
      <c r="M4822" s="59">
        <f t="shared" si="410"/>
        <v>0</v>
      </c>
      <c r="N4822" s="59">
        <f t="shared" si="408"/>
        <v>0</v>
      </c>
      <c r="O4822" s="59">
        <f t="shared" si="411"/>
        <v>0</v>
      </c>
      <c r="P4822" s="59">
        <f t="shared" si="409"/>
        <v>0</v>
      </c>
    </row>
    <row r="4823" spans="12:16" ht="15" hidden="1" customHeight="1">
      <c r="L4823" s="58" t="str">
        <f t="shared" si="407"/>
        <v>-</v>
      </c>
      <c r="M4823" s="59">
        <f t="shared" si="410"/>
        <v>0</v>
      </c>
      <c r="N4823" s="59">
        <f t="shared" si="408"/>
        <v>0</v>
      </c>
      <c r="O4823" s="59">
        <f t="shared" si="411"/>
        <v>0</v>
      </c>
      <c r="P4823" s="59">
        <f t="shared" si="409"/>
        <v>0</v>
      </c>
    </row>
    <row r="4824" spans="12:16" ht="15" hidden="1" customHeight="1">
      <c r="L4824" s="58" t="str">
        <f t="shared" si="407"/>
        <v>-</v>
      </c>
      <c r="M4824" s="59">
        <f t="shared" si="410"/>
        <v>0</v>
      </c>
      <c r="N4824" s="59">
        <f t="shared" si="408"/>
        <v>0</v>
      </c>
      <c r="O4824" s="59">
        <f t="shared" si="411"/>
        <v>0</v>
      </c>
      <c r="P4824" s="59">
        <f t="shared" si="409"/>
        <v>0</v>
      </c>
    </row>
    <row r="4825" spans="12:16" ht="15" hidden="1" customHeight="1">
      <c r="L4825" s="58" t="str">
        <f t="shared" si="407"/>
        <v>-</v>
      </c>
      <c r="M4825" s="59">
        <f t="shared" si="410"/>
        <v>0</v>
      </c>
      <c r="N4825" s="59">
        <f t="shared" si="408"/>
        <v>0</v>
      </c>
      <c r="O4825" s="59">
        <f t="shared" si="411"/>
        <v>0</v>
      </c>
      <c r="P4825" s="59">
        <f t="shared" si="409"/>
        <v>0</v>
      </c>
    </row>
    <row r="4826" spans="12:16" ht="15" hidden="1" customHeight="1">
      <c r="L4826" s="58" t="str">
        <f t="shared" si="407"/>
        <v>-</v>
      </c>
      <c r="M4826" s="59">
        <f t="shared" si="410"/>
        <v>0</v>
      </c>
      <c r="N4826" s="59">
        <f t="shared" si="408"/>
        <v>0</v>
      </c>
      <c r="O4826" s="59">
        <f t="shared" si="411"/>
        <v>0</v>
      </c>
      <c r="P4826" s="59">
        <f t="shared" si="409"/>
        <v>0</v>
      </c>
    </row>
    <row r="4827" spans="12:16" ht="15" hidden="1" customHeight="1">
      <c r="L4827" s="58" t="str">
        <f t="shared" si="407"/>
        <v>-</v>
      </c>
      <c r="M4827" s="59">
        <f t="shared" si="410"/>
        <v>0</v>
      </c>
      <c r="N4827" s="59">
        <f t="shared" si="408"/>
        <v>0</v>
      </c>
      <c r="O4827" s="59">
        <f t="shared" si="411"/>
        <v>0</v>
      </c>
      <c r="P4827" s="59">
        <f t="shared" si="409"/>
        <v>0</v>
      </c>
    </row>
    <row r="4828" spans="12:16" ht="15" hidden="1" customHeight="1">
      <c r="L4828" s="58" t="str">
        <f t="shared" si="407"/>
        <v>-</v>
      </c>
      <c r="M4828" s="59">
        <f t="shared" si="410"/>
        <v>0</v>
      </c>
      <c r="N4828" s="59">
        <f t="shared" si="408"/>
        <v>0</v>
      </c>
      <c r="O4828" s="59">
        <f t="shared" si="411"/>
        <v>0</v>
      </c>
      <c r="P4828" s="59">
        <f t="shared" si="409"/>
        <v>0</v>
      </c>
    </row>
    <row r="4829" spans="12:16" ht="15" hidden="1" customHeight="1">
      <c r="L4829" s="58" t="str">
        <f t="shared" si="407"/>
        <v>-</v>
      </c>
      <c r="M4829" s="59">
        <f t="shared" si="410"/>
        <v>0</v>
      </c>
      <c r="N4829" s="59">
        <f t="shared" si="408"/>
        <v>0</v>
      </c>
      <c r="O4829" s="59">
        <f t="shared" si="411"/>
        <v>0</v>
      </c>
      <c r="P4829" s="59">
        <f t="shared" si="409"/>
        <v>0</v>
      </c>
    </row>
    <row r="4830" spans="12:16" ht="15" hidden="1" customHeight="1">
      <c r="L4830" s="58" t="str">
        <f t="shared" si="407"/>
        <v>-</v>
      </c>
      <c r="M4830" s="59">
        <f t="shared" si="410"/>
        <v>0</v>
      </c>
      <c r="N4830" s="59">
        <f t="shared" si="408"/>
        <v>0</v>
      </c>
      <c r="O4830" s="59">
        <f t="shared" si="411"/>
        <v>0</v>
      </c>
      <c r="P4830" s="59">
        <f t="shared" si="409"/>
        <v>0</v>
      </c>
    </row>
    <row r="4831" spans="12:16" ht="15" hidden="1" customHeight="1">
      <c r="L4831" s="58" t="str">
        <f t="shared" si="407"/>
        <v>-</v>
      </c>
      <c r="M4831" s="59">
        <f t="shared" si="410"/>
        <v>0</v>
      </c>
      <c r="N4831" s="59">
        <f t="shared" si="408"/>
        <v>0</v>
      </c>
      <c r="O4831" s="59">
        <f t="shared" si="411"/>
        <v>0</v>
      </c>
      <c r="P4831" s="59">
        <f t="shared" si="409"/>
        <v>0</v>
      </c>
    </row>
    <row r="4832" spans="12:16" ht="15" hidden="1" customHeight="1">
      <c r="L4832" s="58" t="str">
        <f t="shared" si="407"/>
        <v>-</v>
      </c>
      <c r="M4832" s="59">
        <f t="shared" si="410"/>
        <v>0</v>
      </c>
      <c r="N4832" s="59">
        <f t="shared" si="408"/>
        <v>0</v>
      </c>
      <c r="O4832" s="59">
        <f t="shared" si="411"/>
        <v>0</v>
      </c>
      <c r="P4832" s="59">
        <f t="shared" si="409"/>
        <v>0</v>
      </c>
    </row>
    <row r="4833" spans="12:16" ht="15" hidden="1" customHeight="1">
      <c r="L4833" s="58" t="str">
        <f t="shared" ref="L4833:L4896" si="412">IFERROR(IF(MAX(L4832+1,$F$5+1)&gt;Дата_погашения_Займа,"-",MAX(L4832+1,$F$5+1)),"-")</f>
        <v>-</v>
      </c>
      <c r="M4833" s="59">
        <f t="shared" si="410"/>
        <v>0</v>
      </c>
      <c r="N4833" s="59">
        <f t="shared" si="408"/>
        <v>0</v>
      </c>
      <c r="O4833" s="59">
        <f t="shared" si="411"/>
        <v>0</v>
      </c>
      <c r="P4833" s="59">
        <f t="shared" si="409"/>
        <v>0</v>
      </c>
    </row>
    <row r="4834" spans="12:16" ht="15" hidden="1" customHeight="1">
      <c r="L4834" s="58" t="str">
        <f t="shared" si="412"/>
        <v>-</v>
      </c>
      <c r="M4834" s="59">
        <f t="shared" si="410"/>
        <v>0</v>
      </c>
      <c r="N4834" s="59">
        <f t="shared" si="408"/>
        <v>0</v>
      </c>
      <c r="O4834" s="59">
        <f t="shared" si="411"/>
        <v>0</v>
      </c>
      <c r="P4834" s="59">
        <f t="shared" si="409"/>
        <v>0</v>
      </c>
    </row>
    <row r="4835" spans="12:16" ht="15" hidden="1" customHeight="1">
      <c r="L4835" s="58" t="str">
        <f t="shared" si="412"/>
        <v>-</v>
      </c>
      <c r="M4835" s="59">
        <f t="shared" si="410"/>
        <v>0</v>
      </c>
      <c r="N4835" s="59">
        <f t="shared" si="408"/>
        <v>0</v>
      </c>
      <c r="O4835" s="59">
        <f t="shared" si="411"/>
        <v>0</v>
      </c>
      <c r="P4835" s="59">
        <f t="shared" si="409"/>
        <v>0</v>
      </c>
    </row>
    <row r="4836" spans="12:16" ht="15" hidden="1" customHeight="1">
      <c r="L4836" s="58" t="str">
        <f t="shared" si="412"/>
        <v>-</v>
      </c>
      <c r="M4836" s="59">
        <f t="shared" si="410"/>
        <v>0</v>
      </c>
      <c r="N4836" s="59">
        <f t="shared" si="408"/>
        <v>0</v>
      </c>
      <c r="O4836" s="59">
        <f t="shared" si="411"/>
        <v>0</v>
      </c>
      <c r="P4836" s="59">
        <f t="shared" si="409"/>
        <v>0</v>
      </c>
    </row>
    <row r="4837" spans="12:16" ht="15" hidden="1" customHeight="1">
      <c r="L4837" s="58" t="str">
        <f t="shared" si="412"/>
        <v>-</v>
      </c>
      <c r="M4837" s="59">
        <f t="shared" si="410"/>
        <v>0</v>
      </c>
      <c r="N4837" s="59">
        <f t="shared" si="408"/>
        <v>0</v>
      </c>
      <c r="O4837" s="59">
        <f t="shared" si="411"/>
        <v>0</v>
      </c>
      <c r="P4837" s="59">
        <f t="shared" si="409"/>
        <v>0</v>
      </c>
    </row>
    <row r="4838" spans="12:16" ht="15" hidden="1" customHeight="1">
      <c r="L4838" s="58" t="str">
        <f t="shared" si="412"/>
        <v>-</v>
      </c>
      <c r="M4838" s="59">
        <f t="shared" si="410"/>
        <v>0</v>
      </c>
      <c r="N4838" s="59">
        <f t="shared" si="408"/>
        <v>0</v>
      </c>
      <c r="O4838" s="59">
        <f t="shared" si="411"/>
        <v>0</v>
      </c>
      <c r="P4838" s="59">
        <f t="shared" si="409"/>
        <v>0</v>
      </c>
    </row>
    <row r="4839" spans="12:16" ht="15" hidden="1" customHeight="1">
      <c r="L4839" s="58" t="str">
        <f t="shared" si="412"/>
        <v>-</v>
      </c>
      <c r="M4839" s="59">
        <f t="shared" si="410"/>
        <v>0</v>
      </c>
      <c r="N4839" s="59">
        <f t="shared" si="408"/>
        <v>0</v>
      </c>
      <c r="O4839" s="59">
        <f t="shared" si="411"/>
        <v>0</v>
      </c>
      <c r="P4839" s="59">
        <f t="shared" si="409"/>
        <v>0</v>
      </c>
    </row>
    <row r="4840" spans="12:16" ht="15" hidden="1" customHeight="1">
      <c r="L4840" s="58" t="str">
        <f t="shared" si="412"/>
        <v>-</v>
      </c>
      <c r="M4840" s="59">
        <f t="shared" si="410"/>
        <v>0</v>
      </c>
      <c r="N4840" s="59">
        <f t="shared" si="408"/>
        <v>0</v>
      </c>
      <c r="O4840" s="59">
        <f t="shared" si="411"/>
        <v>0</v>
      </c>
      <c r="P4840" s="59">
        <f t="shared" si="409"/>
        <v>0</v>
      </c>
    </row>
    <row r="4841" spans="12:16" ht="15" hidden="1" customHeight="1">
      <c r="L4841" s="58" t="str">
        <f t="shared" si="412"/>
        <v>-</v>
      </c>
      <c r="M4841" s="59">
        <f t="shared" si="410"/>
        <v>0</v>
      </c>
      <c r="N4841" s="59">
        <f t="shared" ref="N4841:N4904" si="413">IF(ISNUMBER(N4840),N4840-M4841,$E$8)</f>
        <v>0</v>
      </c>
      <c r="O4841" s="59">
        <f t="shared" si="411"/>
        <v>0</v>
      </c>
      <c r="P4841" s="59">
        <f t="shared" ref="P4841:P4904" si="414">IFERROR(IF(ISNUMBER(N4840),N4840,$E$8)*3%/IF(MOD(YEAR(L4841),4),365,366)*IF(ISBLANK(L4840),(L4841-$F$5),L4841-L4840),0)</f>
        <v>0</v>
      </c>
    </row>
    <row r="4842" spans="12:16" ht="15" hidden="1" customHeight="1">
      <c r="L4842" s="58" t="str">
        <f t="shared" si="412"/>
        <v>-</v>
      </c>
      <c r="M4842" s="59">
        <f t="shared" si="410"/>
        <v>0</v>
      </c>
      <c r="N4842" s="59">
        <f t="shared" si="413"/>
        <v>0</v>
      </c>
      <c r="O4842" s="59">
        <f t="shared" si="411"/>
        <v>0</v>
      </c>
      <c r="P4842" s="59">
        <f t="shared" si="414"/>
        <v>0</v>
      </c>
    </row>
    <row r="4843" spans="12:16" ht="15" hidden="1" customHeight="1">
      <c r="L4843" s="58" t="str">
        <f t="shared" si="412"/>
        <v>-</v>
      </c>
      <c r="M4843" s="59">
        <f t="shared" si="410"/>
        <v>0</v>
      </c>
      <c r="N4843" s="59">
        <f t="shared" si="413"/>
        <v>0</v>
      </c>
      <c r="O4843" s="59">
        <f t="shared" si="411"/>
        <v>0</v>
      </c>
      <c r="P4843" s="59">
        <f t="shared" si="414"/>
        <v>0</v>
      </c>
    </row>
    <row r="4844" spans="12:16" ht="15" hidden="1" customHeight="1">
      <c r="L4844" s="58" t="str">
        <f t="shared" si="412"/>
        <v>-</v>
      </c>
      <c r="M4844" s="59">
        <f t="shared" si="410"/>
        <v>0</v>
      </c>
      <c r="N4844" s="59">
        <f t="shared" si="413"/>
        <v>0</v>
      </c>
      <c r="O4844" s="59">
        <f t="shared" si="411"/>
        <v>0</v>
      </c>
      <c r="P4844" s="59">
        <f t="shared" si="414"/>
        <v>0</v>
      </c>
    </row>
    <row r="4845" spans="12:16" ht="15" hidden="1" customHeight="1">
      <c r="L4845" s="58" t="str">
        <f t="shared" si="412"/>
        <v>-</v>
      </c>
      <c r="M4845" s="59">
        <f t="shared" si="410"/>
        <v>0</v>
      </c>
      <c r="N4845" s="59">
        <f t="shared" si="413"/>
        <v>0</v>
      </c>
      <c r="O4845" s="59">
        <f t="shared" si="411"/>
        <v>0</v>
      </c>
      <c r="P4845" s="59">
        <f t="shared" si="414"/>
        <v>0</v>
      </c>
    </row>
    <row r="4846" spans="12:16" ht="15" hidden="1" customHeight="1">
      <c r="L4846" s="58" t="str">
        <f t="shared" si="412"/>
        <v>-</v>
      </c>
      <c r="M4846" s="59">
        <f t="shared" si="410"/>
        <v>0</v>
      </c>
      <c r="N4846" s="59">
        <f t="shared" si="413"/>
        <v>0</v>
      </c>
      <c r="O4846" s="59">
        <f t="shared" si="411"/>
        <v>0</v>
      </c>
      <c r="P4846" s="59">
        <f t="shared" si="414"/>
        <v>0</v>
      </c>
    </row>
    <row r="4847" spans="12:16" ht="15" hidden="1" customHeight="1">
      <c r="L4847" s="58" t="str">
        <f t="shared" si="412"/>
        <v>-</v>
      </c>
      <c r="M4847" s="59">
        <f t="shared" si="410"/>
        <v>0</v>
      </c>
      <c r="N4847" s="59">
        <f t="shared" si="413"/>
        <v>0</v>
      </c>
      <c r="O4847" s="59">
        <f t="shared" si="411"/>
        <v>0</v>
      </c>
      <c r="P4847" s="59">
        <f t="shared" si="414"/>
        <v>0</v>
      </c>
    </row>
    <row r="4848" spans="12:16" ht="15" hidden="1" customHeight="1">
      <c r="L4848" s="58" t="str">
        <f t="shared" si="412"/>
        <v>-</v>
      </c>
      <c r="M4848" s="59">
        <f t="shared" si="410"/>
        <v>0</v>
      </c>
      <c r="N4848" s="59">
        <f t="shared" si="413"/>
        <v>0</v>
      </c>
      <c r="O4848" s="59">
        <f t="shared" si="411"/>
        <v>0</v>
      </c>
      <c r="P4848" s="59">
        <f t="shared" si="414"/>
        <v>0</v>
      </c>
    </row>
    <row r="4849" spans="12:16" ht="15" hidden="1" customHeight="1">
      <c r="L4849" s="58" t="str">
        <f t="shared" si="412"/>
        <v>-</v>
      </c>
      <c r="M4849" s="59">
        <f t="shared" si="410"/>
        <v>0</v>
      </c>
      <c r="N4849" s="59">
        <f t="shared" si="413"/>
        <v>0</v>
      </c>
      <c r="O4849" s="59">
        <f t="shared" si="411"/>
        <v>0</v>
      </c>
      <c r="P4849" s="59">
        <f t="shared" si="414"/>
        <v>0</v>
      </c>
    </row>
    <row r="4850" spans="12:16" ht="15" hidden="1" customHeight="1">
      <c r="L4850" s="58" t="str">
        <f t="shared" si="412"/>
        <v>-</v>
      </c>
      <c r="M4850" s="59">
        <f t="shared" si="410"/>
        <v>0</v>
      </c>
      <c r="N4850" s="59">
        <f t="shared" si="413"/>
        <v>0</v>
      </c>
      <c r="O4850" s="59">
        <f t="shared" si="411"/>
        <v>0</v>
      </c>
      <c r="P4850" s="59">
        <f t="shared" si="414"/>
        <v>0</v>
      </c>
    </row>
    <row r="4851" spans="12:16" ht="15" hidden="1" customHeight="1">
      <c r="L4851" s="58" t="str">
        <f t="shared" si="412"/>
        <v>-</v>
      </c>
      <c r="M4851" s="59">
        <f t="shared" si="410"/>
        <v>0</v>
      </c>
      <c r="N4851" s="59">
        <f t="shared" si="413"/>
        <v>0</v>
      </c>
      <c r="O4851" s="59">
        <f t="shared" si="411"/>
        <v>0</v>
      </c>
      <c r="P4851" s="59">
        <f t="shared" si="414"/>
        <v>0</v>
      </c>
    </row>
    <row r="4852" spans="12:16" ht="15" hidden="1" customHeight="1">
      <c r="L4852" s="58" t="str">
        <f t="shared" si="412"/>
        <v>-</v>
      </c>
      <c r="M4852" s="59">
        <f t="shared" si="410"/>
        <v>0</v>
      </c>
      <c r="N4852" s="59">
        <f t="shared" si="413"/>
        <v>0</v>
      </c>
      <c r="O4852" s="59">
        <f t="shared" si="411"/>
        <v>0</v>
      </c>
      <c r="P4852" s="59">
        <f t="shared" si="414"/>
        <v>0</v>
      </c>
    </row>
    <row r="4853" spans="12:16" ht="15" hidden="1" customHeight="1">
      <c r="L4853" s="58" t="str">
        <f t="shared" si="412"/>
        <v>-</v>
      </c>
      <c r="M4853" s="59">
        <f t="shared" si="410"/>
        <v>0</v>
      </c>
      <c r="N4853" s="59">
        <f t="shared" si="413"/>
        <v>0</v>
      </c>
      <c r="O4853" s="59">
        <f t="shared" si="411"/>
        <v>0</v>
      </c>
      <c r="P4853" s="59">
        <f t="shared" si="414"/>
        <v>0</v>
      </c>
    </row>
    <row r="4854" spans="12:16" ht="15" hidden="1" customHeight="1">
      <c r="L4854" s="58" t="str">
        <f t="shared" si="412"/>
        <v>-</v>
      </c>
      <c r="M4854" s="59">
        <f t="shared" si="410"/>
        <v>0</v>
      </c>
      <c r="N4854" s="59">
        <f t="shared" si="413"/>
        <v>0</v>
      </c>
      <c r="O4854" s="59">
        <f t="shared" si="411"/>
        <v>0</v>
      </c>
      <c r="P4854" s="59">
        <f t="shared" si="414"/>
        <v>0</v>
      </c>
    </row>
    <row r="4855" spans="12:16" ht="15" hidden="1" customHeight="1">
      <c r="L4855" s="58" t="str">
        <f t="shared" si="412"/>
        <v>-</v>
      </c>
      <c r="M4855" s="59">
        <f t="shared" si="410"/>
        <v>0</v>
      </c>
      <c r="N4855" s="59">
        <f t="shared" si="413"/>
        <v>0</v>
      </c>
      <c r="O4855" s="59">
        <f t="shared" si="411"/>
        <v>0</v>
      </c>
      <c r="P4855" s="59">
        <f t="shared" si="414"/>
        <v>0</v>
      </c>
    </row>
    <row r="4856" spans="12:16" ht="15" hidden="1" customHeight="1">
      <c r="L4856" s="58" t="str">
        <f t="shared" si="412"/>
        <v>-</v>
      </c>
      <c r="M4856" s="59">
        <f t="shared" si="410"/>
        <v>0</v>
      </c>
      <c r="N4856" s="59">
        <f t="shared" si="413"/>
        <v>0</v>
      </c>
      <c r="O4856" s="59">
        <f t="shared" si="411"/>
        <v>0</v>
      </c>
      <c r="P4856" s="59">
        <f t="shared" si="414"/>
        <v>0</v>
      </c>
    </row>
    <row r="4857" spans="12:16" ht="15" hidden="1" customHeight="1">
      <c r="L4857" s="58" t="str">
        <f t="shared" si="412"/>
        <v>-</v>
      </c>
      <c r="M4857" s="59">
        <f t="shared" si="410"/>
        <v>0</v>
      </c>
      <c r="N4857" s="59">
        <f t="shared" si="413"/>
        <v>0</v>
      </c>
      <c r="O4857" s="59">
        <f t="shared" si="411"/>
        <v>0</v>
      </c>
      <c r="P4857" s="59">
        <f t="shared" si="414"/>
        <v>0</v>
      </c>
    </row>
    <row r="4858" spans="12:16" ht="15" hidden="1" customHeight="1">
      <c r="L4858" s="58" t="str">
        <f t="shared" si="412"/>
        <v>-</v>
      </c>
      <c r="M4858" s="59">
        <f t="shared" si="410"/>
        <v>0</v>
      </c>
      <c r="N4858" s="59">
        <f t="shared" si="413"/>
        <v>0</v>
      </c>
      <c r="O4858" s="59">
        <f t="shared" si="411"/>
        <v>0</v>
      </c>
      <c r="P4858" s="59">
        <f t="shared" si="414"/>
        <v>0</v>
      </c>
    </row>
    <row r="4859" spans="12:16" ht="15" hidden="1" customHeight="1">
      <c r="L4859" s="58" t="str">
        <f t="shared" si="412"/>
        <v>-</v>
      </c>
      <c r="M4859" s="59">
        <f t="shared" si="410"/>
        <v>0</v>
      </c>
      <c r="N4859" s="59">
        <f t="shared" si="413"/>
        <v>0</v>
      </c>
      <c r="O4859" s="59">
        <f t="shared" si="411"/>
        <v>0</v>
      </c>
      <c r="P4859" s="59">
        <f t="shared" si="414"/>
        <v>0</v>
      </c>
    </row>
    <row r="4860" spans="12:16" ht="15" hidden="1" customHeight="1">
      <c r="L4860" s="58" t="str">
        <f t="shared" si="412"/>
        <v>-</v>
      </c>
      <c r="M4860" s="59">
        <f t="shared" si="410"/>
        <v>0</v>
      </c>
      <c r="N4860" s="59">
        <f t="shared" si="413"/>
        <v>0</v>
      </c>
      <c r="O4860" s="59">
        <f t="shared" si="411"/>
        <v>0</v>
      </c>
      <c r="P4860" s="59">
        <f t="shared" si="414"/>
        <v>0</v>
      </c>
    </row>
    <row r="4861" spans="12:16" ht="15" hidden="1" customHeight="1">
      <c r="L4861" s="58" t="str">
        <f t="shared" si="412"/>
        <v>-</v>
      </c>
      <c r="M4861" s="59">
        <f t="shared" si="410"/>
        <v>0</v>
      </c>
      <c r="N4861" s="59">
        <f t="shared" si="413"/>
        <v>0</v>
      </c>
      <c r="O4861" s="59">
        <f t="shared" si="411"/>
        <v>0</v>
      </c>
      <c r="P4861" s="59">
        <f t="shared" si="414"/>
        <v>0</v>
      </c>
    </row>
    <row r="4862" spans="12:16" ht="15" hidden="1" customHeight="1">
      <c r="L4862" s="58" t="str">
        <f t="shared" si="412"/>
        <v>-</v>
      </c>
      <c r="M4862" s="59">
        <f t="shared" si="410"/>
        <v>0</v>
      </c>
      <c r="N4862" s="59">
        <f t="shared" si="413"/>
        <v>0</v>
      </c>
      <c r="O4862" s="59">
        <f t="shared" si="411"/>
        <v>0</v>
      </c>
      <c r="P4862" s="59">
        <f t="shared" si="414"/>
        <v>0</v>
      </c>
    </row>
    <row r="4863" spans="12:16" ht="15" hidden="1" customHeight="1">
      <c r="L4863" s="58" t="str">
        <f t="shared" si="412"/>
        <v>-</v>
      </c>
      <c r="M4863" s="59">
        <f t="shared" si="410"/>
        <v>0</v>
      </c>
      <c r="N4863" s="59">
        <f t="shared" si="413"/>
        <v>0</v>
      </c>
      <c r="O4863" s="59">
        <f t="shared" si="411"/>
        <v>0</v>
      </c>
      <c r="P4863" s="59">
        <f t="shared" si="414"/>
        <v>0</v>
      </c>
    </row>
    <row r="4864" spans="12:16" ht="15" hidden="1" customHeight="1">
      <c r="L4864" s="58" t="str">
        <f t="shared" si="412"/>
        <v>-</v>
      </c>
      <c r="M4864" s="59">
        <f t="shared" si="410"/>
        <v>0</v>
      </c>
      <c r="N4864" s="59">
        <f t="shared" si="413"/>
        <v>0</v>
      </c>
      <c r="O4864" s="59">
        <f t="shared" si="411"/>
        <v>0</v>
      </c>
      <c r="P4864" s="59">
        <f t="shared" si="414"/>
        <v>0</v>
      </c>
    </row>
    <row r="4865" spans="12:16" ht="15" hidden="1" customHeight="1">
      <c r="L4865" s="58" t="str">
        <f t="shared" si="412"/>
        <v>-</v>
      </c>
      <c r="M4865" s="59">
        <f t="shared" si="410"/>
        <v>0</v>
      </c>
      <c r="N4865" s="59">
        <f t="shared" si="413"/>
        <v>0</v>
      </c>
      <c r="O4865" s="59">
        <f t="shared" si="411"/>
        <v>0</v>
      </c>
      <c r="P4865" s="59">
        <f t="shared" si="414"/>
        <v>0</v>
      </c>
    </row>
    <row r="4866" spans="12:16" ht="15" hidden="1" customHeight="1">
      <c r="L4866" s="58" t="str">
        <f t="shared" si="412"/>
        <v>-</v>
      </c>
      <c r="M4866" s="59">
        <f t="shared" si="410"/>
        <v>0</v>
      </c>
      <c r="N4866" s="59">
        <f t="shared" si="413"/>
        <v>0</v>
      </c>
      <c r="O4866" s="59">
        <f t="shared" si="411"/>
        <v>0</v>
      </c>
      <c r="P4866" s="59">
        <f t="shared" si="414"/>
        <v>0</v>
      </c>
    </row>
    <row r="4867" spans="12:16" ht="15" hidden="1" customHeight="1">
      <c r="L4867" s="58" t="str">
        <f t="shared" si="412"/>
        <v>-</v>
      </c>
      <c r="M4867" s="59">
        <f t="shared" si="410"/>
        <v>0</v>
      </c>
      <c r="N4867" s="59">
        <f t="shared" si="413"/>
        <v>0</v>
      </c>
      <c r="O4867" s="59">
        <f t="shared" si="411"/>
        <v>0</v>
      </c>
      <c r="P4867" s="59">
        <f t="shared" si="414"/>
        <v>0</v>
      </c>
    </row>
    <row r="4868" spans="12:16" ht="15" hidden="1" customHeight="1">
      <c r="L4868" s="58" t="str">
        <f t="shared" si="412"/>
        <v>-</v>
      </c>
      <c r="M4868" s="59">
        <f t="shared" si="410"/>
        <v>0</v>
      </c>
      <c r="N4868" s="59">
        <f t="shared" si="413"/>
        <v>0</v>
      </c>
      <c r="O4868" s="59">
        <f t="shared" si="411"/>
        <v>0</v>
      </c>
      <c r="P4868" s="59">
        <f t="shared" si="414"/>
        <v>0</v>
      </c>
    </row>
    <row r="4869" spans="12:16" ht="15" hidden="1" customHeight="1">
      <c r="L4869" s="58" t="str">
        <f t="shared" si="412"/>
        <v>-</v>
      </c>
      <c r="M4869" s="59">
        <f t="shared" si="410"/>
        <v>0</v>
      </c>
      <c r="N4869" s="59">
        <f t="shared" si="413"/>
        <v>0</v>
      </c>
      <c r="O4869" s="59">
        <f t="shared" si="411"/>
        <v>0</v>
      </c>
      <c r="P4869" s="59">
        <f t="shared" si="414"/>
        <v>0</v>
      </c>
    </row>
    <row r="4870" spans="12:16" ht="15" hidden="1" customHeight="1">
      <c r="L4870" s="58" t="str">
        <f t="shared" si="412"/>
        <v>-</v>
      </c>
      <c r="M4870" s="59">
        <f t="shared" si="410"/>
        <v>0</v>
      </c>
      <c r="N4870" s="59">
        <f t="shared" si="413"/>
        <v>0</v>
      </c>
      <c r="O4870" s="59">
        <f t="shared" si="411"/>
        <v>0</v>
      </c>
      <c r="P4870" s="59">
        <f t="shared" si="414"/>
        <v>0</v>
      </c>
    </row>
    <row r="4871" spans="12:16" ht="15" hidden="1" customHeight="1">
      <c r="L4871" s="58" t="str">
        <f t="shared" si="412"/>
        <v>-</v>
      </c>
      <c r="M4871" s="59">
        <f t="shared" si="410"/>
        <v>0</v>
      </c>
      <c r="N4871" s="59">
        <f t="shared" si="413"/>
        <v>0</v>
      </c>
      <c r="O4871" s="59">
        <f t="shared" si="411"/>
        <v>0</v>
      </c>
      <c r="P4871" s="59">
        <f t="shared" si="414"/>
        <v>0</v>
      </c>
    </row>
    <row r="4872" spans="12:16" ht="15" hidden="1" customHeight="1">
      <c r="L4872" s="58" t="str">
        <f t="shared" si="412"/>
        <v>-</v>
      </c>
      <c r="M4872" s="59">
        <f t="shared" si="410"/>
        <v>0</v>
      </c>
      <c r="N4872" s="59">
        <f t="shared" si="413"/>
        <v>0</v>
      </c>
      <c r="O4872" s="59">
        <f t="shared" si="411"/>
        <v>0</v>
      </c>
      <c r="P4872" s="59">
        <f t="shared" si="414"/>
        <v>0</v>
      </c>
    </row>
    <row r="4873" spans="12:16" ht="15" hidden="1" customHeight="1">
      <c r="L4873" s="58" t="str">
        <f t="shared" si="412"/>
        <v>-</v>
      </c>
      <c r="M4873" s="59">
        <f t="shared" si="410"/>
        <v>0</v>
      </c>
      <c r="N4873" s="59">
        <f t="shared" si="413"/>
        <v>0</v>
      </c>
      <c r="O4873" s="59">
        <f t="shared" si="411"/>
        <v>0</v>
      </c>
      <c r="P4873" s="59">
        <f t="shared" si="414"/>
        <v>0</v>
      </c>
    </row>
    <row r="4874" spans="12:16" ht="15" hidden="1" customHeight="1">
      <c r="L4874" s="58" t="str">
        <f t="shared" si="412"/>
        <v>-</v>
      </c>
      <c r="M4874" s="59">
        <f t="shared" si="410"/>
        <v>0</v>
      </c>
      <c r="N4874" s="59">
        <f t="shared" si="413"/>
        <v>0</v>
      </c>
      <c r="O4874" s="59">
        <f t="shared" si="411"/>
        <v>0</v>
      </c>
      <c r="P4874" s="59">
        <f t="shared" si="414"/>
        <v>0</v>
      </c>
    </row>
    <row r="4875" spans="12:16" ht="15" hidden="1" customHeight="1">
      <c r="L4875" s="58" t="str">
        <f t="shared" si="412"/>
        <v>-</v>
      </c>
      <c r="M4875" s="59">
        <f t="shared" si="410"/>
        <v>0</v>
      </c>
      <c r="N4875" s="59">
        <f t="shared" si="413"/>
        <v>0</v>
      </c>
      <c r="O4875" s="59">
        <f t="shared" si="411"/>
        <v>0</v>
      </c>
      <c r="P4875" s="59">
        <f t="shared" si="414"/>
        <v>0</v>
      </c>
    </row>
    <row r="4876" spans="12:16" ht="15" hidden="1" customHeight="1">
      <c r="L4876" s="58" t="str">
        <f t="shared" si="412"/>
        <v>-</v>
      </c>
      <c r="M4876" s="59">
        <f t="shared" si="410"/>
        <v>0</v>
      </c>
      <c r="N4876" s="59">
        <f t="shared" si="413"/>
        <v>0</v>
      </c>
      <c r="O4876" s="59">
        <f t="shared" si="411"/>
        <v>0</v>
      </c>
      <c r="P4876" s="59">
        <f t="shared" si="414"/>
        <v>0</v>
      </c>
    </row>
    <row r="4877" spans="12:16" ht="15" hidden="1" customHeight="1">
      <c r="L4877" s="58" t="str">
        <f t="shared" si="412"/>
        <v>-</v>
      </c>
      <c r="M4877" s="59">
        <f t="shared" si="410"/>
        <v>0</v>
      </c>
      <c r="N4877" s="59">
        <f t="shared" si="413"/>
        <v>0</v>
      </c>
      <c r="O4877" s="59">
        <f t="shared" si="411"/>
        <v>0</v>
      </c>
      <c r="P4877" s="59">
        <f t="shared" si="414"/>
        <v>0</v>
      </c>
    </row>
    <row r="4878" spans="12:16" ht="15" hidden="1" customHeight="1">
      <c r="L4878" s="58" t="str">
        <f t="shared" si="412"/>
        <v>-</v>
      </c>
      <c r="M4878" s="59">
        <f t="shared" si="410"/>
        <v>0</v>
      </c>
      <c r="N4878" s="59">
        <f t="shared" si="413"/>
        <v>0</v>
      </c>
      <c r="O4878" s="59">
        <f t="shared" si="411"/>
        <v>0</v>
      </c>
      <c r="P4878" s="59">
        <f t="shared" si="414"/>
        <v>0</v>
      </c>
    </row>
    <row r="4879" spans="12:16" ht="15" hidden="1" customHeight="1">
      <c r="L4879" s="58" t="str">
        <f t="shared" si="412"/>
        <v>-</v>
      </c>
      <c r="M4879" s="59">
        <f t="shared" si="410"/>
        <v>0</v>
      </c>
      <c r="N4879" s="59">
        <f t="shared" si="413"/>
        <v>0</v>
      </c>
      <c r="O4879" s="59">
        <f t="shared" si="411"/>
        <v>0</v>
      </c>
      <c r="P4879" s="59">
        <f t="shared" si="414"/>
        <v>0</v>
      </c>
    </row>
    <row r="4880" spans="12:16" ht="15" hidden="1" customHeight="1">
      <c r="L4880" s="58" t="str">
        <f t="shared" si="412"/>
        <v>-</v>
      </c>
      <c r="M4880" s="59">
        <f t="shared" si="410"/>
        <v>0</v>
      </c>
      <c r="N4880" s="59">
        <f t="shared" si="413"/>
        <v>0</v>
      </c>
      <c r="O4880" s="59">
        <f t="shared" si="411"/>
        <v>0</v>
      </c>
      <c r="P4880" s="59">
        <f t="shared" si="414"/>
        <v>0</v>
      </c>
    </row>
    <row r="4881" spans="12:16" ht="15" hidden="1" customHeight="1">
      <c r="L4881" s="58" t="str">
        <f t="shared" si="412"/>
        <v>-</v>
      </c>
      <c r="M4881" s="59">
        <f t="shared" si="410"/>
        <v>0</v>
      </c>
      <c r="N4881" s="59">
        <f t="shared" si="413"/>
        <v>0</v>
      </c>
      <c r="O4881" s="59">
        <f t="shared" si="411"/>
        <v>0</v>
      </c>
      <c r="P4881" s="59">
        <f t="shared" si="414"/>
        <v>0</v>
      </c>
    </row>
    <row r="4882" spans="12:16" ht="15" hidden="1" customHeight="1">
      <c r="L4882" s="58" t="str">
        <f t="shared" si="412"/>
        <v>-</v>
      </c>
      <c r="M4882" s="59">
        <f t="shared" si="410"/>
        <v>0</v>
      </c>
      <c r="N4882" s="59">
        <f t="shared" si="413"/>
        <v>0</v>
      </c>
      <c r="O4882" s="59">
        <f t="shared" si="411"/>
        <v>0</v>
      </c>
      <c r="P4882" s="59">
        <f t="shared" si="414"/>
        <v>0</v>
      </c>
    </row>
    <row r="4883" spans="12:16" ht="15" hidden="1" customHeight="1">
      <c r="L4883" s="58" t="str">
        <f t="shared" si="412"/>
        <v>-</v>
      </c>
      <c r="M4883" s="59">
        <f t="shared" ref="M4883:M4946" si="415">IFERROR(VLOOKUP(L4883,$B$19:$E$80,4,FALSE),0)</f>
        <v>0</v>
      </c>
      <c r="N4883" s="59">
        <f t="shared" si="413"/>
        <v>0</v>
      </c>
      <c r="O4883" s="59">
        <f t="shared" ref="O4883:O4946" si="416">IFERROR(IF(ISNUMBER(N4882),N4882,$E$8)*IF(L4883&gt;=$J$8,$E$12,$E$12)/IF(MOD(YEAR(L4883),4),365,366)*IF(ISBLANK(L4882),L4883-$F$5,L4883-L4882),0)</f>
        <v>0</v>
      </c>
      <c r="P4883" s="59">
        <f t="shared" si="414"/>
        <v>0</v>
      </c>
    </row>
    <row r="4884" spans="12:16" ht="15" hidden="1" customHeight="1">
      <c r="L4884" s="58" t="str">
        <f t="shared" si="412"/>
        <v>-</v>
      </c>
      <c r="M4884" s="59">
        <f t="shared" si="415"/>
        <v>0</v>
      </c>
      <c r="N4884" s="59">
        <f t="shared" si="413"/>
        <v>0</v>
      </c>
      <c r="O4884" s="59">
        <f t="shared" si="416"/>
        <v>0</v>
      </c>
      <c r="P4884" s="59">
        <f t="shared" si="414"/>
        <v>0</v>
      </c>
    </row>
    <row r="4885" spans="12:16" ht="15" hidden="1" customHeight="1">
      <c r="L4885" s="58" t="str">
        <f t="shared" si="412"/>
        <v>-</v>
      </c>
      <c r="M4885" s="59">
        <f t="shared" si="415"/>
        <v>0</v>
      </c>
      <c r="N4885" s="59">
        <f t="shared" si="413"/>
        <v>0</v>
      </c>
      <c r="O4885" s="59">
        <f t="shared" si="416"/>
        <v>0</v>
      </c>
      <c r="P4885" s="59">
        <f t="shared" si="414"/>
        <v>0</v>
      </c>
    </row>
    <row r="4886" spans="12:16" ht="15" hidden="1" customHeight="1">
      <c r="L4886" s="58" t="str">
        <f t="shared" si="412"/>
        <v>-</v>
      </c>
      <c r="M4886" s="59">
        <f t="shared" si="415"/>
        <v>0</v>
      </c>
      <c r="N4886" s="59">
        <f t="shared" si="413"/>
        <v>0</v>
      </c>
      <c r="O4886" s="59">
        <f t="shared" si="416"/>
        <v>0</v>
      </c>
      <c r="P4886" s="59">
        <f t="shared" si="414"/>
        <v>0</v>
      </c>
    </row>
    <row r="4887" spans="12:16" ht="15" hidden="1" customHeight="1">
      <c r="L4887" s="58" t="str">
        <f t="shared" si="412"/>
        <v>-</v>
      </c>
      <c r="M4887" s="59">
        <f t="shared" si="415"/>
        <v>0</v>
      </c>
      <c r="N4887" s="59">
        <f t="shared" si="413"/>
        <v>0</v>
      </c>
      <c r="O4887" s="59">
        <f t="shared" si="416"/>
        <v>0</v>
      </c>
      <c r="P4887" s="59">
        <f t="shared" si="414"/>
        <v>0</v>
      </c>
    </row>
    <row r="4888" spans="12:16" ht="15" hidden="1" customHeight="1">
      <c r="L4888" s="58" t="str">
        <f t="shared" si="412"/>
        <v>-</v>
      </c>
      <c r="M4888" s="59">
        <f t="shared" si="415"/>
        <v>0</v>
      </c>
      <c r="N4888" s="59">
        <f t="shared" si="413"/>
        <v>0</v>
      </c>
      <c r="O4888" s="59">
        <f t="shared" si="416"/>
        <v>0</v>
      </c>
      <c r="P4888" s="59">
        <f t="shared" si="414"/>
        <v>0</v>
      </c>
    </row>
    <row r="4889" spans="12:16" ht="15" hidden="1" customHeight="1">
      <c r="L4889" s="58" t="str">
        <f t="shared" si="412"/>
        <v>-</v>
      </c>
      <c r="M4889" s="59">
        <f t="shared" si="415"/>
        <v>0</v>
      </c>
      <c r="N4889" s="59">
        <f t="shared" si="413"/>
        <v>0</v>
      </c>
      <c r="O4889" s="59">
        <f t="shared" si="416"/>
        <v>0</v>
      </c>
      <c r="P4889" s="59">
        <f t="shared" si="414"/>
        <v>0</v>
      </c>
    </row>
    <row r="4890" spans="12:16" ht="15" hidden="1" customHeight="1">
      <c r="L4890" s="58" t="str">
        <f t="shared" si="412"/>
        <v>-</v>
      </c>
      <c r="M4890" s="59">
        <f t="shared" si="415"/>
        <v>0</v>
      </c>
      <c r="N4890" s="59">
        <f t="shared" si="413"/>
        <v>0</v>
      </c>
      <c r="O4890" s="59">
        <f t="shared" si="416"/>
        <v>0</v>
      </c>
      <c r="P4890" s="59">
        <f t="shared" si="414"/>
        <v>0</v>
      </c>
    </row>
    <row r="4891" spans="12:16" ht="15" hidden="1" customHeight="1">
      <c r="L4891" s="58" t="str">
        <f t="shared" si="412"/>
        <v>-</v>
      </c>
      <c r="M4891" s="59">
        <f t="shared" si="415"/>
        <v>0</v>
      </c>
      <c r="N4891" s="59">
        <f t="shared" si="413"/>
        <v>0</v>
      </c>
      <c r="O4891" s="59">
        <f t="shared" si="416"/>
        <v>0</v>
      </c>
      <c r="P4891" s="59">
        <f t="shared" si="414"/>
        <v>0</v>
      </c>
    </row>
    <row r="4892" spans="12:16" ht="15" hidden="1" customHeight="1">
      <c r="L4892" s="58" t="str">
        <f t="shared" si="412"/>
        <v>-</v>
      </c>
      <c r="M4892" s="59">
        <f t="shared" si="415"/>
        <v>0</v>
      </c>
      <c r="N4892" s="59">
        <f t="shared" si="413"/>
        <v>0</v>
      </c>
      <c r="O4892" s="59">
        <f t="shared" si="416"/>
        <v>0</v>
      </c>
      <c r="P4892" s="59">
        <f t="shared" si="414"/>
        <v>0</v>
      </c>
    </row>
    <row r="4893" spans="12:16" ht="15" hidden="1" customHeight="1">
      <c r="L4893" s="58" t="str">
        <f t="shared" si="412"/>
        <v>-</v>
      </c>
      <c r="M4893" s="59">
        <f t="shared" si="415"/>
        <v>0</v>
      </c>
      <c r="N4893" s="59">
        <f t="shared" si="413"/>
        <v>0</v>
      </c>
      <c r="O4893" s="59">
        <f t="shared" si="416"/>
        <v>0</v>
      </c>
      <c r="P4893" s="59">
        <f t="shared" si="414"/>
        <v>0</v>
      </c>
    </row>
    <row r="4894" spans="12:16" ht="15" hidden="1" customHeight="1">
      <c r="L4894" s="58" t="str">
        <f t="shared" si="412"/>
        <v>-</v>
      </c>
      <c r="M4894" s="59">
        <f t="shared" si="415"/>
        <v>0</v>
      </c>
      <c r="N4894" s="59">
        <f t="shared" si="413"/>
        <v>0</v>
      </c>
      <c r="O4894" s="59">
        <f t="shared" si="416"/>
        <v>0</v>
      </c>
      <c r="P4894" s="59">
        <f t="shared" si="414"/>
        <v>0</v>
      </c>
    </row>
    <row r="4895" spans="12:16" ht="15" hidden="1" customHeight="1">
      <c r="L4895" s="58" t="str">
        <f t="shared" si="412"/>
        <v>-</v>
      </c>
      <c r="M4895" s="59">
        <f t="shared" si="415"/>
        <v>0</v>
      </c>
      <c r="N4895" s="59">
        <f t="shared" si="413"/>
        <v>0</v>
      </c>
      <c r="O4895" s="59">
        <f t="shared" si="416"/>
        <v>0</v>
      </c>
      <c r="P4895" s="59">
        <f t="shared" si="414"/>
        <v>0</v>
      </c>
    </row>
    <row r="4896" spans="12:16" ht="15" hidden="1" customHeight="1">
      <c r="L4896" s="58" t="str">
        <f t="shared" si="412"/>
        <v>-</v>
      </c>
      <c r="M4896" s="59">
        <f t="shared" si="415"/>
        <v>0</v>
      </c>
      <c r="N4896" s="59">
        <f t="shared" si="413"/>
        <v>0</v>
      </c>
      <c r="O4896" s="59">
        <f t="shared" si="416"/>
        <v>0</v>
      </c>
      <c r="P4896" s="59">
        <f t="shared" si="414"/>
        <v>0</v>
      </c>
    </row>
    <row r="4897" spans="12:16" ht="15" hidden="1" customHeight="1">
      <c r="L4897" s="58" t="str">
        <f t="shared" ref="L4897:L4960" si="417">IFERROR(IF(MAX(L4896+1,$F$5+1)&gt;Дата_погашения_Займа,"-",MAX(L4896+1,$F$5+1)),"-")</f>
        <v>-</v>
      </c>
      <c r="M4897" s="59">
        <f t="shared" si="415"/>
        <v>0</v>
      </c>
      <c r="N4897" s="59">
        <f t="shared" si="413"/>
        <v>0</v>
      </c>
      <c r="O4897" s="59">
        <f t="shared" si="416"/>
        <v>0</v>
      </c>
      <c r="P4897" s="59">
        <f t="shared" si="414"/>
        <v>0</v>
      </c>
    </row>
    <row r="4898" spans="12:16" ht="15" hidden="1" customHeight="1">
      <c r="L4898" s="58" t="str">
        <f t="shared" si="417"/>
        <v>-</v>
      </c>
      <c r="M4898" s="59">
        <f t="shared" si="415"/>
        <v>0</v>
      </c>
      <c r="N4898" s="59">
        <f t="shared" si="413"/>
        <v>0</v>
      </c>
      <c r="O4898" s="59">
        <f t="shared" si="416"/>
        <v>0</v>
      </c>
      <c r="P4898" s="59">
        <f t="shared" si="414"/>
        <v>0</v>
      </c>
    </row>
    <row r="4899" spans="12:16" ht="15" hidden="1" customHeight="1">
      <c r="L4899" s="58" t="str">
        <f t="shared" si="417"/>
        <v>-</v>
      </c>
      <c r="M4899" s="59">
        <f t="shared" si="415"/>
        <v>0</v>
      </c>
      <c r="N4899" s="59">
        <f t="shared" si="413"/>
        <v>0</v>
      </c>
      <c r="O4899" s="59">
        <f t="shared" si="416"/>
        <v>0</v>
      </c>
      <c r="P4899" s="59">
        <f t="shared" si="414"/>
        <v>0</v>
      </c>
    </row>
    <row r="4900" spans="12:16" ht="15" hidden="1" customHeight="1">
      <c r="L4900" s="58" t="str">
        <f t="shared" si="417"/>
        <v>-</v>
      </c>
      <c r="M4900" s="59">
        <f t="shared" si="415"/>
        <v>0</v>
      </c>
      <c r="N4900" s="59">
        <f t="shared" si="413"/>
        <v>0</v>
      </c>
      <c r="O4900" s="59">
        <f t="shared" si="416"/>
        <v>0</v>
      </c>
      <c r="P4900" s="59">
        <f t="shared" si="414"/>
        <v>0</v>
      </c>
    </row>
    <row r="4901" spans="12:16" ht="15" hidden="1" customHeight="1">
      <c r="L4901" s="58" t="str">
        <f t="shared" si="417"/>
        <v>-</v>
      </c>
      <c r="M4901" s="59">
        <f t="shared" si="415"/>
        <v>0</v>
      </c>
      <c r="N4901" s="59">
        <f t="shared" si="413"/>
        <v>0</v>
      </c>
      <c r="O4901" s="59">
        <f t="shared" si="416"/>
        <v>0</v>
      </c>
      <c r="P4901" s="59">
        <f t="shared" si="414"/>
        <v>0</v>
      </c>
    </row>
    <row r="4902" spans="12:16" ht="15" hidden="1" customHeight="1">
      <c r="L4902" s="58" t="str">
        <f t="shared" si="417"/>
        <v>-</v>
      </c>
      <c r="M4902" s="59">
        <f t="shared" si="415"/>
        <v>0</v>
      </c>
      <c r="N4902" s="59">
        <f t="shared" si="413"/>
        <v>0</v>
      </c>
      <c r="O4902" s="59">
        <f t="shared" si="416"/>
        <v>0</v>
      </c>
      <c r="P4902" s="59">
        <f t="shared" si="414"/>
        <v>0</v>
      </c>
    </row>
    <row r="4903" spans="12:16" ht="15" hidden="1" customHeight="1">
      <c r="L4903" s="58" t="str">
        <f t="shared" si="417"/>
        <v>-</v>
      </c>
      <c r="M4903" s="59">
        <f t="shared" si="415"/>
        <v>0</v>
      </c>
      <c r="N4903" s="59">
        <f t="shared" si="413"/>
        <v>0</v>
      </c>
      <c r="O4903" s="59">
        <f t="shared" si="416"/>
        <v>0</v>
      </c>
      <c r="P4903" s="59">
        <f t="shared" si="414"/>
        <v>0</v>
      </c>
    </row>
    <row r="4904" spans="12:16" ht="15" hidden="1" customHeight="1">
      <c r="L4904" s="58" t="str">
        <f t="shared" si="417"/>
        <v>-</v>
      </c>
      <c r="M4904" s="59">
        <f t="shared" si="415"/>
        <v>0</v>
      </c>
      <c r="N4904" s="59">
        <f t="shared" si="413"/>
        <v>0</v>
      </c>
      <c r="O4904" s="59">
        <f t="shared" si="416"/>
        <v>0</v>
      </c>
      <c r="P4904" s="59">
        <f t="shared" si="414"/>
        <v>0</v>
      </c>
    </row>
    <row r="4905" spans="12:16" ht="15" hidden="1" customHeight="1">
      <c r="L4905" s="58" t="str">
        <f t="shared" si="417"/>
        <v>-</v>
      </c>
      <c r="M4905" s="59">
        <f t="shared" si="415"/>
        <v>0</v>
      </c>
      <c r="N4905" s="59">
        <f t="shared" ref="N4905:N4968" si="418">IF(ISNUMBER(N4904),N4904-M4905,$E$8)</f>
        <v>0</v>
      </c>
      <c r="O4905" s="59">
        <f t="shared" si="416"/>
        <v>0</v>
      </c>
      <c r="P4905" s="59">
        <f t="shared" ref="P4905:P4968" si="419">IFERROR(IF(ISNUMBER(N4904),N4904,$E$8)*3%/IF(MOD(YEAR(L4905),4),365,366)*IF(ISBLANK(L4904),(L4905-$F$5),L4905-L4904),0)</f>
        <v>0</v>
      </c>
    </row>
    <row r="4906" spans="12:16" ht="15" hidden="1" customHeight="1">
      <c r="L4906" s="58" t="str">
        <f t="shared" si="417"/>
        <v>-</v>
      </c>
      <c r="M4906" s="59">
        <f t="shared" si="415"/>
        <v>0</v>
      </c>
      <c r="N4906" s="59">
        <f t="shared" si="418"/>
        <v>0</v>
      </c>
      <c r="O4906" s="59">
        <f t="shared" si="416"/>
        <v>0</v>
      </c>
      <c r="P4906" s="59">
        <f t="shared" si="419"/>
        <v>0</v>
      </c>
    </row>
    <row r="4907" spans="12:16" ht="15" hidden="1" customHeight="1">
      <c r="L4907" s="58" t="str">
        <f t="shared" si="417"/>
        <v>-</v>
      </c>
      <c r="M4907" s="59">
        <f t="shared" si="415"/>
        <v>0</v>
      </c>
      <c r="N4907" s="59">
        <f t="shared" si="418"/>
        <v>0</v>
      </c>
      <c r="O4907" s="59">
        <f t="shared" si="416"/>
        <v>0</v>
      </c>
      <c r="P4907" s="59">
        <f t="shared" si="419"/>
        <v>0</v>
      </c>
    </row>
    <row r="4908" spans="12:16" ht="15" hidden="1" customHeight="1">
      <c r="L4908" s="58" t="str">
        <f t="shared" si="417"/>
        <v>-</v>
      </c>
      <c r="M4908" s="59">
        <f t="shared" si="415"/>
        <v>0</v>
      </c>
      <c r="N4908" s="59">
        <f t="shared" si="418"/>
        <v>0</v>
      </c>
      <c r="O4908" s="59">
        <f t="shared" si="416"/>
        <v>0</v>
      </c>
      <c r="P4908" s="59">
        <f t="shared" si="419"/>
        <v>0</v>
      </c>
    </row>
    <row r="4909" spans="12:16" ht="15" hidden="1" customHeight="1">
      <c r="L4909" s="58" t="str">
        <f t="shared" si="417"/>
        <v>-</v>
      </c>
      <c r="M4909" s="59">
        <f t="shared" si="415"/>
        <v>0</v>
      </c>
      <c r="N4909" s="59">
        <f t="shared" si="418"/>
        <v>0</v>
      </c>
      <c r="O4909" s="59">
        <f t="shared" si="416"/>
        <v>0</v>
      </c>
      <c r="P4909" s="59">
        <f t="shared" si="419"/>
        <v>0</v>
      </c>
    </row>
    <row r="4910" spans="12:16" ht="15" hidden="1" customHeight="1">
      <c r="L4910" s="58" t="str">
        <f t="shared" si="417"/>
        <v>-</v>
      </c>
      <c r="M4910" s="59">
        <f t="shared" si="415"/>
        <v>0</v>
      </c>
      <c r="N4910" s="59">
        <f t="shared" si="418"/>
        <v>0</v>
      </c>
      <c r="O4910" s="59">
        <f t="shared" si="416"/>
        <v>0</v>
      </c>
      <c r="P4910" s="59">
        <f t="shared" si="419"/>
        <v>0</v>
      </c>
    </row>
    <row r="4911" spans="12:16" ht="15" hidden="1" customHeight="1">
      <c r="L4911" s="58" t="str">
        <f t="shared" si="417"/>
        <v>-</v>
      </c>
      <c r="M4911" s="59">
        <f t="shared" si="415"/>
        <v>0</v>
      </c>
      <c r="N4911" s="59">
        <f t="shared" si="418"/>
        <v>0</v>
      </c>
      <c r="O4911" s="59">
        <f t="shared" si="416"/>
        <v>0</v>
      </c>
      <c r="P4911" s="59">
        <f t="shared" si="419"/>
        <v>0</v>
      </c>
    </row>
    <row r="4912" spans="12:16" ht="15" hidden="1" customHeight="1">
      <c r="L4912" s="58" t="str">
        <f t="shared" si="417"/>
        <v>-</v>
      </c>
      <c r="M4912" s="59">
        <f t="shared" si="415"/>
        <v>0</v>
      </c>
      <c r="N4912" s="59">
        <f t="shared" si="418"/>
        <v>0</v>
      </c>
      <c r="O4912" s="59">
        <f t="shared" si="416"/>
        <v>0</v>
      </c>
      <c r="P4912" s="59">
        <f t="shared" si="419"/>
        <v>0</v>
      </c>
    </row>
    <row r="4913" spans="12:16" ht="15" hidden="1" customHeight="1">
      <c r="L4913" s="58" t="str">
        <f t="shared" si="417"/>
        <v>-</v>
      </c>
      <c r="M4913" s="59">
        <f t="shared" si="415"/>
        <v>0</v>
      </c>
      <c r="N4913" s="59">
        <f t="shared" si="418"/>
        <v>0</v>
      </c>
      <c r="O4913" s="59">
        <f t="shared" si="416"/>
        <v>0</v>
      </c>
      <c r="P4913" s="59">
        <f t="shared" si="419"/>
        <v>0</v>
      </c>
    </row>
    <row r="4914" spans="12:16" ht="15" hidden="1" customHeight="1">
      <c r="L4914" s="58" t="str">
        <f t="shared" si="417"/>
        <v>-</v>
      </c>
      <c r="M4914" s="59">
        <f t="shared" si="415"/>
        <v>0</v>
      </c>
      <c r="N4914" s="59">
        <f t="shared" si="418"/>
        <v>0</v>
      </c>
      <c r="O4914" s="59">
        <f t="shared" si="416"/>
        <v>0</v>
      </c>
      <c r="P4914" s="59">
        <f t="shared" si="419"/>
        <v>0</v>
      </c>
    </row>
    <row r="4915" spans="12:16" ht="15" hidden="1" customHeight="1">
      <c r="L4915" s="58" t="str">
        <f t="shared" si="417"/>
        <v>-</v>
      </c>
      <c r="M4915" s="59">
        <f t="shared" si="415"/>
        <v>0</v>
      </c>
      <c r="N4915" s="59">
        <f t="shared" si="418"/>
        <v>0</v>
      </c>
      <c r="O4915" s="59">
        <f t="shared" si="416"/>
        <v>0</v>
      </c>
      <c r="P4915" s="59">
        <f t="shared" si="419"/>
        <v>0</v>
      </c>
    </row>
    <row r="4916" spans="12:16" ht="15" hidden="1" customHeight="1">
      <c r="L4916" s="58" t="str">
        <f t="shared" si="417"/>
        <v>-</v>
      </c>
      <c r="M4916" s="59">
        <f t="shared" si="415"/>
        <v>0</v>
      </c>
      <c r="N4916" s="59">
        <f t="shared" si="418"/>
        <v>0</v>
      </c>
      <c r="O4916" s="59">
        <f t="shared" si="416"/>
        <v>0</v>
      </c>
      <c r="P4916" s="59">
        <f t="shared" si="419"/>
        <v>0</v>
      </c>
    </row>
    <row r="4917" spans="12:16" ht="15" hidden="1" customHeight="1">
      <c r="L4917" s="58" t="str">
        <f t="shared" si="417"/>
        <v>-</v>
      </c>
      <c r="M4917" s="59">
        <f t="shared" si="415"/>
        <v>0</v>
      </c>
      <c r="N4917" s="59">
        <f t="shared" si="418"/>
        <v>0</v>
      </c>
      <c r="O4917" s="59">
        <f t="shared" si="416"/>
        <v>0</v>
      </c>
      <c r="P4917" s="59">
        <f t="shared" si="419"/>
        <v>0</v>
      </c>
    </row>
    <row r="4918" spans="12:16" ht="15" hidden="1" customHeight="1">
      <c r="L4918" s="58" t="str">
        <f t="shared" si="417"/>
        <v>-</v>
      </c>
      <c r="M4918" s="59">
        <f t="shared" si="415"/>
        <v>0</v>
      </c>
      <c r="N4918" s="59">
        <f t="shared" si="418"/>
        <v>0</v>
      </c>
      <c r="O4918" s="59">
        <f t="shared" si="416"/>
        <v>0</v>
      </c>
      <c r="P4918" s="59">
        <f t="shared" si="419"/>
        <v>0</v>
      </c>
    </row>
    <row r="4919" spans="12:16" ht="15" hidden="1" customHeight="1">
      <c r="L4919" s="58" t="str">
        <f t="shared" si="417"/>
        <v>-</v>
      </c>
      <c r="M4919" s="59">
        <f t="shared" si="415"/>
        <v>0</v>
      </c>
      <c r="N4919" s="59">
        <f t="shared" si="418"/>
        <v>0</v>
      </c>
      <c r="O4919" s="59">
        <f t="shared" si="416"/>
        <v>0</v>
      </c>
      <c r="P4919" s="59">
        <f t="shared" si="419"/>
        <v>0</v>
      </c>
    </row>
    <row r="4920" spans="12:16" ht="15" hidden="1" customHeight="1">
      <c r="L4920" s="58" t="str">
        <f t="shared" si="417"/>
        <v>-</v>
      </c>
      <c r="M4920" s="59">
        <f t="shared" si="415"/>
        <v>0</v>
      </c>
      <c r="N4920" s="59">
        <f t="shared" si="418"/>
        <v>0</v>
      </c>
      <c r="O4920" s="59">
        <f t="shared" si="416"/>
        <v>0</v>
      </c>
      <c r="P4920" s="59">
        <f t="shared" si="419"/>
        <v>0</v>
      </c>
    </row>
    <row r="4921" spans="12:16" ht="15" hidden="1" customHeight="1">
      <c r="L4921" s="58" t="str">
        <f t="shared" si="417"/>
        <v>-</v>
      </c>
      <c r="M4921" s="59">
        <f t="shared" si="415"/>
        <v>0</v>
      </c>
      <c r="N4921" s="59">
        <f t="shared" si="418"/>
        <v>0</v>
      </c>
      <c r="O4921" s="59">
        <f t="shared" si="416"/>
        <v>0</v>
      </c>
      <c r="P4921" s="59">
        <f t="shared" si="419"/>
        <v>0</v>
      </c>
    </row>
    <row r="4922" spans="12:16" ht="15" hidden="1" customHeight="1">
      <c r="L4922" s="58" t="str">
        <f t="shared" si="417"/>
        <v>-</v>
      </c>
      <c r="M4922" s="59">
        <f t="shared" si="415"/>
        <v>0</v>
      </c>
      <c r="N4922" s="59">
        <f t="shared" si="418"/>
        <v>0</v>
      </c>
      <c r="O4922" s="59">
        <f t="shared" si="416"/>
        <v>0</v>
      </c>
      <c r="P4922" s="59">
        <f t="shared" si="419"/>
        <v>0</v>
      </c>
    </row>
    <row r="4923" spans="12:16" ht="15" hidden="1" customHeight="1">
      <c r="L4923" s="58" t="str">
        <f t="shared" si="417"/>
        <v>-</v>
      </c>
      <c r="M4923" s="59">
        <f t="shared" si="415"/>
        <v>0</v>
      </c>
      <c r="N4923" s="59">
        <f t="shared" si="418"/>
        <v>0</v>
      </c>
      <c r="O4923" s="59">
        <f t="shared" si="416"/>
        <v>0</v>
      </c>
      <c r="P4923" s="59">
        <f t="shared" si="419"/>
        <v>0</v>
      </c>
    </row>
    <row r="4924" spans="12:16" ht="15" hidden="1" customHeight="1">
      <c r="L4924" s="58" t="str">
        <f t="shared" si="417"/>
        <v>-</v>
      </c>
      <c r="M4924" s="59">
        <f t="shared" si="415"/>
        <v>0</v>
      </c>
      <c r="N4924" s="59">
        <f t="shared" si="418"/>
        <v>0</v>
      </c>
      <c r="O4924" s="59">
        <f t="shared" si="416"/>
        <v>0</v>
      </c>
      <c r="P4924" s="59">
        <f t="shared" si="419"/>
        <v>0</v>
      </c>
    </row>
    <row r="4925" spans="12:16" ht="15" hidden="1" customHeight="1">
      <c r="L4925" s="58" t="str">
        <f t="shared" si="417"/>
        <v>-</v>
      </c>
      <c r="M4925" s="59">
        <f t="shared" si="415"/>
        <v>0</v>
      </c>
      <c r="N4925" s="59">
        <f t="shared" si="418"/>
        <v>0</v>
      </c>
      <c r="O4925" s="59">
        <f t="shared" si="416"/>
        <v>0</v>
      </c>
      <c r="P4925" s="59">
        <f t="shared" si="419"/>
        <v>0</v>
      </c>
    </row>
    <row r="4926" spans="12:16" ht="15" hidden="1" customHeight="1">
      <c r="L4926" s="58" t="str">
        <f t="shared" si="417"/>
        <v>-</v>
      </c>
      <c r="M4926" s="59">
        <f t="shared" si="415"/>
        <v>0</v>
      </c>
      <c r="N4926" s="59">
        <f t="shared" si="418"/>
        <v>0</v>
      </c>
      <c r="O4926" s="59">
        <f t="shared" si="416"/>
        <v>0</v>
      </c>
      <c r="P4926" s="59">
        <f t="shared" si="419"/>
        <v>0</v>
      </c>
    </row>
    <row r="4927" spans="12:16" ht="15" hidden="1" customHeight="1">
      <c r="L4927" s="58" t="str">
        <f t="shared" si="417"/>
        <v>-</v>
      </c>
      <c r="M4927" s="59">
        <f t="shared" si="415"/>
        <v>0</v>
      </c>
      <c r="N4927" s="59">
        <f t="shared" si="418"/>
        <v>0</v>
      </c>
      <c r="O4927" s="59">
        <f t="shared" si="416"/>
        <v>0</v>
      </c>
      <c r="P4927" s="59">
        <f t="shared" si="419"/>
        <v>0</v>
      </c>
    </row>
    <row r="4928" spans="12:16" ht="15" hidden="1" customHeight="1">
      <c r="L4928" s="58" t="str">
        <f t="shared" si="417"/>
        <v>-</v>
      </c>
      <c r="M4928" s="59">
        <f t="shared" si="415"/>
        <v>0</v>
      </c>
      <c r="N4928" s="59">
        <f t="shared" si="418"/>
        <v>0</v>
      </c>
      <c r="O4928" s="59">
        <f t="shared" si="416"/>
        <v>0</v>
      </c>
      <c r="P4928" s="59">
        <f t="shared" si="419"/>
        <v>0</v>
      </c>
    </row>
    <row r="4929" spans="12:16" ht="15" hidden="1" customHeight="1">
      <c r="L4929" s="58" t="str">
        <f t="shared" si="417"/>
        <v>-</v>
      </c>
      <c r="M4929" s="59">
        <f t="shared" si="415"/>
        <v>0</v>
      </c>
      <c r="N4929" s="59">
        <f t="shared" si="418"/>
        <v>0</v>
      </c>
      <c r="O4929" s="59">
        <f t="shared" si="416"/>
        <v>0</v>
      </c>
      <c r="P4929" s="59">
        <f t="shared" si="419"/>
        <v>0</v>
      </c>
    </row>
    <row r="4930" spans="12:16" ht="15" hidden="1" customHeight="1">
      <c r="L4930" s="58" t="str">
        <f t="shared" si="417"/>
        <v>-</v>
      </c>
      <c r="M4930" s="59">
        <f t="shared" si="415"/>
        <v>0</v>
      </c>
      <c r="N4930" s="59">
        <f t="shared" si="418"/>
        <v>0</v>
      </c>
      <c r="O4930" s="59">
        <f t="shared" si="416"/>
        <v>0</v>
      </c>
      <c r="P4930" s="59">
        <f t="shared" si="419"/>
        <v>0</v>
      </c>
    </row>
    <row r="4931" spans="12:16" ht="15" hidden="1" customHeight="1">
      <c r="L4931" s="58" t="str">
        <f t="shared" si="417"/>
        <v>-</v>
      </c>
      <c r="M4931" s="59">
        <f t="shared" si="415"/>
        <v>0</v>
      </c>
      <c r="N4931" s="59">
        <f t="shared" si="418"/>
        <v>0</v>
      </c>
      <c r="O4931" s="59">
        <f t="shared" si="416"/>
        <v>0</v>
      </c>
      <c r="P4931" s="59">
        <f t="shared" si="419"/>
        <v>0</v>
      </c>
    </row>
    <row r="4932" spans="12:16" ht="15" hidden="1" customHeight="1">
      <c r="L4932" s="58" t="str">
        <f t="shared" si="417"/>
        <v>-</v>
      </c>
      <c r="M4932" s="59">
        <f t="shared" si="415"/>
        <v>0</v>
      </c>
      <c r="N4932" s="59">
        <f t="shared" si="418"/>
        <v>0</v>
      </c>
      <c r="O4932" s="59">
        <f t="shared" si="416"/>
        <v>0</v>
      </c>
      <c r="P4932" s="59">
        <f t="shared" si="419"/>
        <v>0</v>
      </c>
    </row>
    <row r="4933" spans="12:16" ht="15" hidden="1" customHeight="1">
      <c r="L4933" s="58" t="str">
        <f t="shared" si="417"/>
        <v>-</v>
      </c>
      <c r="M4933" s="59">
        <f t="shared" si="415"/>
        <v>0</v>
      </c>
      <c r="N4933" s="59">
        <f t="shared" si="418"/>
        <v>0</v>
      </c>
      <c r="O4933" s="59">
        <f t="shared" si="416"/>
        <v>0</v>
      </c>
      <c r="P4933" s="59">
        <f t="shared" si="419"/>
        <v>0</v>
      </c>
    </row>
    <row r="4934" spans="12:16" ht="15" hidden="1" customHeight="1">
      <c r="L4934" s="58" t="str">
        <f t="shared" si="417"/>
        <v>-</v>
      </c>
      <c r="M4934" s="59">
        <f t="shared" si="415"/>
        <v>0</v>
      </c>
      <c r="N4934" s="59">
        <f t="shared" si="418"/>
        <v>0</v>
      </c>
      <c r="O4934" s="59">
        <f t="shared" si="416"/>
        <v>0</v>
      </c>
      <c r="P4934" s="59">
        <f t="shared" si="419"/>
        <v>0</v>
      </c>
    </row>
    <row r="4935" spans="12:16" ht="15" hidden="1" customHeight="1">
      <c r="L4935" s="58" t="str">
        <f t="shared" si="417"/>
        <v>-</v>
      </c>
      <c r="M4935" s="59">
        <f t="shared" si="415"/>
        <v>0</v>
      </c>
      <c r="N4935" s="59">
        <f t="shared" si="418"/>
        <v>0</v>
      </c>
      <c r="O4935" s="59">
        <f t="shared" si="416"/>
        <v>0</v>
      </c>
      <c r="P4935" s="59">
        <f t="shared" si="419"/>
        <v>0</v>
      </c>
    </row>
    <row r="4936" spans="12:16" ht="15" hidden="1" customHeight="1">
      <c r="L4936" s="58" t="str">
        <f t="shared" si="417"/>
        <v>-</v>
      </c>
      <c r="M4936" s="59">
        <f t="shared" si="415"/>
        <v>0</v>
      </c>
      <c r="N4936" s="59">
        <f t="shared" si="418"/>
        <v>0</v>
      </c>
      <c r="O4936" s="59">
        <f t="shared" si="416"/>
        <v>0</v>
      </c>
      <c r="P4936" s="59">
        <f t="shared" si="419"/>
        <v>0</v>
      </c>
    </row>
    <row r="4937" spans="12:16" ht="15" hidden="1" customHeight="1">
      <c r="L4937" s="58" t="str">
        <f t="shared" si="417"/>
        <v>-</v>
      </c>
      <c r="M4937" s="59">
        <f t="shared" si="415"/>
        <v>0</v>
      </c>
      <c r="N4937" s="59">
        <f t="shared" si="418"/>
        <v>0</v>
      </c>
      <c r="O4937" s="59">
        <f t="shared" si="416"/>
        <v>0</v>
      </c>
      <c r="P4937" s="59">
        <f t="shared" si="419"/>
        <v>0</v>
      </c>
    </row>
    <row r="4938" spans="12:16" ht="15" hidden="1" customHeight="1">
      <c r="L4938" s="58" t="str">
        <f t="shared" si="417"/>
        <v>-</v>
      </c>
      <c r="M4938" s="59">
        <f t="shared" si="415"/>
        <v>0</v>
      </c>
      <c r="N4938" s="59">
        <f t="shared" si="418"/>
        <v>0</v>
      </c>
      <c r="O4938" s="59">
        <f t="shared" si="416"/>
        <v>0</v>
      </c>
      <c r="P4938" s="59">
        <f t="shared" si="419"/>
        <v>0</v>
      </c>
    </row>
    <row r="4939" spans="12:16" ht="15" hidden="1" customHeight="1">
      <c r="L4939" s="58" t="str">
        <f t="shared" si="417"/>
        <v>-</v>
      </c>
      <c r="M4939" s="59">
        <f t="shared" si="415"/>
        <v>0</v>
      </c>
      <c r="N4939" s="59">
        <f t="shared" si="418"/>
        <v>0</v>
      </c>
      <c r="O4939" s="59">
        <f t="shared" si="416"/>
        <v>0</v>
      </c>
      <c r="P4939" s="59">
        <f t="shared" si="419"/>
        <v>0</v>
      </c>
    </row>
    <row r="4940" spans="12:16" ht="15" hidden="1" customHeight="1">
      <c r="L4940" s="58" t="str">
        <f t="shared" si="417"/>
        <v>-</v>
      </c>
      <c r="M4940" s="59">
        <f t="shared" si="415"/>
        <v>0</v>
      </c>
      <c r="N4940" s="59">
        <f t="shared" si="418"/>
        <v>0</v>
      </c>
      <c r="O4940" s="59">
        <f t="shared" si="416"/>
        <v>0</v>
      </c>
      <c r="P4940" s="59">
        <f t="shared" si="419"/>
        <v>0</v>
      </c>
    </row>
    <row r="4941" spans="12:16" ht="15" hidden="1" customHeight="1">
      <c r="L4941" s="58" t="str">
        <f t="shared" si="417"/>
        <v>-</v>
      </c>
      <c r="M4941" s="59">
        <f t="shared" si="415"/>
        <v>0</v>
      </c>
      <c r="N4941" s="59">
        <f t="shared" si="418"/>
        <v>0</v>
      </c>
      <c r="O4941" s="59">
        <f t="shared" si="416"/>
        <v>0</v>
      </c>
      <c r="P4941" s="59">
        <f t="shared" si="419"/>
        <v>0</v>
      </c>
    </row>
    <row r="4942" spans="12:16" ht="15" hidden="1" customHeight="1">
      <c r="L4942" s="58" t="str">
        <f t="shared" si="417"/>
        <v>-</v>
      </c>
      <c r="M4942" s="59">
        <f t="shared" si="415"/>
        <v>0</v>
      </c>
      <c r="N4942" s="59">
        <f t="shared" si="418"/>
        <v>0</v>
      </c>
      <c r="O4942" s="59">
        <f t="shared" si="416"/>
        <v>0</v>
      </c>
      <c r="P4942" s="59">
        <f t="shared" si="419"/>
        <v>0</v>
      </c>
    </row>
    <row r="4943" spans="12:16" ht="15" hidden="1" customHeight="1">
      <c r="L4943" s="58" t="str">
        <f t="shared" si="417"/>
        <v>-</v>
      </c>
      <c r="M4943" s="59">
        <f t="shared" si="415"/>
        <v>0</v>
      </c>
      <c r="N4943" s="59">
        <f t="shared" si="418"/>
        <v>0</v>
      </c>
      <c r="O4943" s="59">
        <f t="shared" si="416"/>
        <v>0</v>
      </c>
      <c r="P4943" s="59">
        <f t="shared" si="419"/>
        <v>0</v>
      </c>
    </row>
    <row r="4944" spans="12:16" ht="15" hidden="1" customHeight="1">
      <c r="L4944" s="58" t="str">
        <f t="shared" si="417"/>
        <v>-</v>
      </c>
      <c r="M4944" s="59">
        <f t="shared" si="415"/>
        <v>0</v>
      </c>
      <c r="N4944" s="59">
        <f t="shared" si="418"/>
        <v>0</v>
      </c>
      <c r="O4944" s="59">
        <f t="shared" si="416"/>
        <v>0</v>
      </c>
      <c r="P4944" s="59">
        <f t="shared" si="419"/>
        <v>0</v>
      </c>
    </row>
    <row r="4945" spans="12:16" ht="15" hidden="1" customHeight="1">
      <c r="L4945" s="58" t="str">
        <f t="shared" si="417"/>
        <v>-</v>
      </c>
      <c r="M4945" s="59">
        <f t="shared" si="415"/>
        <v>0</v>
      </c>
      <c r="N4945" s="59">
        <f t="shared" si="418"/>
        <v>0</v>
      </c>
      <c r="O4945" s="59">
        <f t="shared" si="416"/>
        <v>0</v>
      </c>
      <c r="P4945" s="59">
        <f t="shared" si="419"/>
        <v>0</v>
      </c>
    </row>
    <row r="4946" spans="12:16" ht="15" hidden="1" customHeight="1">
      <c r="L4946" s="58" t="str">
        <f t="shared" si="417"/>
        <v>-</v>
      </c>
      <c r="M4946" s="59">
        <f t="shared" si="415"/>
        <v>0</v>
      </c>
      <c r="N4946" s="59">
        <f t="shared" si="418"/>
        <v>0</v>
      </c>
      <c r="O4946" s="59">
        <f t="shared" si="416"/>
        <v>0</v>
      </c>
      <c r="P4946" s="59">
        <f t="shared" si="419"/>
        <v>0</v>
      </c>
    </row>
    <row r="4947" spans="12:16" ht="15" hidden="1" customHeight="1">
      <c r="L4947" s="58" t="str">
        <f t="shared" si="417"/>
        <v>-</v>
      </c>
      <c r="M4947" s="59">
        <f t="shared" ref="M4947:M5010" si="420">IFERROR(VLOOKUP(L4947,$B$19:$E$80,4,FALSE),0)</f>
        <v>0</v>
      </c>
      <c r="N4947" s="59">
        <f t="shared" si="418"/>
        <v>0</v>
      </c>
      <c r="O4947" s="59">
        <f t="shared" ref="O4947:O5010" si="421">IFERROR(IF(ISNUMBER(N4946),N4946,$E$8)*IF(L4947&gt;=$J$8,$E$12,$E$12)/IF(MOD(YEAR(L4947),4),365,366)*IF(ISBLANK(L4946),L4947-$F$5,L4947-L4946),0)</f>
        <v>0</v>
      </c>
      <c r="P4947" s="59">
        <f t="shared" si="419"/>
        <v>0</v>
      </c>
    </row>
    <row r="4948" spans="12:16" ht="15" hidden="1" customHeight="1">
      <c r="L4948" s="58" t="str">
        <f t="shared" si="417"/>
        <v>-</v>
      </c>
      <c r="M4948" s="59">
        <f t="shared" si="420"/>
        <v>0</v>
      </c>
      <c r="N4948" s="59">
        <f t="shared" si="418"/>
        <v>0</v>
      </c>
      <c r="O4948" s="59">
        <f t="shared" si="421"/>
        <v>0</v>
      </c>
      <c r="P4948" s="59">
        <f t="shared" si="419"/>
        <v>0</v>
      </c>
    </row>
    <row r="4949" spans="12:16" ht="15" hidden="1" customHeight="1">
      <c r="L4949" s="58" t="str">
        <f t="shared" si="417"/>
        <v>-</v>
      </c>
      <c r="M4949" s="59">
        <f t="shared" si="420"/>
        <v>0</v>
      </c>
      <c r="N4949" s="59">
        <f t="shared" si="418"/>
        <v>0</v>
      </c>
      <c r="O4949" s="59">
        <f t="shared" si="421"/>
        <v>0</v>
      </c>
      <c r="P4949" s="59">
        <f t="shared" si="419"/>
        <v>0</v>
      </c>
    </row>
    <row r="4950" spans="12:16" ht="15" hidden="1" customHeight="1">
      <c r="L4950" s="58" t="str">
        <f t="shared" si="417"/>
        <v>-</v>
      </c>
      <c r="M4950" s="59">
        <f t="shared" si="420"/>
        <v>0</v>
      </c>
      <c r="N4950" s="59">
        <f t="shared" si="418"/>
        <v>0</v>
      </c>
      <c r="O4950" s="59">
        <f t="shared" si="421"/>
        <v>0</v>
      </c>
      <c r="P4950" s="59">
        <f t="shared" si="419"/>
        <v>0</v>
      </c>
    </row>
    <row r="4951" spans="12:16" ht="15" hidden="1" customHeight="1">
      <c r="L4951" s="58" t="str">
        <f t="shared" si="417"/>
        <v>-</v>
      </c>
      <c r="M4951" s="59">
        <f t="shared" si="420"/>
        <v>0</v>
      </c>
      <c r="N4951" s="59">
        <f t="shared" si="418"/>
        <v>0</v>
      </c>
      <c r="O4951" s="59">
        <f t="shared" si="421"/>
        <v>0</v>
      </c>
      <c r="P4951" s="59">
        <f t="shared" si="419"/>
        <v>0</v>
      </c>
    </row>
    <row r="4952" spans="12:16" ht="15" hidden="1" customHeight="1">
      <c r="L4952" s="58" t="str">
        <f t="shared" si="417"/>
        <v>-</v>
      </c>
      <c r="M4952" s="59">
        <f t="shared" si="420"/>
        <v>0</v>
      </c>
      <c r="N4952" s="59">
        <f t="shared" si="418"/>
        <v>0</v>
      </c>
      <c r="O4952" s="59">
        <f t="shared" si="421"/>
        <v>0</v>
      </c>
      <c r="P4952" s="59">
        <f t="shared" si="419"/>
        <v>0</v>
      </c>
    </row>
    <row r="4953" spans="12:16" ht="15" hidden="1" customHeight="1">
      <c r="L4953" s="58" t="str">
        <f t="shared" si="417"/>
        <v>-</v>
      </c>
      <c r="M4953" s="59">
        <f t="shared" si="420"/>
        <v>0</v>
      </c>
      <c r="N4953" s="59">
        <f t="shared" si="418"/>
        <v>0</v>
      </c>
      <c r="O4953" s="59">
        <f t="shared" si="421"/>
        <v>0</v>
      </c>
      <c r="P4953" s="59">
        <f t="shared" si="419"/>
        <v>0</v>
      </c>
    </row>
    <row r="4954" spans="12:16" ht="15" hidden="1" customHeight="1">
      <c r="L4954" s="58" t="str">
        <f t="shared" si="417"/>
        <v>-</v>
      </c>
      <c r="M4954" s="59">
        <f t="shared" si="420"/>
        <v>0</v>
      </c>
      <c r="N4954" s="59">
        <f t="shared" si="418"/>
        <v>0</v>
      </c>
      <c r="O4954" s="59">
        <f t="shared" si="421"/>
        <v>0</v>
      </c>
      <c r="P4954" s="59">
        <f t="shared" si="419"/>
        <v>0</v>
      </c>
    </row>
    <row r="4955" spans="12:16" ht="15" hidden="1" customHeight="1">
      <c r="L4955" s="58" t="str">
        <f t="shared" si="417"/>
        <v>-</v>
      </c>
      <c r="M4955" s="59">
        <f t="shared" si="420"/>
        <v>0</v>
      </c>
      <c r="N4955" s="59">
        <f t="shared" si="418"/>
        <v>0</v>
      </c>
      <c r="O4955" s="59">
        <f t="shared" si="421"/>
        <v>0</v>
      </c>
      <c r="P4955" s="59">
        <f t="shared" si="419"/>
        <v>0</v>
      </c>
    </row>
    <row r="4956" spans="12:16" ht="15" hidden="1" customHeight="1">
      <c r="L4956" s="58" t="str">
        <f t="shared" si="417"/>
        <v>-</v>
      </c>
      <c r="M4956" s="59">
        <f t="shared" si="420"/>
        <v>0</v>
      </c>
      <c r="N4956" s="59">
        <f t="shared" si="418"/>
        <v>0</v>
      </c>
      <c r="O4956" s="59">
        <f t="shared" si="421"/>
        <v>0</v>
      </c>
      <c r="P4956" s="59">
        <f t="shared" si="419"/>
        <v>0</v>
      </c>
    </row>
    <row r="4957" spans="12:16" ht="15" hidden="1" customHeight="1">
      <c r="L4957" s="58" t="str">
        <f t="shared" si="417"/>
        <v>-</v>
      </c>
      <c r="M4957" s="59">
        <f t="shared" si="420"/>
        <v>0</v>
      </c>
      <c r="N4957" s="59">
        <f t="shared" si="418"/>
        <v>0</v>
      </c>
      <c r="O4957" s="59">
        <f t="shared" si="421"/>
        <v>0</v>
      </c>
      <c r="P4957" s="59">
        <f t="shared" si="419"/>
        <v>0</v>
      </c>
    </row>
    <row r="4958" spans="12:16" ht="15" hidden="1" customHeight="1">
      <c r="L4958" s="58" t="str">
        <f t="shared" si="417"/>
        <v>-</v>
      </c>
      <c r="M4958" s="59">
        <f t="shared" si="420"/>
        <v>0</v>
      </c>
      <c r="N4958" s="59">
        <f t="shared" si="418"/>
        <v>0</v>
      </c>
      <c r="O4958" s="59">
        <f t="shared" si="421"/>
        <v>0</v>
      </c>
      <c r="P4958" s="59">
        <f t="shared" si="419"/>
        <v>0</v>
      </c>
    </row>
    <row r="4959" spans="12:16" ht="15" hidden="1" customHeight="1">
      <c r="L4959" s="58" t="str">
        <f t="shared" si="417"/>
        <v>-</v>
      </c>
      <c r="M4959" s="59">
        <f t="shared" si="420"/>
        <v>0</v>
      </c>
      <c r="N4959" s="59">
        <f t="shared" si="418"/>
        <v>0</v>
      </c>
      <c r="O4959" s="59">
        <f t="shared" si="421"/>
        <v>0</v>
      </c>
      <c r="P4959" s="59">
        <f t="shared" si="419"/>
        <v>0</v>
      </c>
    </row>
    <row r="4960" spans="12:16" ht="15" hidden="1" customHeight="1">
      <c r="L4960" s="58" t="str">
        <f t="shared" si="417"/>
        <v>-</v>
      </c>
      <c r="M4960" s="59">
        <f t="shared" si="420"/>
        <v>0</v>
      </c>
      <c r="N4960" s="59">
        <f t="shared" si="418"/>
        <v>0</v>
      </c>
      <c r="O4960" s="59">
        <f t="shared" si="421"/>
        <v>0</v>
      </c>
      <c r="P4960" s="59">
        <f t="shared" si="419"/>
        <v>0</v>
      </c>
    </row>
    <row r="4961" spans="12:16" ht="15" hidden="1" customHeight="1">
      <c r="L4961" s="58" t="str">
        <f t="shared" ref="L4961:L5024" si="422">IFERROR(IF(MAX(L4960+1,$F$5+1)&gt;Дата_погашения_Займа,"-",MAX(L4960+1,$F$5+1)),"-")</f>
        <v>-</v>
      </c>
      <c r="M4961" s="59">
        <f t="shared" si="420"/>
        <v>0</v>
      </c>
      <c r="N4961" s="59">
        <f t="shared" si="418"/>
        <v>0</v>
      </c>
      <c r="O4961" s="59">
        <f t="shared" si="421"/>
        <v>0</v>
      </c>
      <c r="P4961" s="59">
        <f t="shared" si="419"/>
        <v>0</v>
      </c>
    </row>
    <row r="4962" spans="12:16" ht="15" hidden="1" customHeight="1">
      <c r="L4962" s="58" t="str">
        <f t="shared" si="422"/>
        <v>-</v>
      </c>
      <c r="M4962" s="59">
        <f t="shared" si="420"/>
        <v>0</v>
      </c>
      <c r="N4962" s="59">
        <f t="shared" si="418"/>
        <v>0</v>
      </c>
      <c r="O4962" s="59">
        <f t="shared" si="421"/>
        <v>0</v>
      </c>
      <c r="P4962" s="59">
        <f t="shared" si="419"/>
        <v>0</v>
      </c>
    </row>
    <row r="4963" spans="12:16" ht="15" hidden="1" customHeight="1">
      <c r="L4963" s="58" t="str">
        <f t="shared" si="422"/>
        <v>-</v>
      </c>
      <c r="M4963" s="59">
        <f t="shared" si="420"/>
        <v>0</v>
      </c>
      <c r="N4963" s="59">
        <f t="shared" si="418"/>
        <v>0</v>
      </c>
      <c r="O4963" s="59">
        <f t="shared" si="421"/>
        <v>0</v>
      </c>
      <c r="P4963" s="59">
        <f t="shared" si="419"/>
        <v>0</v>
      </c>
    </row>
    <row r="4964" spans="12:16" ht="15" hidden="1" customHeight="1">
      <c r="L4964" s="58" t="str">
        <f t="shared" si="422"/>
        <v>-</v>
      </c>
      <c r="M4964" s="59">
        <f t="shared" si="420"/>
        <v>0</v>
      </c>
      <c r="N4964" s="59">
        <f t="shared" si="418"/>
        <v>0</v>
      </c>
      <c r="O4964" s="59">
        <f t="shared" si="421"/>
        <v>0</v>
      </c>
      <c r="P4964" s="59">
        <f t="shared" si="419"/>
        <v>0</v>
      </c>
    </row>
    <row r="4965" spans="12:16" ht="15" hidden="1" customHeight="1">
      <c r="L4965" s="58" t="str">
        <f t="shared" si="422"/>
        <v>-</v>
      </c>
      <c r="M4965" s="59">
        <f t="shared" si="420"/>
        <v>0</v>
      </c>
      <c r="N4965" s="59">
        <f t="shared" si="418"/>
        <v>0</v>
      </c>
      <c r="O4965" s="59">
        <f t="shared" si="421"/>
        <v>0</v>
      </c>
      <c r="P4965" s="59">
        <f t="shared" si="419"/>
        <v>0</v>
      </c>
    </row>
    <row r="4966" spans="12:16" ht="15" hidden="1" customHeight="1">
      <c r="L4966" s="58" t="str">
        <f t="shared" si="422"/>
        <v>-</v>
      </c>
      <c r="M4966" s="59">
        <f t="shared" si="420"/>
        <v>0</v>
      </c>
      <c r="N4966" s="59">
        <f t="shared" si="418"/>
        <v>0</v>
      </c>
      <c r="O4966" s="59">
        <f t="shared" si="421"/>
        <v>0</v>
      </c>
      <c r="P4966" s="59">
        <f t="shared" si="419"/>
        <v>0</v>
      </c>
    </row>
    <row r="4967" spans="12:16" ht="15" hidden="1" customHeight="1">
      <c r="L4967" s="58" t="str">
        <f t="shared" si="422"/>
        <v>-</v>
      </c>
      <c r="M4967" s="59">
        <f t="shared" si="420"/>
        <v>0</v>
      </c>
      <c r="N4967" s="59">
        <f t="shared" si="418"/>
        <v>0</v>
      </c>
      <c r="O4967" s="59">
        <f t="shared" si="421"/>
        <v>0</v>
      </c>
      <c r="P4967" s="59">
        <f t="shared" si="419"/>
        <v>0</v>
      </c>
    </row>
    <row r="4968" spans="12:16" ht="15" hidden="1" customHeight="1">
      <c r="L4968" s="58" t="str">
        <f t="shared" si="422"/>
        <v>-</v>
      </c>
      <c r="M4968" s="59">
        <f t="shared" si="420"/>
        <v>0</v>
      </c>
      <c r="N4968" s="59">
        <f t="shared" si="418"/>
        <v>0</v>
      </c>
      <c r="O4968" s="59">
        <f t="shared" si="421"/>
        <v>0</v>
      </c>
      <c r="P4968" s="59">
        <f t="shared" si="419"/>
        <v>0</v>
      </c>
    </row>
    <row r="4969" spans="12:16" ht="15" hidden="1" customHeight="1">
      <c r="L4969" s="58" t="str">
        <f t="shared" si="422"/>
        <v>-</v>
      </c>
      <c r="M4969" s="59">
        <f t="shared" si="420"/>
        <v>0</v>
      </c>
      <c r="N4969" s="59">
        <f t="shared" ref="N4969:N5032" si="423">IF(ISNUMBER(N4968),N4968-M4969,$E$8)</f>
        <v>0</v>
      </c>
      <c r="O4969" s="59">
        <f t="shared" si="421"/>
        <v>0</v>
      </c>
      <c r="P4969" s="59">
        <f t="shared" ref="P4969:P5032" si="424">IFERROR(IF(ISNUMBER(N4968),N4968,$E$8)*3%/IF(MOD(YEAR(L4969),4),365,366)*IF(ISBLANK(L4968),(L4969-$F$5),L4969-L4968),0)</f>
        <v>0</v>
      </c>
    </row>
    <row r="4970" spans="12:16" ht="15" hidden="1" customHeight="1">
      <c r="L4970" s="58" t="str">
        <f t="shared" si="422"/>
        <v>-</v>
      </c>
      <c r="M4970" s="59">
        <f t="shared" si="420"/>
        <v>0</v>
      </c>
      <c r="N4970" s="59">
        <f t="shared" si="423"/>
        <v>0</v>
      </c>
      <c r="O4970" s="59">
        <f t="shared" si="421"/>
        <v>0</v>
      </c>
      <c r="P4970" s="59">
        <f t="shared" si="424"/>
        <v>0</v>
      </c>
    </row>
    <row r="4971" spans="12:16" ht="15" hidden="1" customHeight="1">
      <c r="L4971" s="58" t="str">
        <f t="shared" si="422"/>
        <v>-</v>
      </c>
      <c r="M4971" s="59">
        <f t="shared" si="420"/>
        <v>0</v>
      </c>
      <c r="N4971" s="59">
        <f t="shared" si="423"/>
        <v>0</v>
      </c>
      <c r="O4971" s="59">
        <f t="shared" si="421"/>
        <v>0</v>
      </c>
      <c r="P4971" s="59">
        <f t="shared" si="424"/>
        <v>0</v>
      </c>
    </row>
    <row r="4972" spans="12:16" ht="15" hidden="1" customHeight="1">
      <c r="L4972" s="58" t="str">
        <f t="shared" si="422"/>
        <v>-</v>
      </c>
      <c r="M4972" s="59">
        <f t="shared" si="420"/>
        <v>0</v>
      </c>
      <c r="N4972" s="59">
        <f t="shared" si="423"/>
        <v>0</v>
      </c>
      <c r="O4972" s="59">
        <f t="shared" si="421"/>
        <v>0</v>
      </c>
      <c r="P4972" s="59">
        <f t="shared" si="424"/>
        <v>0</v>
      </c>
    </row>
    <row r="4973" spans="12:16" ht="15" hidden="1" customHeight="1">
      <c r="L4973" s="58" t="str">
        <f t="shared" si="422"/>
        <v>-</v>
      </c>
      <c r="M4973" s="59">
        <f t="shared" si="420"/>
        <v>0</v>
      </c>
      <c r="N4973" s="59">
        <f t="shared" si="423"/>
        <v>0</v>
      </c>
      <c r="O4973" s="59">
        <f t="shared" si="421"/>
        <v>0</v>
      </c>
      <c r="P4973" s="59">
        <f t="shared" si="424"/>
        <v>0</v>
      </c>
    </row>
    <row r="4974" spans="12:16" ht="15" hidden="1" customHeight="1">
      <c r="L4974" s="58" t="str">
        <f t="shared" si="422"/>
        <v>-</v>
      </c>
      <c r="M4974" s="59">
        <f t="shared" si="420"/>
        <v>0</v>
      </c>
      <c r="N4974" s="59">
        <f t="shared" si="423"/>
        <v>0</v>
      </c>
      <c r="O4974" s="59">
        <f t="shared" si="421"/>
        <v>0</v>
      </c>
      <c r="P4974" s="59">
        <f t="shared" si="424"/>
        <v>0</v>
      </c>
    </row>
    <row r="4975" spans="12:16" ht="15" hidden="1" customHeight="1">
      <c r="L4975" s="58" t="str">
        <f t="shared" si="422"/>
        <v>-</v>
      </c>
      <c r="M4975" s="59">
        <f t="shared" si="420"/>
        <v>0</v>
      </c>
      <c r="N4975" s="59">
        <f t="shared" si="423"/>
        <v>0</v>
      </c>
      <c r="O4975" s="59">
        <f t="shared" si="421"/>
        <v>0</v>
      </c>
      <c r="P4975" s="59">
        <f t="shared" si="424"/>
        <v>0</v>
      </c>
    </row>
    <row r="4976" spans="12:16" ht="15" hidden="1" customHeight="1">
      <c r="L4976" s="58" t="str">
        <f t="shared" si="422"/>
        <v>-</v>
      </c>
      <c r="M4976" s="59">
        <f t="shared" si="420"/>
        <v>0</v>
      </c>
      <c r="N4976" s="59">
        <f t="shared" si="423"/>
        <v>0</v>
      </c>
      <c r="O4976" s="59">
        <f t="shared" si="421"/>
        <v>0</v>
      </c>
      <c r="P4976" s="59">
        <f t="shared" si="424"/>
        <v>0</v>
      </c>
    </row>
    <row r="4977" spans="12:16" ht="15" hidden="1" customHeight="1">
      <c r="L4977" s="58" t="str">
        <f t="shared" si="422"/>
        <v>-</v>
      </c>
      <c r="M4977" s="59">
        <f t="shared" si="420"/>
        <v>0</v>
      </c>
      <c r="N4977" s="59">
        <f t="shared" si="423"/>
        <v>0</v>
      </c>
      <c r="O4977" s="59">
        <f t="shared" si="421"/>
        <v>0</v>
      </c>
      <c r="P4977" s="59">
        <f t="shared" si="424"/>
        <v>0</v>
      </c>
    </row>
    <row r="4978" spans="12:16" ht="15" hidden="1" customHeight="1">
      <c r="L4978" s="58" t="str">
        <f t="shared" si="422"/>
        <v>-</v>
      </c>
      <c r="M4978" s="59">
        <f t="shared" si="420"/>
        <v>0</v>
      </c>
      <c r="N4978" s="59">
        <f t="shared" si="423"/>
        <v>0</v>
      </c>
      <c r="O4978" s="59">
        <f t="shared" si="421"/>
        <v>0</v>
      </c>
      <c r="P4978" s="59">
        <f t="shared" si="424"/>
        <v>0</v>
      </c>
    </row>
    <row r="4979" spans="12:16" ht="15" hidden="1" customHeight="1">
      <c r="L4979" s="58" t="str">
        <f t="shared" si="422"/>
        <v>-</v>
      </c>
      <c r="M4979" s="59">
        <f t="shared" si="420"/>
        <v>0</v>
      </c>
      <c r="N4979" s="59">
        <f t="shared" si="423"/>
        <v>0</v>
      </c>
      <c r="O4979" s="59">
        <f t="shared" si="421"/>
        <v>0</v>
      </c>
      <c r="P4979" s="59">
        <f t="shared" si="424"/>
        <v>0</v>
      </c>
    </row>
    <row r="4980" spans="12:16" ht="15" hidden="1" customHeight="1">
      <c r="L4980" s="58" t="str">
        <f t="shared" si="422"/>
        <v>-</v>
      </c>
      <c r="M4980" s="59">
        <f t="shared" si="420"/>
        <v>0</v>
      </c>
      <c r="N4980" s="59">
        <f t="shared" si="423"/>
        <v>0</v>
      </c>
      <c r="O4980" s="59">
        <f t="shared" si="421"/>
        <v>0</v>
      </c>
      <c r="P4980" s="59">
        <f t="shared" si="424"/>
        <v>0</v>
      </c>
    </row>
    <row r="4981" spans="12:16" ht="15" hidden="1" customHeight="1">
      <c r="L4981" s="58" t="str">
        <f t="shared" si="422"/>
        <v>-</v>
      </c>
      <c r="M4981" s="59">
        <f t="shared" si="420"/>
        <v>0</v>
      </c>
      <c r="N4981" s="59">
        <f t="shared" si="423"/>
        <v>0</v>
      </c>
      <c r="O4981" s="59">
        <f t="shared" si="421"/>
        <v>0</v>
      </c>
      <c r="P4981" s="59">
        <f t="shared" si="424"/>
        <v>0</v>
      </c>
    </row>
    <row r="4982" spans="12:16" ht="15" hidden="1" customHeight="1">
      <c r="L4982" s="58" t="str">
        <f t="shared" si="422"/>
        <v>-</v>
      </c>
      <c r="M4982" s="59">
        <f t="shared" si="420"/>
        <v>0</v>
      </c>
      <c r="N4982" s="59">
        <f t="shared" si="423"/>
        <v>0</v>
      </c>
      <c r="O4982" s="59">
        <f t="shared" si="421"/>
        <v>0</v>
      </c>
      <c r="P4982" s="59">
        <f t="shared" si="424"/>
        <v>0</v>
      </c>
    </row>
    <row r="4983" spans="12:16" ht="15" hidden="1" customHeight="1">
      <c r="L4983" s="58" t="str">
        <f t="shared" si="422"/>
        <v>-</v>
      </c>
      <c r="M4983" s="59">
        <f t="shared" si="420"/>
        <v>0</v>
      </c>
      <c r="N4983" s="59">
        <f t="shared" si="423"/>
        <v>0</v>
      </c>
      <c r="O4983" s="59">
        <f t="shared" si="421"/>
        <v>0</v>
      </c>
      <c r="P4983" s="59">
        <f t="shared" si="424"/>
        <v>0</v>
      </c>
    </row>
    <row r="4984" spans="12:16" ht="15" hidden="1" customHeight="1">
      <c r="L4984" s="58" t="str">
        <f t="shared" si="422"/>
        <v>-</v>
      </c>
      <c r="M4984" s="59">
        <f t="shared" si="420"/>
        <v>0</v>
      </c>
      <c r="N4984" s="59">
        <f t="shared" si="423"/>
        <v>0</v>
      </c>
      <c r="O4984" s="59">
        <f t="shared" si="421"/>
        <v>0</v>
      </c>
      <c r="P4984" s="59">
        <f t="shared" si="424"/>
        <v>0</v>
      </c>
    </row>
    <row r="4985" spans="12:16" ht="15" hidden="1" customHeight="1">
      <c r="L4985" s="58" t="str">
        <f t="shared" si="422"/>
        <v>-</v>
      </c>
      <c r="M4985" s="59">
        <f t="shared" si="420"/>
        <v>0</v>
      </c>
      <c r="N4985" s="59">
        <f t="shared" si="423"/>
        <v>0</v>
      </c>
      <c r="O4985" s="59">
        <f t="shared" si="421"/>
        <v>0</v>
      </c>
      <c r="P4985" s="59">
        <f t="shared" si="424"/>
        <v>0</v>
      </c>
    </row>
    <row r="4986" spans="12:16" ht="15" hidden="1" customHeight="1">
      <c r="L4986" s="58" t="str">
        <f t="shared" si="422"/>
        <v>-</v>
      </c>
      <c r="M4986" s="59">
        <f t="shared" si="420"/>
        <v>0</v>
      </c>
      <c r="N4986" s="59">
        <f t="shared" si="423"/>
        <v>0</v>
      </c>
      <c r="O4986" s="59">
        <f t="shared" si="421"/>
        <v>0</v>
      </c>
      <c r="P4986" s="59">
        <f t="shared" si="424"/>
        <v>0</v>
      </c>
    </row>
    <row r="4987" spans="12:16" ht="15" hidden="1" customHeight="1">
      <c r="L4987" s="58" t="str">
        <f t="shared" si="422"/>
        <v>-</v>
      </c>
      <c r="M4987" s="59">
        <f t="shared" si="420"/>
        <v>0</v>
      </c>
      <c r="N4987" s="59">
        <f t="shared" si="423"/>
        <v>0</v>
      </c>
      <c r="O4987" s="59">
        <f t="shared" si="421"/>
        <v>0</v>
      </c>
      <c r="P4987" s="59">
        <f t="shared" si="424"/>
        <v>0</v>
      </c>
    </row>
    <row r="4988" spans="12:16" ht="15" hidden="1" customHeight="1">
      <c r="L4988" s="58" t="str">
        <f t="shared" si="422"/>
        <v>-</v>
      </c>
      <c r="M4988" s="59">
        <f t="shared" si="420"/>
        <v>0</v>
      </c>
      <c r="N4988" s="59">
        <f t="shared" si="423"/>
        <v>0</v>
      </c>
      <c r="O4988" s="59">
        <f t="shared" si="421"/>
        <v>0</v>
      </c>
      <c r="P4988" s="59">
        <f t="shared" si="424"/>
        <v>0</v>
      </c>
    </row>
    <row r="4989" spans="12:16" ht="15" hidden="1" customHeight="1">
      <c r="L4989" s="58" t="str">
        <f t="shared" si="422"/>
        <v>-</v>
      </c>
      <c r="M4989" s="59">
        <f t="shared" si="420"/>
        <v>0</v>
      </c>
      <c r="N4989" s="59">
        <f t="shared" si="423"/>
        <v>0</v>
      </c>
      <c r="O4989" s="59">
        <f t="shared" si="421"/>
        <v>0</v>
      </c>
      <c r="P4989" s="59">
        <f t="shared" si="424"/>
        <v>0</v>
      </c>
    </row>
    <row r="4990" spans="12:16" ht="15" hidden="1" customHeight="1">
      <c r="L4990" s="58" t="str">
        <f t="shared" si="422"/>
        <v>-</v>
      </c>
      <c r="M4990" s="59">
        <f t="shared" si="420"/>
        <v>0</v>
      </c>
      <c r="N4990" s="59">
        <f t="shared" si="423"/>
        <v>0</v>
      </c>
      <c r="O4990" s="59">
        <f t="shared" si="421"/>
        <v>0</v>
      </c>
      <c r="P4990" s="59">
        <f t="shared" si="424"/>
        <v>0</v>
      </c>
    </row>
    <row r="4991" spans="12:16" ht="15" hidden="1" customHeight="1">
      <c r="L4991" s="58" t="str">
        <f t="shared" si="422"/>
        <v>-</v>
      </c>
      <c r="M4991" s="59">
        <f t="shared" si="420"/>
        <v>0</v>
      </c>
      <c r="N4991" s="59">
        <f t="shared" si="423"/>
        <v>0</v>
      </c>
      <c r="O4991" s="59">
        <f t="shared" si="421"/>
        <v>0</v>
      </c>
      <c r="P4991" s="59">
        <f t="shared" si="424"/>
        <v>0</v>
      </c>
    </row>
    <row r="4992" spans="12:16" ht="15" hidden="1" customHeight="1">
      <c r="L4992" s="58" t="str">
        <f t="shared" si="422"/>
        <v>-</v>
      </c>
      <c r="M4992" s="59">
        <f t="shared" si="420"/>
        <v>0</v>
      </c>
      <c r="N4992" s="59">
        <f t="shared" si="423"/>
        <v>0</v>
      </c>
      <c r="O4992" s="59">
        <f t="shared" si="421"/>
        <v>0</v>
      </c>
      <c r="P4992" s="59">
        <f t="shared" si="424"/>
        <v>0</v>
      </c>
    </row>
    <row r="4993" spans="12:16" ht="15" hidden="1" customHeight="1">
      <c r="L4993" s="58" t="str">
        <f t="shared" si="422"/>
        <v>-</v>
      </c>
      <c r="M4993" s="59">
        <f t="shared" si="420"/>
        <v>0</v>
      </c>
      <c r="N4993" s="59">
        <f t="shared" si="423"/>
        <v>0</v>
      </c>
      <c r="O4993" s="59">
        <f t="shared" si="421"/>
        <v>0</v>
      </c>
      <c r="P4993" s="59">
        <f t="shared" si="424"/>
        <v>0</v>
      </c>
    </row>
    <row r="4994" spans="12:16" ht="15" hidden="1" customHeight="1">
      <c r="L4994" s="58" t="str">
        <f t="shared" si="422"/>
        <v>-</v>
      </c>
      <c r="M4994" s="59">
        <f t="shared" si="420"/>
        <v>0</v>
      </c>
      <c r="N4994" s="59">
        <f t="shared" si="423"/>
        <v>0</v>
      </c>
      <c r="O4994" s="59">
        <f t="shared" si="421"/>
        <v>0</v>
      </c>
      <c r="P4994" s="59">
        <f t="shared" si="424"/>
        <v>0</v>
      </c>
    </row>
    <row r="4995" spans="12:16" ht="15" hidden="1" customHeight="1">
      <c r="L4995" s="58" t="str">
        <f t="shared" si="422"/>
        <v>-</v>
      </c>
      <c r="M4995" s="59">
        <f t="shared" si="420"/>
        <v>0</v>
      </c>
      <c r="N4995" s="59">
        <f t="shared" si="423"/>
        <v>0</v>
      </c>
      <c r="O4995" s="59">
        <f t="shared" si="421"/>
        <v>0</v>
      </c>
      <c r="P4995" s="59">
        <f t="shared" si="424"/>
        <v>0</v>
      </c>
    </row>
    <row r="4996" spans="12:16" ht="15" hidden="1" customHeight="1">
      <c r="L4996" s="58" t="str">
        <f t="shared" si="422"/>
        <v>-</v>
      </c>
      <c r="M4996" s="59">
        <f t="shared" si="420"/>
        <v>0</v>
      </c>
      <c r="N4996" s="59">
        <f t="shared" si="423"/>
        <v>0</v>
      </c>
      <c r="O4996" s="59">
        <f t="shared" si="421"/>
        <v>0</v>
      </c>
      <c r="P4996" s="59">
        <f t="shared" si="424"/>
        <v>0</v>
      </c>
    </row>
    <row r="4997" spans="12:16" ht="15" hidden="1" customHeight="1">
      <c r="L4997" s="58" t="str">
        <f t="shared" si="422"/>
        <v>-</v>
      </c>
      <c r="M4997" s="59">
        <f t="shared" si="420"/>
        <v>0</v>
      </c>
      <c r="N4997" s="59">
        <f t="shared" si="423"/>
        <v>0</v>
      </c>
      <c r="O4997" s="59">
        <f t="shared" si="421"/>
        <v>0</v>
      </c>
      <c r="P4997" s="59">
        <f t="shared" si="424"/>
        <v>0</v>
      </c>
    </row>
    <row r="4998" spans="12:16" ht="15" hidden="1" customHeight="1">
      <c r="L4998" s="58" t="str">
        <f t="shared" si="422"/>
        <v>-</v>
      </c>
      <c r="M4998" s="59">
        <f t="shared" si="420"/>
        <v>0</v>
      </c>
      <c r="N4998" s="59">
        <f t="shared" si="423"/>
        <v>0</v>
      </c>
      <c r="O4998" s="59">
        <f t="shared" si="421"/>
        <v>0</v>
      </c>
      <c r="P4998" s="59">
        <f t="shared" si="424"/>
        <v>0</v>
      </c>
    </row>
    <row r="4999" spans="12:16" ht="15" hidden="1" customHeight="1">
      <c r="L4999" s="58" t="str">
        <f t="shared" si="422"/>
        <v>-</v>
      </c>
      <c r="M4999" s="59">
        <f t="shared" si="420"/>
        <v>0</v>
      </c>
      <c r="N4999" s="59">
        <f t="shared" si="423"/>
        <v>0</v>
      </c>
      <c r="O4999" s="59">
        <f t="shared" si="421"/>
        <v>0</v>
      </c>
      <c r="P4999" s="59">
        <f t="shared" si="424"/>
        <v>0</v>
      </c>
    </row>
    <row r="5000" spans="12:16" ht="15" hidden="1" customHeight="1">
      <c r="L5000" s="58" t="str">
        <f t="shared" si="422"/>
        <v>-</v>
      </c>
      <c r="M5000" s="59">
        <f t="shared" si="420"/>
        <v>0</v>
      </c>
      <c r="N5000" s="59">
        <f t="shared" si="423"/>
        <v>0</v>
      </c>
      <c r="O5000" s="59">
        <f t="shared" si="421"/>
        <v>0</v>
      </c>
      <c r="P5000" s="59">
        <f t="shared" si="424"/>
        <v>0</v>
      </c>
    </row>
    <row r="5001" spans="12:16" ht="15" hidden="1" customHeight="1">
      <c r="L5001" s="58" t="str">
        <f t="shared" si="422"/>
        <v>-</v>
      </c>
      <c r="M5001" s="59">
        <f t="shared" si="420"/>
        <v>0</v>
      </c>
      <c r="N5001" s="59">
        <f t="shared" si="423"/>
        <v>0</v>
      </c>
      <c r="O5001" s="59">
        <f t="shared" si="421"/>
        <v>0</v>
      </c>
      <c r="P5001" s="59">
        <f t="shared" si="424"/>
        <v>0</v>
      </c>
    </row>
    <row r="5002" spans="12:16" ht="15" hidden="1" customHeight="1">
      <c r="L5002" s="58" t="str">
        <f t="shared" si="422"/>
        <v>-</v>
      </c>
      <c r="M5002" s="59">
        <f t="shared" si="420"/>
        <v>0</v>
      </c>
      <c r="N5002" s="59">
        <f t="shared" si="423"/>
        <v>0</v>
      </c>
      <c r="O5002" s="59">
        <f t="shared" si="421"/>
        <v>0</v>
      </c>
      <c r="P5002" s="59">
        <f t="shared" si="424"/>
        <v>0</v>
      </c>
    </row>
    <row r="5003" spans="12:16" ht="15" hidden="1" customHeight="1">
      <c r="L5003" s="58" t="str">
        <f t="shared" si="422"/>
        <v>-</v>
      </c>
      <c r="M5003" s="59">
        <f t="shared" si="420"/>
        <v>0</v>
      </c>
      <c r="N5003" s="59">
        <f t="shared" si="423"/>
        <v>0</v>
      </c>
      <c r="O5003" s="59">
        <f t="shared" si="421"/>
        <v>0</v>
      </c>
      <c r="P5003" s="59">
        <f t="shared" si="424"/>
        <v>0</v>
      </c>
    </row>
    <row r="5004" spans="12:16" ht="15" hidden="1" customHeight="1">
      <c r="L5004" s="58" t="str">
        <f t="shared" si="422"/>
        <v>-</v>
      </c>
      <c r="M5004" s="59">
        <f t="shared" si="420"/>
        <v>0</v>
      </c>
      <c r="N5004" s="59">
        <f t="shared" si="423"/>
        <v>0</v>
      </c>
      <c r="O5004" s="59">
        <f t="shared" si="421"/>
        <v>0</v>
      </c>
      <c r="P5004" s="59">
        <f t="shared" si="424"/>
        <v>0</v>
      </c>
    </row>
    <row r="5005" spans="12:16" ht="15" hidden="1" customHeight="1">
      <c r="L5005" s="58" t="str">
        <f t="shared" si="422"/>
        <v>-</v>
      </c>
      <c r="M5005" s="59">
        <f t="shared" si="420"/>
        <v>0</v>
      </c>
      <c r="N5005" s="59">
        <f t="shared" si="423"/>
        <v>0</v>
      </c>
      <c r="O5005" s="59">
        <f t="shared" si="421"/>
        <v>0</v>
      </c>
      <c r="P5005" s="59">
        <f t="shared" si="424"/>
        <v>0</v>
      </c>
    </row>
    <row r="5006" spans="12:16" ht="15" hidden="1" customHeight="1">
      <c r="L5006" s="58" t="str">
        <f t="shared" si="422"/>
        <v>-</v>
      </c>
      <c r="M5006" s="59">
        <f t="shared" si="420"/>
        <v>0</v>
      </c>
      <c r="N5006" s="59">
        <f t="shared" si="423"/>
        <v>0</v>
      </c>
      <c r="O5006" s="59">
        <f t="shared" si="421"/>
        <v>0</v>
      </c>
      <c r="P5006" s="59">
        <f t="shared" si="424"/>
        <v>0</v>
      </c>
    </row>
    <row r="5007" spans="12:16" ht="15" hidden="1" customHeight="1">
      <c r="L5007" s="58" t="str">
        <f t="shared" si="422"/>
        <v>-</v>
      </c>
      <c r="M5007" s="59">
        <f t="shared" si="420"/>
        <v>0</v>
      </c>
      <c r="N5007" s="59">
        <f t="shared" si="423"/>
        <v>0</v>
      </c>
      <c r="O5007" s="59">
        <f t="shared" si="421"/>
        <v>0</v>
      </c>
      <c r="P5007" s="59">
        <f t="shared" si="424"/>
        <v>0</v>
      </c>
    </row>
    <row r="5008" spans="12:16" ht="15" hidden="1" customHeight="1">
      <c r="L5008" s="58" t="str">
        <f t="shared" si="422"/>
        <v>-</v>
      </c>
      <c r="M5008" s="59">
        <f t="shared" si="420"/>
        <v>0</v>
      </c>
      <c r="N5008" s="59">
        <f t="shared" si="423"/>
        <v>0</v>
      </c>
      <c r="O5008" s="59">
        <f t="shared" si="421"/>
        <v>0</v>
      </c>
      <c r="P5008" s="59">
        <f t="shared" si="424"/>
        <v>0</v>
      </c>
    </row>
    <row r="5009" spans="12:16" ht="15" hidden="1" customHeight="1">
      <c r="L5009" s="58" t="str">
        <f t="shared" si="422"/>
        <v>-</v>
      </c>
      <c r="M5009" s="59">
        <f t="shared" si="420"/>
        <v>0</v>
      </c>
      <c r="N5009" s="59">
        <f t="shared" si="423"/>
        <v>0</v>
      </c>
      <c r="O5009" s="59">
        <f t="shared" si="421"/>
        <v>0</v>
      </c>
      <c r="P5009" s="59">
        <f t="shared" si="424"/>
        <v>0</v>
      </c>
    </row>
    <row r="5010" spans="12:16" ht="15" hidden="1" customHeight="1">
      <c r="L5010" s="58" t="str">
        <f t="shared" si="422"/>
        <v>-</v>
      </c>
      <c r="M5010" s="59">
        <f t="shared" si="420"/>
        <v>0</v>
      </c>
      <c r="N5010" s="59">
        <f t="shared" si="423"/>
        <v>0</v>
      </c>
      <c r="O5010" s="59">
        <f t="shared" si="421"/>
        <v>0</v>
      </c>
      <c r="P5010" s="59">
        <f t="shared" si="424"/>
        <v>0</v>
      </c>
    </row>
    <row r="5011" spans="12:16" ht="15" hidden="1" customHeight="1">
      <c r="L5011" s="58" t="str">
        <f t="shared" si="422"/>
        <v>-</v>
      </c>
      <c r="M5011" s="59">
        <f t="shared" ref="M5011:M5074" si="425">IFERROR(VLOOKUP(L5011,$B$19:$E$80,4,FALSE),0)</f>
        <v>0</v>
      </c>
      <c r="N5011" s="59">
        <f t="shared" si="423"/>
        <v>0</v>
      </c>
      <c r="O5011" s="59">
        <f t="shared" ref="O5011:O5074" si="426">IFERROR(IF(ISNUMBER(N5010),N5010,$E$8)*IF(L5011&gt;=$J$8,$E$12,$E$12)/IF(MOD(YEAR(L5011),4),365,366)*IF(ISBLANK(L5010),L5011-$F$5,L5011-L5010),0)</f>
        <v>0</v>
      </c>
      <c r="P5011" s="59">
        <f t="shared" si="424"/>
        <v>0</v>
      </c>
    </row>
    <row r="5012" spans="12:16" ht="15" hidden="1" customHeight="1">
      <c r="L5012" s="58" t="str">
        <f t="shared" si="422"/>
        <v>-</v>
      </c>
      <c r="M5012" s="59">
        <f t="shared" si="425"/>
        <v>0</v>
      </c>
      <c r="N5012" s="59">
        <f t="shared" si="423"/>
        <v>0</v>
      </c>
      <c r="O5012" s="59">
        <f t="shared" si="426"/>
        <v>0</v>
      </c>
      <c r="P5012" s="59">
        <f t="shared" si="424"/>
        <v>0</v>
      </c>
    </row>
    <row r="5013" spans="12:16" ht="15" hidden="1" customHeight="1">
      <c r="L5013" s="58" t="str">
        <f t="shared" si="422"/>
        <v>-</v>
      </c>
      <c r="M5013" s="59">
        <f t="shared" si="425"/>
        <v>0</v>
      </c>
      <c r="N5013" s="59">
        <f t="shared" si="423"/>
        <v>0</v>
      </c>
      <c r="O5013" s="59">
        <f t="shared" si="426"/>
        <v>0</v>
      </c>
      <c r="P5013" s="59">
        <f t="shared" si="424"/>
        <v>0</v>
      </c>
    </row>
    <row r="5014" spans="12:16" ht="15" hidden="1" customHeight="1">
      <c r="L5014" s="58" t="str">
        <f t="shared" si="422"/>
        <v>-</v>
      </c>
      <c r="M5014" s="59">
        <f t="shared" si="425"/>
        <v>0</v>
      </c>
      <c r="N5014" s="59">
        <f t="shared" si="423"/>
        <v>0</v>
      </c>
      <c r="O5014" s="59">
        <f t="shared" si="426"/>
        <v>0</v>
      </c>
      <c r="P5014" s="59">
        <f t="shared" si="424"/>
        <v>0</v>
      </c>
    </row>
    <row r="5015" spans="12:16" ht="15" hidden="1" customHeight="1">
      <c r="L5015" s="58" t="str">
        <f t="shared" si="422"/>
        <v>-</v>
      </c>
      <c r="M5015" s="59">
        <f t="shared" si="425"/>
        <v>0</v>
      </c>
      <c r="N5015" s="59">
        <f t="shared" si="423"/>
        <v>0</v>
      </c>
      <c r="O5015" s="59">
        <f t="shared" si="426"/>
        <v>0</v>
      </c>
      <c r="P5015" s="59">
        <f t="shared" si="424"/>
        <v>0</v>
      </c>
    </row>
    <row r="5016" spans="12:16" ht="15" hidden="1" customHeight="1">
      <c r="L5016" s="58" t="str">
        <f t="shared" si="422"/>
        <v>-</v>
      </c>
      <c r="M5016" s="59">
        <f t="shared" si="425"/>
        <v>0</v>
      </c>
      <c r="N5016" s="59">
        <f t="shared" si="423"/>
        <v>0</v>
      </c>
      <c r="O5016" s="59">
        <f t="shared" si="426"/>
        <v>0</v>
      </c>
      <c r="P5016" s="59">
        <f t="shared" si="424"/>
        <v>0</v>
      </c>
    </row>
    <row r="5017" spans="12:16" ht="15" hidden="1" customHeight="1">
      <c r="L5017" s="58" t="str">
        <f t="shared" si="422"/>
        <v>-</v>
      </c>
      <c r="M5017" s="59">
        <f t="shared" si="425"/>
        <v>0</v>
      </c>
      <c r="N5017" s="59">
        <f t="shared" si="423"/>
        <v>0</v>
      </c>
      <c r="O5017" s="59">
        <f t="shared" si="426"/>
        <v>0</v>
      </c>
      <c r="P5017" s="59">
        <f t="shared" si="424"/>
        <v>0</v>
      </c>
    </row>
    <row r="5018" spans="12:16" ht="15" hidden="1" customHeight="1">
      <c r="L5018" s="58" t="str">
        <f t="shared" si="422"/>
        <v>-</v>
      </c>
      <c r="M5018" s="59">
        <f t="shared" si="425"/>
        <v>0</v>
      </c>
      <c r="N5018" s="59">
        <f t="shared" si="423"/>
        <v>0</v>
      </c>
      <c r="O5018" s="59">
        <f t="shared" si="426"/>
        <v>0</v>
      </c>
      <c r="P5018" s="59">
        <f t="shared" si="424"/>
        <v>0</v>
      </c>
    </row>
    <row r="5019" spans="12:16" ht="15" hidden="1" customHeight="1">
      <c r="L5019" s="58" t="str">
        <f t="shared" si="422"/>
        <v>-</v>
      </c>
      <c r="M5019" s="59">
        <f t="shared" si="425"/>
        <v>0</v>
      </c>
      <c r="N5019" s="59">
        <f t="shared" si="423"/>
        <v>0</v>
      </c>
      <c r="O5019" s="59">
        <f t="shared" si="426"/>
        <v>0</v>
      </c>
      <c r="P5019" s="59">
        <f t="shared" si="424"/>
        <v>0</v>
      </c>
    </row>
    <row r="5020" spans="12:16" ht="15" hidden="1" customHeight="1">
      <c r="L5020" s="58" t="str">
        <f t="shared" si="422"/>
        <v>-</v>
      </c>
      <c r="M5020" s="59">
        <f t="shared" si="425"/>
        <v>0</v>
      </c>
      <c r="N5020" s="59">
        <f t="shared" si="423"/>
        <v>0</v>
      </c>
      <c r="O5020" s="59">
        <f t="shared" si="426"/>
        <v>0</v>
      </c>
      <c r="P5020" s="59">
        <f t="shared" si="424"/>
        <v>0</v>
      </c>
    </row>
    <row r="5021" spans="12:16" ht="15" hidden="1" customHeight="1">
      <c r="L5021" s="58" t="str">
        <f t="shared" si="422"/>
        <v>-</v>
      </c>
      <c r="M5021" s="59">
        <f t="shared" si="425"/>
        <v>0</v>
      </c>
      <c r="N5021" s="59">
        <f t="shared" si="423"/>
        <v>0</v>
      </c>
      <c r="O5021" s="59">
        <f t="shared" si="426"/>
        <v>0</v>
      </c>
      <c r="P5021" s="59">
        <f t="shared" si="424"/>
        <v>0</v>
      </c>
    </row>
    <row r="5022" spans="12:16" ht="15" hidden="1" customHeight="1">
      <c r="L5022" s="58" t="str">
        <f t="shared" si="422"/>
        <v>-</v>
      </c>
      <c r="M5022" s="59">
        <f t="shared" si="425"/>
        <v>0</v>
      </c>
      <c r="N5022" s="59">
        <f t="shared" si="423"/>
        <v>0</v>
      </c>
      <c r="O5022" s="59">
        <f t="shared" si="426"/>
        <v>0</v>
      </c>
      <c r="P5022" s="59">
        <f t="shared" si="424"/>
        <v>0</v>
      </c>
    </row>
    <row r="5023" spans="12:16" ht="15" hidden="1" customHeight="1">
      <c r="L5023" s="58" t="str">
        <f t="shared" si="422"/>
        <v>-</v>
      </c>
      <c r="M5023" s="59">
        <f t="shared" si="425"/>
        <v>0</v>
      </c>
      <c r="N5023" s="59">
        <f t="shared" si="423"/>
        <v>0</v>
      </c>
      <c r="O5023" s="59">
        <f t="shared" si="426"/>
        <v>0</v>
      </c>
      <c r="P5023" s="59">
        <f t="shared" si="424"/>
        <v>0</v>
      </c>
    </row>
    <row r="5024" spans="12:16" ht="15" hidden="1" customHeight="1">
      <c r="L5024" s="58" t="str">
        <f t="shared" si="422"/>
        <v>-</v>
      </c>
      <c r="M5024" s="59">
        <f t="shared" si="425"/>
        <v>0</v>
      </c>
      <c r="N5024" s="59">
        <f t="shared" si="423"/>
        <v>0</v>
      </c>
      <c r="O5024" s="59">
        <f t="shared" si="426"/>
        <v>0</v>
      </c>
      <c r="P5024" s="59">
        <f t="shared" si="424"/>
        <v>0</v>
      </c>
    </row>
    <row r="5025" spans="12:16" ht="15" hidden="1" customHeight="1">
      <c r="L5025" s="58" t="str">
        <f t="shared" ref="L5025:L5088" si="427">IFERROR(IF(MAX(L5024+1,$F$5+1)&gt;Дата_погашения_Займа,"-",MAX(L5024+1,$F$5+1)),"-")</f>
        <v>-</v>
      </c>
      <c r="M5025" s="59">
        <f t="shared" si="425"/>
        <v>0</v>
      </c>
      <c r="N5025" s="59">
        <f t="shared" si="423"/>
        <v>0</v>
      </c>
      <c r="O5025" s="59">
        <f t="shared" si="426"/>
        <v>0</v>
      </c>
      <c r="P5025" s="59">
        <f t="shared" si="424"/>
        <v>0</v>
      </c>
    </row>
    <row r="5026" spans="12:16" ht="15" hidden="1" customHeight="1">
      <c r="L5026" s="58" t="str">
        <f t="shared" si="427"/>
        <v>-</v>
      </c>
      <c r="M5026" s="59">
        <f t="shared" si="425"/>
        <v>0</v>
      </c>
      <c r="N5026" s="59">
        <f t="shared" si="423"/>
        <v>0</v>
      </c>
      <c r="O5026" s="59">
        <f t="shared" si="426"/>
        <v>0</v>
      </c>
      <c r="P5026" s="59">
        <f t="shared" si="424"/>
        <v>0</v>
      </c>
    </row>
    <row r="5027" spans="12:16" ht="15" hidden="1" customHeight="1">
      <c r="L5027" s="58" t="str">
        <f t="shared" si="427"/>
        <v>-</v>
      </c>
      <c r="M5027" s="59">
        <f t="shared" si="425"/>
        <v>0</v>
      </c>
      <c r="N5027" s="59">
        <f t="shared" si="423"/>
        <v>0</v>
      </c>
      <c r="O5027" s="59">
        <f t="shared" si="426"/>
        <v>0</v>
      </c>
      <c r="P5027" s="59">
        <f t="shared" si="424"/>
        <v>0</v>
      </c>
    </row>
    <row r="5028" spans="12:16" ht="15" hidden="1" customHeight="1">
      <c r="L5028" s="58" t="str">
        <f t="shared" si="427"/>
        <v>-</v>
      </c>
      <c r="M5028" s="59">
        <f t="shared" si="425"/>
        <v>0</v>
      </c>
      <c r="N5028" s="59">
        <f t="shared" si="423"/>
        <v>0</v>
      </c>
      <c r="O5028" s="59">
        <f t="shared" si="426"/>
        <v>0</v>
      </c>
      <c r="P5028" s="59">
        <f t="shared" si="424"/>
        <v>0</v>
      </c>
    </row>
    <row r="5029" spans="12:16" ht="15" hidden="1" customHeight="1">
      <c r="L5029" s="58" t="str">
        <f t="shared" si="427"/>
        <v>-</v>
      </c>
      <c r="M5029" s="59">
        <f t="shared" si="425"/>
        <v>0</v>
      </c>
      <c r="N5029" s="59">
        <f t="shared" si="423"/>
        <v>0</v>
      </c>
      <c r="O5029" s="59">
        <f t="shared" si="426"/>
        <v>0</v>
      </c>
      <c r="P5029" s="59">
        <f t="shared" si="424"/>
        <v>0</v>
      </c>
    </row>
    <row r="5030" spans="12:16" ht="15" hidden="1" customHeight="1">
      <c r="L5030" s="58" t="str">
        <f t="shared" si="427"/>
        <v>-</v>
      </c>
      <c r="M5030" s="59">
        <f t="shared" si="425"/>
        <v>0</v>
      </c>
      <c r="N5030" s="59">
        <f t="shared" si="423"/>
        <v>0</v>
      </c>
      <c r="O5030" s="59">
        <f t="shared" si="426"/>
        <v>0</v>
      </c>
      <c r="P5030" s="59">
        <f t="shared" si="424"/>
        <v>0</v>
      </c>
    </row>
    <row r="5031" spans="12:16" ht="15" hidden="1" customHeight="1">
      <c r="L5031" s="58" t="str">
        <f t="shared" si="427"/>
        <v>-</v>
      </c>
      <c r="M5031" s="59">
        <f t="shared" si="425"/>
        <v>0</v>
      </c>
      <c r="N5031" s="59">
        <f t="shared" si="423"/>
        <v>0</v>
      </c>
      <c r="O5031" s="59">
        <f t="shared" si="426"/>
        <v>0</v>
      </c>
      <c r="P5031" s="59">
        <f t="shared" si="424"/>
        <v>0</v>
      </c>
    </row>
    <row r="5032" spans="12:16" ht="15" hidden="1" customHeight="1">
      <c r="L5032" s="58" t="str">
        <f t="shared" si="427"/>
        <v>-</v>
      </c>
      <c r="M5032" s="59">
        <f t="shared" si="425"/>
        <v>0</v>
      </c>
      <c r="N5032" s="59">
        <f t="shared" si="423"/>
        <v>0</v>
      </c>
      <c r="O5032" s="59">
        <f t="shared" si="426"/>
        <v>0</v>
      </c>
      <c r="P5032" s="59">
        <f t="shared" si="424"/>
        <v>0</v>
      </c>
    </row>
    <row r="5033" spans="12:16" ht="15" hidden="1" customHeight="1">
      <c r="L5033" s="58" t="str">
        <f t="shared" si="427"/>
        <v>-</v>
      </c>
      <c r="M5033" s="59">
        <f t="shared" si="425"/>
        <v>0</v>
      </c>
      <c r="N5033" s="59">
        <f t="shared" ref="N5033:N5096" si="428">IF(ISNUMBER(N5032),N5032-M5033,$E$8)</f>
        <v>0</v>
      </c>
      <c r="O5033" s="59">
        <f t="shared" si="426"/>
        <v>0</v>
      </c>
      <c r="P5033" s="59">
        <f t="shared" ref="P5033:P5096" si="429">IFERROR(IF(ISNUMBER(N5032),N5032,$E$8)*3%/IF(MOD(YEAR(L5033),4),365,366)*IF(ISBLANK(L5032),(L5033-$F$5),L5033-L5032),0)</f>
        <v>0</v>
      </c>
    </row>
    <row r="5034" spans="12:16" ht="15" hidden="1" customHeight="1">
      <c r="L5034" s="58" t="str">
        <f t="shared" si="427"/>
        <v>-</v>
      </c>
      <c r="M5034" s="59">
        <f t="shared" si="425"/>
        <v>0</v>
      </c>
      <c r="N5034" s="59">
        <f t="shared" si="428"/>
        <v>0</v>
      </c>
      <c r="O5034" s="59">
        <f t="shared" si="426"/>
        <v>0</v>
      </c>
      <c r="P5034" s="59">
        <f t="shared" si="429"/>
        <v>0</v>
      </c>
    </row>
    <row r="5035" spans="12:16" ht="15" hidden="1" customHeight="1">
      <c r="L5035" s="58" t="str">
        <f t="shared" si="427"/>
        <v>-</v>
      </c>
      <c r="M5035" s="59">
        <f t="shared" si="425"/>
        <v>0</v>
      </c>
      <c r="N5035" s="59">
        <f t="shared" si="428"/>
        <v>0</v>
      </c>
      <c r="O5035" s="59">
        <f t="shared" si="426"/>
        <v>0</v>
      </c>
      <c r="P5035" s="59">
        <f t="shared" si="429"/>
        <v>0</v>
      </c>
    </row>
    <row r="5036" spans="12:16" ht="15" hidden="1" customHeight="1">
      <c r="L5036" s="58" t="str">
        <f t="shared" si="427"/>
        <v>-</v>
      </c>
      <c r="M5036" s="59">
        <f t="shared" si="425"/>
        <v>0</v>
      </c>
      <c r="N5036" s="59">
        <f t="shared" si="428"/>
        <v>0</v>
      </c>
      <c r="O5036" s="59">
        <f t="shared" si="426"/>
        <v>0</v>
      </c>
      <c r="P5036" s="59">
        <f t="shared" si="429"/>
        <v>0</v>
      </c>
    </row>
    <row r="5037" spans="12:16" ht="15" hidden="1" customHeight="1">
      <c r="L5037" s="58" t="str">
        <f t="shared" si="427"/>
        <v>-</v>
      </c>
      <c r="M5037" s="59">
        <f t="shared" si="425"/>
        <v>0</v>
      </c>
      <c r="N5037" s="59">
        <f t="shared" si="428"/>
        <v>0</v>
      </c>
      <c r="O5037" s="59">
        <f t="shared" si="426"/>
        <v>0</v>
      </c>
      <c r="P5037" s="59">
        <f t="shared" si="429"/>
        <v>0</v>
      </c>
    </row>
    <row r="5038" spans="12:16" ht="15" hidden="1" customHeight="1">
      <c r="L5038" s="58" t="str">
        <f t="shared" si="427"/>
        <v>-</v>
      </c>
      <c r="M5038" s="59">
        <f t="shared" si="425"/>
        <v>0</v>
      </c>
      <c r="N5038" s="59">
        <f t="shared" si="428"/>
        <v>0</v>
      </c>
      <c r="O5038" s="59">
        <f t="shared" si="426"/>
        <v>0</v>
      </c>
      <c r="P5038" s="59">
        <f t="shared" si="429"/>
        <v>0</v>
      </c>
    </row>
    <row r="5039" spans="12:16" ht="15" hidden="1" customHeight="1">
      <c r="L5039" s="58" t="str">
        <f t="shared" si="427"/>
        <v>-</v>
      </c>
      <c r="M5039" s="59">
        <f t="shared" si="425"/>
        <v>0</v>
      </c>
      <c r="N5039" s="59">
        <f t="shared" si="428"/>
        <v>0</v>
      </c>
      <c r="O5039" s="59">
        <f t="shared" si="426"/>
        <v>0</v>
      </c>
      <c r="P5039" s="59">
        <f t="shared" si="429"/>
        <v>0</v>
      </c>
    </row>
    <row r="5040" spans="12:16" ht="15" hidden="1" customHeight="1">
      <c r="L5040" s="58" t="str">
        <f t="shared" si="427"/>
        <v>-</v>
      </c>
      <c r="M5040" s="59">
        <f t="shared" si="425"/>
        <v>0</v>
      </c>
      <c r="N5040" s="59">
        <f t="shared" si="428"/>
        <v>0</v>
      </c>
      <c r="O5040" s="59">
        <f t="shared" si="426"/>
        <v>0</v>
      </c>
      <c r="P5040" s="59">
        <f t="shared" si="429"/>
        <v>0</v>
      </c>
    </row>
    <row r="5041" spans="12:16" ht="15" hidden="1" customHeight="1">
      <c r="L5041" s="58" t="str">
        <f t="shared" si="427"/>
        <v>-</v>
      </c>
      <c r="M5041" s="59">
        <f t="shared" si="425"/>
        <v>0</v>
      </c>
      <c r="N5041" s="59">
        <f t="shared" si="428"/>
        <v>0</v>
      </c>
      <c r="O5041" s="59">
        <f t="shared" si="426"/>
        <v>0</v>
      </c>
      <c r="P5041" s="59">
        <f t="shared" si="429"/>
        <v>0</v>
      </c>
    </row>
    <row r="5042" spans="12:16" ht="15" hidden="1" customHeight="1">
      <c r="L5042" s="58" t="str">
        <f t="shared" si="427"/>
        <v>-</v>
      </c>
      <c r="M5042" s="59">
        <f t="shared" si="425"/>
        <v>0</v>
      </c>
      <c r="N5042" s="59">
        <f t="shared" si="428"/>
        <v>0</v>
      </c>
      <c r="O5042" s="59">
        <f t="shared" si="426"/>
        <v>0</v>
      </c>
      <c r="P5042" s="59">
        <f t="shared" si="429"/>
        <v>0</v>
      </c>
    </row>
    <row r="5043" spans="12:16" ht="15" hidden="1" customHeight="1">
      <c r="L5043" s="58" t="str">
        <f t="shared" si="427"/>
        <v>-</v>
      </c>
      <c r="M5043" s="59">
        <f t="shared" si="425"/>
        <v>0</v>
      </c>
      <c r="N5043" s="59">
        <f t="shared" si="428"/>
        <v>0</v>
      </c>
      <c r="O5043" s="59">
        <f t="shared" si="426"/>
        <v>0</v>
      </c>
      <c r="P5043" s="59">
        <f t="shared" si="429"/>
        <v>0</v>
      </c>
    </row>
    <row r="5044" spans="12:16" ht="15" hidden="1" customHeight="1">
      <c r="L5044" s="58" t="str">
        <f t="shared" si="427"/>
        <v>-</v>
      </c>
      <c r="M5044" s="59">
        <f t="shared" si="425"/>
        <v>0</v>
      </c>
      <c r="N5044" s="59">
        <f t="shared" si="428"/>
        <v>0</v>
      </c>
      <c r="O5044" s="59">
        <f t="shared" si="426"/>
        <v>0</v>
      </c>
      <c r="P5044" s="59">
        <f t="shared" si="429"/>
        <v>0</v>
      </c>
    </row>
    <row r="5045" spans="12:16" ht="15" hidden="1" customHeight="1">
      <c r="L5045" s="58" t="str">
        <f t="shared" si="427"/>
        <v>-</v>
      </c>
      <c r="M5045" s="59">
        <f t="shared" si="425"/>
        <v>0</v>
      </c>
      <c r="N5045" s="59">
        <f t="shared" si="428"/>
        <v>0</v>
      </c>
      <c r="O5045" s="59">
        <f t="shared" si="426"/>
        <v>0</v>
      </c>
      <c r="P5045" s="59">
        <f t="shared" si="429"/>
        <v>0</v>
      </c>
    </row>
    <row r="5046" spans="12:16" ht="15" hidden="1" customHeight="1">
      <c r="L5046" s="58" t="str">
        <f t="shared" si="427"/>
        <v>-</v>
      </c>
      <c r="M5046" s="59">
        <f t="shared" si="425"/>
        <v>0</v>
      </c>
      <c r="N5046" s="59">
        <f t="shared" si="428"/>
        <v>0</v>
      </c>
      <c r="O5046" s="59">
        <f t="shared" si="426"/>
        <v>0</v>
      </c>
      <c r="P5046" s="59">
        <f t="shared" si="429"/>
        <v>0</v>
      </c>
    </row>
    <row r="5047" spans="12:16" ht="15" hidden="1" customHeight="1">
      <c r="L5047" s="58" t="str">
        <f t="shared" si="427"/>
        <v>-</v>
      </c>
      <c r="M5047" s="59">
        <f t="shared" si="425"/>
        <v>0</v>
      </c>
      <c r="N5047" s="59">
        <f t="shared" si="428"/>
        <v>0</v>
      </c>
      <c r="O5047" s="59">
        <f t="shared" si="426"/>
        <v>0</v>
      </c>
      <c r="P5047" s="59">
        <f t="shared" si="429"/>
        <v>0</v>
      </c>
    </row>
    <row r="5048" spans="12:16" ht="15" hidden="1" customHeight="1">
      <c r="L5048" s="58" t="str">
        <f t="shared" si="427"/>
        <v>-</v>
      </c>
      <c r="M5048" s="59">
        <f t="shared" si="425"/>
        <v>0</v>
      </c>
      <c r="N5048" s="59">
        <f t="shared" si="428"/>
        <v>0</v>
      </c>
      <c r="O5048" s="59">
        <f t="shared" si="426"/>
        <v>0</v>
      </c>
      <c r="P5048" s="59">
        <f t="shared" si="429"/>
        <v>0</v>
      </c>
    </row>
    <row r="5049" spans="12:16" ht="15" hidden="1" customHeight="1">
      <c r="L5049" s="58" t="str">
        <f t="shared" si="427"/>
        <v>-</v>
      </c>
      <c r="M5049" s="59">
        <f t="shared" si="425"/>
        <v>0</v>
      </c>
      <c r="N5049" s="59">
        <f t="shared" si="428"/>
        <v>0</v>
      </c>
      <c r="O5049" s="59">
        <f t="shared" si="426"/>
        <v>0</v>
      </c>
      <c r="P5049" s="59">
        <f t="shared" si="429"/>
        <v>0</v>
      </c>
    </row>
    <row r="5050" spans="12:16" ht="15" hidden="1" customHeight="1">
      <c r="L5050" s="58" t="str">
        <f t="shared" si="427"/>
        <v>-</v>
      </c>
      <c r="M5050" s="59">
        <f t="shared" si="425"/>
        <v>0</v>
      </c>
      <c r="N5050" s="59">
        <f t="shared" si="428"/>
        <v>0</v>
      </c>
      <c r="O5050" s="59">
        <f t="shared" si="426"/>
        <v>0</v>
      </c>
      <c r="P5050" s="59">
        <f t="shared" si="429"/>
        <v>0</v>
      </c>
    </row>
    <row r="5051" spans="12:16" ht="15" hidden="1" customHeight="1">
      <c r="L5051" s="58" t="str">
        <f t="shared" si="427"/>
        <v>-</v>
      </c>
      <c r="M5051" s="59">
        <f t="shared" si="425"/>
        <v>0</v>
      </c>
      <c r="N5051" s="59">
        <f t="shared" si="428"/>
        <v>0</v>
      </c>
      <c r="O5051" s="59">
        <f t="shared" si="426"/>
        <v>0</v>
      </c>
      <c r="P5051" s="59">
        <f t="shared" si="429"/>
        <v>0</v>
      </c>
    </row>
    <row r="5052" spans="12:16" ht="15" hidden="1" customHeight="1">
      <c r="L5052" s="58" t="str">
        <f t="shared" si="427"/>
        <v>-</v>
      </c>
      <c r="M5052" s="59">
        <f t="shared" si="425"/>
        <v>0</v>
      </c>
      <c r="N5052" s="59">
        <f t="shared" si="428"/>
        <v>0</v>
      </c>
      <c r="O5052" s="59">
        <f t="shared" si="426"/>
        <v>0</v>
      </c>
      <c r="P5052" s="59">
        <f t="shared" si="429"/>
        <v>0</v>
      </c>
    </row>
    <row r="5053" spans="12:16" ht="15" hidden="1" customHeight="1">
      <c r="L5053" s="58" t="str">
        <f t="shared" si="427"/>
        <v>-</v>
      </c>
      <c r="M5053" s="59">
        <f t="shared" si="425"/>
        <v>0</v>
      </c>
      <c r="N5053" s="59">
        <f t="shared" si="428"/>
        <v>0</v>
      </c>
      <c r="O5053" s="59">
        <f t="shared" si="426"/>
        <v>0</v>
      </c>
      <c r="P5053" s="59">
        <f t="shared" si="429"/>
        <v>0</v>
      </c>
    </row>
    <row r="5054" spans="12:16" ht="15" hidden="1" customHeight="1">
      <c r="L5054" s="58" t="str">
        <f t="shared" si="427"/>
        <v>-</v>
      </c>
      <c r="M5054" s="59">
        <f t="shared" si="425"/>
        <v>0</v>
      </c>
      <c r="N5054" s="59">
        <f t="shared" si="428"/>
        <v>0</v>
      </c>
      <c r="O5054" s="59">
        <f t="shared" si="426"/>
        <v>0</v>
      </c>
      <c r="P5054" s="59">
        <f t="shared" si="429"/>
        <v>0</v>
      </c>
    </row>
    <row r="5055" spans="12:16" ht="15" hidden="1" customHeight="1">
      <c r="L5055" s="58" t="str">
        <f t="shared" si="427"/>
        <v>-</v>
      </c>
      <c r="M5055" s="59">
        <f t="shared" si="425"/>
        <v>0</v>
      </c>
      <c r="N5055" s="59">
        <f t="shared" si="428"/>
        <v>0</v>
      </c>
      <c r="O5055" s="59">
        <f t="shared" si="426"/>
        <v>0</v>
      </c>
      <c r="P5055" s="59">
        <f t="shared" si="429"/>
        <v>0</v>
      </c>
    </row>
    <row r="5056" spans="12:16" ht="15" hidden="1" customHeight="1">
      <c r="L5056" s="58" t="str">
        <f t="shared" si="427"/>
        <v>-</v>
      </c>
      <c r="M5056" s="59">
        <f t="shared" si="425"/>
        <v>0</v>
      </c>
      <c r="N5056" s="59">
        <f t="shared" si="428"/>
        <v>0</v>
      </c>
      <c r="O5056" s="59">
        <f t="shared" si="426"/>
        <v>0</v>
      </c>
      <c r="P5056" s="59">
        <f t="shared" si="429"/>
        <v>0</v>
      </c>
    </row>
    <row r="5057" spans="12:16" ht="15" hidden="1" customHeight="1">
      <c r="L5057" s="58" t="str">
        <f t="shared" si="427"/>
        <v>-</v>
      </c>
      <c r="M5057" s="59">
        <f t="shared" si="425"/>
        <v>0</v>
      </c>
      <c r="N5057" s="59">
        <f t="shared" si="428"/>
        <v>0</v>
      </c>
      <c r="O5057" s="59">
        <f t="shared" si="426"/>
        <v>0</v>
      </c>
      <c r="P5057" s="59">
        <f t="shared" si="429"/>
        <v>0</v>
      </c>
    </row>
    <row r="5058" spans="12:16" ht="15" hidden="1" customHeight="1">
      <c r="L5058" s="58" t="str">
        <f t="shared" si="427"/>
        <v>-</v>
      </c>
      <c r="M5058" s="59">
        <f t="shared" si="425"/>
        <v>0</v>
      </c>
      <c r="N5058" s="59">
        <f t="shared" si="428"/>
        <v>0</v>
      </c>
      <c r="O5058" s="59">
        <f t="shared" si="426"/>
        <v>0</v>
      </c>
      <c r="P5058" s="59">
        <f t="shared" si="429"/>
        <v>0</v>
      </c>
    </row>
    <row r="5059" spans="12:16" ht="15" hidden="1" customHeight="1">
      <c r="L5059" s="58" t="str">
        <f t="shared" si="427"/>
        <v>-</v>
      </c>
      <c r="M5059" s="59">
        <f t="shared" si="425"/>
        <v>0</v>
      </c>
      <c r="N5059" s="59">
        <f t="shared" si="428"/>
        <v>0</v>
      </c>
      <c r="O5059" s="59">
        <f t="shared" si="426"/>
        <v>0</v>
      </c>
      <c r="P5059" s="59">
        <f t="shared" si="429"/>
        <v>0</v>
      </c>
    </row>
    <row r="5060" spans="12:16" ht="15" hidden="1" customHeight="1">
      <c r="L5060" s="58" t="str">
        <f t="shared" si="427"/>
        <v>-</v>
      </c>
      <c r="M5060" s="59">
        <f t="shared" si="425"/>
        <v>0</v>
      </c>
      <c r="N5060" s="59">
        <f t="shared" si="428"/>
        <v>0</v>
      </c>
      <c r="O5060" s="59">
        <f t="shared" si="426"/>
        <v>0</v>
      </c>
      <c r="P5060" s="59">
        <f t="shared" si="429"/>
        <v>0</v>
      </c>
    </row>
    <row r="5061" spans="12:16" ht="15" hidden="1" customHeight="1">
      <c r="L5061" s="58" t="str">
        <f t="shared" si="427"/>
        <v>-</v>
      </c>
      <c r="M5061" s="59">
        <f t="shared" si="425"/>
        <v>0</v>
      </c>
      <c r="N5061" s="59">
        <f t="shared" si="428"/>
        <v>0</v>
      </c>
      <c r="O5061" s="59">
        <f t="shared" si="426"/>
        <v>0</v>
      </c>
      <c r="P5061" s="59">
        <f t="shared" si="429"/>
        <v>0</v>
      </c>
    </row>
    <row r="5062" spans="12:16" ht="15" hidden="1" customHeight="1">
      <c r="L5062" s="58" t="str">
        <f t="shared" si="427"/>
        <v>-</v>
      </c>
      <c r="M5062" s="59">
        <f t="shared" si="425"/>
        <v>0</v>
      </c>
      <c r="N5062" s="59">
        <f t="shared" si="428"/>
        <v>0</v>
      </c>
      <c r="O5062" s="59">
        <f t="shared" si="426"/>
        <v>0</v>
      </c>
      <c r="P5062" s="59">
        <f t="shared" si="429"/>
        <v>0</v>
      </c>
    </row>
    <row r="5063" spans="12:16" ht="15" hidden="1" customHeight="1">
      <c r="L5063" s="58" t="str">
        <f t="shared" si="427"/>
        <v>-</v>
      </c>
      <c r="M5063" s="59">
        <f t="shared" si="425"/>
        <v>0</v>
      </c>
      <c r="N5063" s="59">
        <f t="shared" si="428"/>
        <v>0</v>
      </c>
      <c r="O5063" s="59">
        <f t="shared" si="426"/>
        <v>0</v>
      </c>
      <c r="P5063" s="59">
        <f t="shared" si="429"/>
        <v>0</v>
      </c>
    </row>
    <row r="5064" spans="12:16" ht="15" hidden="1" customHeight="1">
      <c r="L5064" s="58" t="str">
        <f t="shared" si="427"/>
        <v>-</v>
      </c>
      <c r="M5064" s="59">
        <f t="shared" si="425"/>
        <v>0</v>
      </c>
      <c r="N5064" s="59">
        <f t="shared" si="428"/>
        <v>0</v>
      </c>
      <c r="O5064" s="59">
        <f t="shared" si="426"/>
        <v>0</v>
      </c>
      <c r="P5064" s="59">
        <f t="shared" si="429"/>
        <v>0</v>
      </c>
    </row>
    <row r="5065" spans="12:16" ht="15" hidden="1" customHeight="1">
      <c r="L5065" s="58" t="str">
        <f t="shared" si="427"/>
        <v>-</v>
      </c>
      <c r="M5065" s="59">
        <f t="shared" si="425"/>
        <v>0</v>
      </c>
      <c r="N5065" s="59">
        <f t="shared" si="428"/>
        <v>0</v>
      </c>
      <c r="O5065" s="59">
        <f t="shared" si="426"/>
        <v>0</v>
      </c>
      <c r="P5065" s="59">
        <f t="shared" si="429"/>
        <v>0</v>
      </c>
    </row>
    <row r="5066" spans="12:16" ht="15" hidden="1" customHeight="1">
      <c r="L5066" s="58" t="str">
        <f t="shared" si="427"/>
        <v>-</v>
      </c>
      <c r="M5066" s="59">
        <f t="shared" si="425"/>
        <v>0</v>
      </c>
      <c r="N5066" s="59">
        <f t="shared" si="428"/>
        <v>0</v>
      </c>
      <c r="O5066" s="59">
        <f t="shared" si="426"/>
        <v>0</v>
      </c>
      <c r="P5066" s="59">
        <f t="shared" si="429"/>
        <v>0</v>
      </c>
    </row>
    <row r="5067" spans="12:16" ht="15" hidden="1" customHeight="1">
      <c r="L5067" s="58" t="str">
        <f t="shared" si="427"/>
        <v>-</v>
      </c>
      <c r="M5067" s="59">
        <f t="shared" si="425"/>
        <v>0</v>
      </c>
      <c r="N5067" s="59">
        <f t="shared" si="428"/>
        <v>0</v>
      </c>
      <c r="O5067" s="59">
        <f t="shared" si="426"/>
        <v>0</v>
      </c>
      <c r="P5067" s="59">
        <f t="shared" si="429"/>
        <v>0</v>
      </c>
    </row>
    <row r="5068" spans="12:16" ht="15" hidden="1" customHeight="1">
      <c r="L5068" s="58" t="str">
        <f t="shared" si="427"/>
        <v>-</v>
      </c>
      <c r="M5068" s="59">
        <f t="shared" si="425"/>
        <v>0</v>
      </c>
      <c r="N5068" s="59">
        <f t="shared" si="428"/>
        <v>0</v>
      </c>
      <c r="O5068" s="59">
        <f t="shared" si="426"/>
        <v>0</v>
      </c>
      <c r="P5068" s="59">
        <f t="shared" si="429"/>
        <v>0</v>
      </c>
    </row>
    <row r="5069" spans="12:16" ht="15" hidden="1" customHeight="1">
      <c r="L5069" s="58" t="str">
        <f t="shared" si="427"/>
        <v>-</v>
      </c>
      <c r="M5069" s="59">
        <f t="shared" si="425"/>
        <v>0</v>
      </c>
      <c r="N5069" s="59">
        <f t="shared" si="428"/>
        <v>0</v>
      </c>
      <c r="O5069" s="59">
        <f t="shared" si="426"/>
        <v>0</v>
      </c>
      <c r="P5069" s="59">
        <f t="shared" si="429"/>
        <v>0</v>
      </c>
    </row>
    <row r="5070" spans="12:16" ht="15" hidden="1" customHeight="1">
      <c r="L5070" s="58" t="str">
        <f t="shared" si="427"/>
        <v>-</v>
      </c>
      <c r="M5070" s="59">
        <f t="shared" si="425"/>
        <v>0</v>
      </c>
      <c r="N5070" s="59">
        <f t="shared" si="428"/>
        <v>0</v>
      </c>
      <c r="O5070" s="59">
        <f t="shared" si="426"/>
        <v>0</v>
      </c>
      <c r="P5070" s="59">
        <f t="shared" si="429"/>
        <v>0</v>
      </c>
    </row>
    <row r="5071" spans="12:16" ht="15" hidden="1" customHeight="1">
      <c r="L5071" s="58" t="str">
        <f t="shared" si="427"/>
        <v>-</v>
      </c>
      <c r="M5071" s="59">
        <f t="shared" si="425"/>
        <v>0</v>
      </c>
      <c r="N5071" s="59">
        <f t="shared" si="428"/>
        <v>0</v>
      </c>
      <c r="O5071" s="59">
        <f t="shared" si="426"/>
        <v>0</v>
      </c>
      <c r="P5071" s="59">
        <f t="shared" si="429"/>
        <v>0</v>
      </c>
    </row>
    <row r="5072" spans="12:16" ht="15" hidden="1" customHeight="1">
      <c r="L5072" s="58" t="str">
        <f t="shared" si="427"/>
        <v>-</v>
      </c>
      <c r="M5072" s="59">
        <f t="shared" si="425"/>
        <v>0</v>
      </c>
      <c r="N5072" s="59">
        <f t="shared" si="428"/>
        <v>0</v>
      </c>
      <c r="O5072" s="59">
        <f t="shared" si="426"/>
        <v>0</v>
      </c>
      <c r="P5072" s="59">
        <f t="shared" si="429"/>
        <v>0</v>
      </c>
    </row>
    <row r="5073" spans="12:16" ht="15" hidden="1" customHeight="1">
      <c r="L5073" s="58" t="str">
        <f t="shared" si="427"/>
        <v>-</v>
      </c>
      <c r="M5073" s="59">
        <f t="shared" si="425"/>
        <v>0</v>
      </c>
      <c r="N5073" s="59">
        <f t="shared" si="428"/>
        <v>0</v>
      </c>
      <c r="O5073" s="59">
        <f t="shared" si="426"/>
        <v>0</v>
      </c>
      <c r="P5073" s="59">
        <f t="shared" si="429"/>
        <v>0</v>
      </c>
    </row>
    <row r="5074" spans="12:16" ht="15" hidden="1" customHeight="1">
      <c r="L5074" s="58" t="str">
        <f t="shared" si="427"/>
        <v>-</v>
      </c>
      <c r="M5074" s="59">
        <f t="shared" si="425"/>
        <v>0</v>
      </c>
      <c r="N5074" s="59">
        <f t="shared" si="428"/>
        <v>0</v>
      </c>
      <c r="O5074" s="59">
        <f t="shared" si="426"/>
        <v>0</v>
      </c>
      <c r="P5074" s="59">
        <f t="shared" si="429"/>
        <v>0</v>
      </c>
    </row>
    <row r="5075" spans="12:16" ht="15" hidden="1" customHeight="1">
      <c r="L5075" s="58" t="str">
        <f t="shared" si="427"/>
        <v>-</v>
      </c>
      <c r="M5075" s="59">
        <f t="shared" ref="M5075:M5138" si="430">IFERROR(VLOOKUP(L5075,$B$19:$E$80,4,FALSE),0)</f>
        <v>0</v>
      </c>
      <c r="N5075" s="59">
        <f t="shared" si="428"/>
        <v>0</v>
      </c>
      <c r="O5075" s="59">
        <f t="shared" ref="O5075:O5138" si="431">IFERROR(IF(ISNUMBER(N5074),N5074,$E$8)*IF(L5075&gt;=$J$8,$E$12,$E$12)/IF(MOD(YEAR(L5075),4),365,366)*IF(ISBLANK(L5074),L5075-$F$5,L5075-L5074),0)</f>
        <v>0</v>
      </c>
      <c r="P5075" s="59">
        <f t="shared" si="429"/>
        <v>0</v>
      </c>
    </row>
    <row r="5076" spans="12:16" ht="15" hidden="1" customHeight="1">
      <c r="L5076" s="58" t="str">
        <f t="shared" si="427"/>
        <v>-</v>
      </c>
      <c r="M5076" s="59">
        <f t="shared" si="430"/>
        <v>0</v>
      </c>
      <c r="N5076" s="59">
        <f t="shared" si="428"/>
        <v>0</v>
      </c>
      <c r="O5076" s="59">
        <f t="shared" si="431"/>
        <v>0</v>
      </c>
      <c r="P5076" s="59">
        <f t="shared" si="429"/>
        <v>0</v>
      </c>
    </row>
    <row r="5077" spans="12:16" ht="15" hidden="1" customHeight="1">
      <c r="L5077" s="58" t="str">
        <f t="shared" si="427"/>
        <v>-</v>
      </c>
      <c r="M5077" s="59">
        <f t="shared" si="430"/>
        <v>0</v>
      </c>
      <c r="N5077" s="59">
        <f t="shared" si="428"/>
        <v>0</v>
      </c>
      <c r="O5077" s="59">
        <f t="shared" si="431"/>
        <v>0</v>
      </c>
      <c r="P5077" s="59">
        <f t="shared" si="429"/>
        <v>0</v>
      </c>
    </row>
    <row r="5078" spans="12:16" ht="15" hidden="1" customHeight="1">
      <c r="L5078" s="58" t="str">
        <f t="shared" si="427"/>
        <v>-</v>
      </c>
      <c r="M5078" s="59">
        <f t="shared" si="430"/>
        <v>0</v>
      </c>
      <c r="N5078" s="59">
        <f t="shared" si="428"/>
        <v>0</v>
      </c>
      <c r="O5078" s="59">
        <f t="shared" si="431"/>
        <v>0</v>
      </c>
      <c r="P5078" s="59">
        <f t="shared" si="429"/>
        <v>0</v>
      </c>
    </row>
    <row r="5079" spans="12:16" ht="15" hidden="1" customHeight="1">
      <c r="L5079" s="58" t="str">
        <f t="shared" si="427"/>
        <v>-</v>
      </c>
      <c r="M5079" s="59">
        <f t="shared" si="430"/>
        <v>0</v>
      </c>
      <c r="N5079" s="59">
        <f t="shared" si="428"/>
        <v>0</v>
      </c>
      <c r="O5079" s="59">
        <f t="shared" si="431"/>
        <v>0</v>
      </c>
      <c r="P5079" s="59">
        <f t="shared" si="429"/>
        <v>0</v>
      </c>
    </row>
    <row r="5080" spans="12:16" ht="15" hidden="1" customHeight="1">
      <c r="L5080" s="58" t="str">
        <f t="shared" si="427"/>
        <v>-</v>
      </c>
      <c r="M5080" s="59">
        <f t="shared" si="430"/>
        <v>0</v>
      </c>
      <c r="N5080" s="59">
        <f t="shared" si="428"/>
        <v>0</v>
      </c>
      <c r="O5080" s="59">
        <f t="shared" si="431"/>
        <v>0</v>
      </c>
      <c r="P5080" s="59">
        <f t="shared" si="429"/>
        <v>0</v>
      </c>
    </row>
    <row r="5081" spans="12:16" ht="15" hidden="1" customHeight="1">
      <c r="L5081" s="58" t="str">
        <f t="shared" si="427"/>
        <v>-</v>
      </c>
      <c r="M5081" s="59">
        <f t="shared" si="430"/>
        <v>0</v>
      </c>
      <c r="N5081" s="59">
        <f t="shared" si="428"/>
        <v>0</v>
      </c>
      <c r="O5081" s="59">
        <f t="shared" si="431"/>
        <v>0</v>
      </c>
      <c r="P5081" s="59">
        <f t="shared" si="429"/>
        <v>0</v>
      </c>
    </row>
    <row r="5082" spans="12:16" ht="15" hidden="1" customHeight="1">
      <c r="L5082" s="58" t="str">
        <f t="shared" si="427"/>
        <v>-</v>
      </c>
      <c r="M5082" s="59">
        <f t="shared" si="430"/>
        <v>0</v>
      </c>
      <c r="N5082" s="59">
        <f t="shared" si="428"/>
        <v>0</v>
      </c>
      <c r="O5082" s="59">
        <f t="shared" si="431"/>
        <v>0</v>
      </c>
      <c r="P5082" s="59">
        <f t="shared" si="429"/>
        <v>0</v>
      </c>
    </row>
    <row r="5083" spans="12:16" ht="15" hidden="1" customHeight="1">
      <c r="L5083" s="58" t="str">
        <f t="shared" si="427"/>
        <v>-</v>
      </c>
      <c r="M5083" s="59">
        <f t="shared" si="430"/>
        <v>0</v>
      </c>
      <c r="N5083" s="59">
        <f t="shared" si="428"/>
        <v>0</v>
      </c>
      <c r="O5083" s="59">
        <f t="shared" si="431"/>
        <v>0</v>
      </c>
      <c r="P5083" s="59">
        <f t="shared" si="429"/>
        <v>0</v>
      </c>
    </row>
    <row r="5084" spans="12:16" ht="15" hidden="1" customHeight="1">
      <c r="L5084" s="58" t="str">
        <f t="shared" si="427"/>
        <v>-</v>
      </c>
      <c r="M5084" s="59">
        <f t="shared" si="430"/>
        <v>0</v>
      </c>
      <c r="N5084" s="59">
        <f t="shared" si="428"/>
        <v>0</v>
      </c>
      <c r="O5084" s="59">
        <f t="shared" si="431"/>
        <v>0</v>
      </c>
      <c r="P5084" s="59">
        <f t="shared" si="429"/>
        <v>0</v>
      </c>
    </row>
    <row r="5085" spans="12:16" ht="15" hidden="1" customHeight="1">
      <c r="L5085" s="58" t="str">
        <f t="shared" si="427"/>
        <v>-</v>
      </c>
      <c r="M5085" s="59">
        <f t="shared" si="430"/>
        <v>0</v>
      </c>
      <c r="N5085" s="59">
        <f t="shared" si="428"/>
        <v>0</v>
      </c>
      <c r="O5085" s="59">
        <f t="shared" si="431"/>
        <v>0</v>
      </c>
      <c r="P5085" s="59">
        <f t="shared" si="429"/>
        <v>0</v>
      </c>
    </row>
    <row r="5086" spans="12:16" ht="15" hidden="1" customHeight="1">
      <c r="L5086" s="58" t="str">
        <f t="shared" si="427"/>
        <v>-</v>
      </c>
      <c r="M5086" s="59">
        <f t="shared" si="430"/>
        <v>0</v>
      </c>
      <c r="N5086" s="59">
        <f t="shared" si="428"/>
        <v>0</v>
      </c>
      <c r="O5086" s="59">
        <f t="shared" si="431"/>
        <v>0</v>
      </c>
      <c r="P5086" s="59">
        <f t="shared" si="429"/>
        <v>0</v>
      </c>
    </row>
    <row r="5087" spans="12:16" ht="15" hidden="1" customHeight="1">
      <c r="L5087" s="58" t="str">
        <f t="shared" si="427"/>
        <v>-</v>
      </c>
      <c r="M5087" s="59">
        <f t="shared" si="430"/>
        <v>0</v>
      </c>
      <c r="N5087" s="59">
        <f t="shared" si="428"/>
        <v>0</v>
      </c>
      <c r="O5087" s="59">
        <f t="shared" si="431"/>
        <v>0</v>
      </c>
      <c r="P5087" s="59">
        <f t="shared" si="429"/>
        <v>0</v>
      </c>
    </row>
    <row r="5088" spans="12:16" ht="15" hidden="1" customHeight="1">
      <c r="L5088" s="58" t="str">
        <f t="shared" si="427"/>
        <v>-</v>
      </c>
      <c r="M5088" s="59">
        <f t="shared" si="430"/>
        <v>0</v>
      </c>
      <c r="N5088" s="59">
        <f t="shared" si="428"/>
        <v>0</v>
      </c>
      <c r="O5088" s="59">
        <f t="shared" si="431"/>
        <v>0</v>
      </c>
      <c r="P5088" s="59">
        <f t="shared" si="429"/>
        <v>0</v>
      </c>
    </row>
    <row r="5089" spans="12:16" ht="15" hidden="1" customHeight="1">
      <c r="L5089" s="58" t="str">
        <f t="shared" ref="L5089:L5152" si="432">IFERROR(IF(MAX(L5088+1,$F$5+1)&gt;Дата_погашения_Займа,"-",MAX(L5088+1,$F$5+1)),"-")</f>
        <v>-</v>
      </c>
      <c r="M5089" s="59">
        <f t="shared" si="430"/>
        <v>0</v>
      </c>
      <c r="N5089" s="59">
        <f t="shared" si="428"/>
        <v>0</v>
      </c>
      <c r="O5089" s="59">
        <f t="shared" si="431"/>
        <v>0</v>
      </c>
      <c r="P5089" s="59">
        <f t="shared" si="429"/>
        <v>0</v>
      </c>
    </row>
    <row r="5090" spans="12:16" ht="15" hidden="1" customHeight="1">
      <c r="L5090" s="58" t="str">
        <f t="shared" si="432"/>
        <v>-</v>
      </c>
      <c r="M5090" s="59">
        <f t="shared" si="430"/>
        <v>0</v>
      </c>
      <c r="N5090" s="59">
        <f t="shared" si="428"/>
        <v>0</v>
      </c>
      <c r="O5090" s="59">
        <f t="shared" si="431"/>
        <v>0</v>
      </c>
      <c r="P5090" s="59">
        <f t="shared" si="429"/>
        <v>0</v>
      </c>
    </row>
    <row r="5091" spans="12:16" ht="15" hidden="1" customHeight="1">
      <c r="L5091" s="58" t="str">
        <f t="shared" si="432"/>
        <v>-</v>
      </c>
      <c r="M5091" s="59">
        <f t="shared" si="430"/>
        <v>0</v>
      </c>
      <c r="N5091" s="59">
        <f t="shared" si="428"/>
        <v>0</v>
      </c>
      <c r="O5091" s="59">
        <f t="shared" si="431"/>
        <v>0</v>
      </c>
      <c r="P5091" s="59">
        <f t="shared" si="429"/>
        <v>0</v>
      </c>
    </row>
    <row r="5092" spans="12:16" ht="15" hidden="1" customHeight="1">
      <c r="L5092" s="58" t="str">
        <f t="shared" si="432"/>
        <v>-</v>
      </c>
      <c r="M5092" s="59">
        <f t="shared" si="430"/>
        <v>0</v>
      </c>
      <c r="N5092" s="59">
        <f t="shared" si="428"/>
        <v>0</v>
      </c>
      <c r="O5092" s="59">
        <f t="shared" si="431"/>
        <v>0</v>
      </c>
      <c r="P5092" s="59">
        <f t="shared" si="429"/>
        <v>0</v>
      </c>
    </row>
    <row r="5093" spans="12:16" ht="15" hidden="1" customHeight="1">
      <c r="L5093" s="58" t="str">
        <f t="shared" si="432"/>
        <v>-</v>
      </c>
      <c r="M5093" s="59">
        <f t="shared" si="430"/>
        <v>0</v>
      </c>
      <c r="N5093" s="59">
        <f t="shared" si="428"/>
        <v>0</v>
      </c>
      <c r="O5093" s="59">
        <f t="shared" si="431"/>
        <v>0</v>
      </c>
      <c r="P5093" s="59">
        <f t="shared" si="429"/>
        <v>0</v>
      </c>
    </row>
    <row r="5094" spans="12:16" ht="15" hidden="1" customHeight="1">
      <c r="L5094" s="58" t="str">
        <f t="shared" si="432"/>
        <v>-</v>
      </c>
      <c r="M5094" s="59">
        <f t="shared" si="430"/>
        <v>0</v>
      </c>
      <c r="N5094" s="59">
        <f t="shared" si="428"/>
        <v>0</v>
      </c>
      <c r="O5094" s="59">
        <f t="shared" si="431"/>
        <v>0</v>
      </c>
      <c r="P5094" s="59">
        <f t="shared" si="429"/>
        <v>0</v>
      </c>
    </row>
    <row r="5095" spans="12:16" ht="15" hidden="1" customHeight="1">
      <c r="L5095" s="58" t="str">
        <f t="shared" si="432"/>
        <v>-</v>
      </c>
      <c r="M5095" s="59">
        <f t="shared" si="430"/>
        <v>0</v>
      </c>
      <c r="N5095" s="59">
        <f t="shared" si="428"/>
        <v>0</v>
      </c>
      <c r="O5095" s="59">
        <f t="shared" si="431"/>
        <v>0</v>
      </c>
      <c r="P5095" s="59">
        <f t="shared" si="429"/>
        <v>0</v>
      </c>
    </row>
    <row r="5096" spans="12:16" ht="15" hidden="1" customHeight="1">
      <c r="L5096" s="58" t="str">
        <f t="shared" si="432"/>
        <v>-</v>
      </c>
      <c r="M5096" s="59">
        <f t="shared" si="430"/>
        <v>0</v>
      </c>
      <c r="N5096" s="59">
        <f t="shared" si="428"/>
        <v>0</v>
      </c>
      <c r="O5096" s="59">
        <f t="shared" si="431"/>
        <v>0</v>
      </c>
      <c r="P5096" s="59">
        <f t="shared" si="429"/>
        <v>0</v>
      </c>
    </row>
    <row r="5097" spans="12:16" ht="15" hidden="1" customHeight="1">
      <c r="L5097" s="58" t="str">
        <f t="shared" si="432"/>
        <v>-</v>
      </c>
      <c r="M5097" s="59">
        <f t="shared" si="430"/>
        <v>0</v>
      </c>
      <c r="N5097" s="59">
        <f t="shared" ref="N5097:N5160" si="433">IF(ISNUMBER(N5096),N5096-M5097,$E$8)</f>
        <v>0</v>
      </c>
      <c r="O5097" s="59">
        <f t="shared" si="431"/>
        <v>0</v>
      </c>
      <c r="P5097" s="59">
        <f t="shared" ref="P5097:P5160" si="434">IFERROR(IF(ISNUMBER(N5096),N5096,$E$8)*3%/IF(MOD(YEAR(L5097),4),365,366)*IF(ISBLANK(L5096),(L5097-$F$5),L5097-L5096),0)</f>
        <v>0</v>
      </c>
    </row>
    <row r="5098" spans="12:16" ht="15" hidden="1" customHeight="1">
      <c r="L5098" s="58" t="str">
        <f t="shared" si="432"/>
        <v>-</v>
      </c>
      <c r="M5098" s="59">
        <f t="shared" si="430"/>
        <v>0</v>
      </c>
      <c r="N5098" s="59">
        <f t="shared" si="433"/>
        <v>0</v>
      </c>
      <c r="O5098" s="59">
        <f t="shared" si="431"/>
        <v>0</v>
      </c>
      <c r="P5098" s="59">
        <f t="shared" si="434"/>
        <v>0</v>
      </c>
    </row>
    <row r="5099" spans="12:16" ht="15" hidden="1" customHeight="1">
      <c r="L5099" s="58" t="str">
        <f t="shared" si="432"/>
        <v>-</v>
      </c>
      <c r="M5099" s="59">
        <f t="shared" si="430"/>
        <v>0</v>
      </c>
      <c r="N5099" s="59">
        <f t="shared" si="433"/>
        <v>0</v>
      </c>
      <c r="O5099" s="59">
        <f t="shared" si="431"/>
        <v>0</v>
      </c>
      <c r="P5099" s="59">
        <f t="shared" si="434"/>
        <v>0</v>
      </c>
    </row>
    <row r="5100" spans="12:16" ht="15" hidden="1" customHeight="1">
      <c r="L5100" s="58" t="str">
        <f t="shared" si="432"/>
        <v>-</v>
      </c>
      <c r="M5100" s="59">
        <f t="shared" si="430"/>
        <v>0</v>
      </c>
      <c r="N5100" s="59">
        <f t="shared" si="433"/>
        <v>0</v>
      </c>
      <c r="O5100" s="59">
        <f t="shared" si="431"/>
        <v>0</v>
      </c>
      <c r="P5100" s="59">
        <f t="shared" si="434"/>
        <v>0</v>
      </c>
    </row>
    <row r="5101" spans="12:16" ht="15" hidden="1" customHeight="1">
      <c r="L5101" s="58" t="str">
        <f t="shared" si="432"/>
        <v>-</v>
      </c>
      <c r="M5101" s="59">
        <f t="shared" si="430"/>
        <v>0</v>
      </c>
      <c r="N5101" s="59">
        <f t="shared" si="433"/>
        <v>0</v>
      </c>
      <c r="O5101" s="59">
        <f t="shared" si="431"/>
        <v>0</v>
      </c>
      <c r="P5101" s="59">
        <f t="shared" si="434"/>
        <v>0</v>
      </c>
    </row>
    <row r="5102" spans="12:16" ht="15" hidden="1" customHeight="1">
      <c r="L5102" s="58" t="str">
        <f t="shared" si="432"/>
        <v>-</v>
      </c>
      <c r="M5102" s="59">
        <f t="shared" si="430"/>
        <v>0</v>
      </c>
      <c r="N5102" s="59">
        <f t="shared" si="433"/>
        <v>0</v>
      </c>
      <c r="O5102" s="59">
        <f t="shared" si="431"/>
        <v>0</v>
      </c>
      <c r="P5102" s="59">
        <f t="shared" si="434"/>
        <v>0</v>
      </c>
    </row>
    <row r="5103" spans="12:16" ht="15" hidden="1" customHeight="1">
      <c r="L5103" s="58" t="str">
        <f t="shared" si="432"/>
        <v>-</v>
      </c>
      <c r="M5103" s="59">
        <f t="shared" si="430"/>
        <v>0</v>
      </c>
      <c r="N5103" s="59">
        <f t="shared" si="433"/>
        <v>0</v>
      </c>
      <c r="O5103" s="59">
        <f t="shared" si="431"/>
        <v>0</v>
      </c>
      <c r="P5103" s="59">
        <f t="shared" si="434"/>
        <v>0</v>
      </c>
    </row>
    <row r="5104" spans="12:16" ht="15" hidden="1" customHeight="1">
      <c r="L5104" s="58" t="str">
        <f t="shared" si="432"/>
        <v>-</v>
      </c>
      <c r="M5104" s="59">
        <f t="shared" si="430"/>
        <v>0</v>
      </c>
      <c r="N5104" s="59">
        <f t="shared" si="433"/>
        <v>0</v>
      </c>
      <c r="O5104" s="59">
        <f t="shared" si="431"/>
        <v>0</v>
      </c>
      <c r="P5104" s="59">
        <f t="shared" si="434"/>
        <v>0</v>
      </c>
    </row>
    <row r="5105" spans="12:16" ht="15" hidden="1" customHeight="1">
      <c r="L5105" s="58" t="str">
        <f t="shared" si="432"/>
        <v>-</v>
      </c>
      <c r="M5105" s="59">
        <f t="shared" si="430"/>
        <v>0</v>
      </c>
      <c r="N5105" s="59">
        <f t="shared" si="433"/>
        <v>0</v>
      </c>
      <c r="O5105" s="59">
        <f t="shared" si="431"/>
        <v>0</v>
      </c>
      <c r="P5105" s="59">
        <f t="shared" si="434"/>
        <v>0</v>
      </c>
    </row>
    <row r="5106" spans="12:16" ht="15" hidden="1" customHeight="1">
      <c r="L5106" s="58" t="str">
        <f t="shared" si="432"/>
        <v>-</v>
      </c>
      <c r="M5106" s="59">
        <f t="shared" si="430"/>
        <v>0</v>
      </c>
      <c r="N5106" s="59">
        <f t="shared" si="433"/>
        <v>0</v>
      </c>
      <c r="O5106" s="59">
        <f t="shared" si="431"/>
        <v>0</v>
      </c>
      <c r="P5106" s="59">
        <f t="shared" si="434"/>
        <v>0</v>
      </c>
    </row>
    <row r="5107" spans="12:16" ht="15" hidden="1" customHeight="1">
      <c r="L5107" s="58" t="str">
        <f t="shared" si="432"/>
        <v>-</v>
      </c>
      <c r="M5107" s="59">
        <f t="shared" si="430"/>
        <v>0</v>
      </c>
      <c r="N5107" s="59">
        <f t="shared" si="433"/>
        <v>0</v>
      </c>
      <c r="O5107" s="59">
        <f t="shared" si="431"/>
        <v>0</v>
      </c>
      <c r="P5107" s="59">
        <f t="shared" si="434"/>
        <v>0</v>
      </c>
    </row>
    <row r="5108" spans="12:16" ht="15" hidden="1" customHeight="1">
      <c r="L5108" s="58" t="str">
        <f t="shared" si="432"/>
        <v>-</v>
      </c>
      <c r="M5108" s="59">
        <f t="shared" si="430"/>
        <v>0</v>
      </c>
      <c r="N5108" s="59">
        <f t="shared" si="433"/>
        <v>0</v>
      </c>
      <c r="O5108" s="59">
        <f t="shared" si="431"/>
        <v>0</v>
      </c>
      <c r="P5108" s="59">
        <f t="shared" si="434"/>
        <v>0</v>
      </c>
    </row>
    <row r="5109" spans="12:16" ht="15" hidden="1" customHeight="1">
      <c r="L5109" s="58" t="str">
        <f t="shared" si="432"/>
        <v>-</v>
      </c>
      <c r="M5109" s="59">
        <f t="shared" si="430"/>
        <v>0</v>
      </c>
      <c r="N5109" s="59">
        <f t="shared" si="433"/>
        <v>0</v>
      </c>
      <c r="O5109" s="59">
        <f t="shared" si="431"/>
        <v>0</v>
      </c>
      <c r="P5109" s="59">
        <f t="shared" si="434"/>
        <v>0</v>
      </c>
    </row>
    <row r="5110" spans="12:16" ht="15" hidden="1" customHeight="1">
      <c r="L5110" s="58" t="str">
        <f t="shared" si="432"/>
        <v>-</v>
      </c>
      <c r="M5110" s="59">
        <f t="shared" si="430"/>
        <v>0</v>
      </c>
      <c r="N5110" s="59">
        <f t="shared" si="433"/>
        <v>0</v>
      </c>
      <c r="O5110" s="59">
        <f t="shared" si="431"/>
        <v>0</v>
      </c>
      <c r="P5110" s="59">
        <f t="shared" si="434"/>
        <v>0</v>
      </c>
    </row>
    <row r="5111" spans="12:16" ht="15" hidden="1" customHeight="1">
      <c r="L5111" s="58" t="str">
        <f t="shared" si="432"/>
        <v>-</v>
      </c>
      <c r="M5111" s="59">
        <f t="shared" si="430"/>
        <v>0</v>
      </c>
      <c r="N5111" s="59">
        <f t="shared" si="433"/>
        <v>0</v>
      </c>
      <c r="O5111" s="59">
        <f t="shared" si="431"/>
        <v>0</v>
      </c>
      <c r="P5111" s="59">
        <f t="shared" si="434"/>
        <v>0</v>
      </c>
    </row>
    <row r="5112" spans="12:16" ht="15" hidden="1" customHeight="1">
      <c r="L5112" s="58" t="str">
        <f t="shared" si="432"/>
        <v>-</v>
      </c>
      <c r="M5112" s="59">
        <f t="shared" si="430"/>
        <v>0</v>
      </c>
      <c r="N5112" s="59">
        <f t="shared" si="433"/>
        <v>0</v>
      </c>
      <c r="O5112" s="59">
        <f t="shared" si="431"/>
        <v>0</v>
      </c>
      <c r="P5112" s="59">
        <f t="shared" si="434"/>
        <v>0</v>
      </c>
    </row>
    <row r="5113" spans="12:16" ht="15" hidden="1" customHeight="1">
      <c r="L5113" s="58" t="str">
        <f t="shared" si="432"/>
        <v>-</v>
      </c>
      <c r="M5113" s="59">
        <f t="shared" si="430"/>
        <v>0</v>
      </c>
      <c r="N5113" s="59">
        <f t="shared" si="433"/>
        <v>0</v>
      </c>
      <c r="O5113" s="59">
        <f t="shared" si="431"/>
        <v>0</v>
      </c>
      <c r="P5113" s="59">
        <f t="shared" si="434"/>
        <v>0</v>
      </c>
    </row>
    <row r="5114" spans="12:16" ht="15" hidden="1" customHeight="1">
      <c r="L5114" s="58" t="str">
        <f t="shared" si="432"/>
        <v>-</v>
      </c>
      <c r="M5114" s="59">
        <f t="shared" si="430"/>
        <v>0</v>
      </c>
      <c r="N5114" s="59">
        <f t="shared" si="433"/>
        <v>0</v>
      </c>
      <c r="O5114" s="59">
        <f t="shared" si="431"/>
        <v>0</v>
      </c>
      <c r="P5114" s="59">
        <f t="shared" si="434"/>
        <v>0</v>
      </c>
    </row>
    <row r="5115" spans="12:16" ht="15" hidden="1" customHeight="1">
      <c r="L5115" s="58" t="str">
        <f t="shared" si="432"/>
        <v>-</v>
      </c>
      <c r="M5115" s="59">
        <f t="shared" si="430"/>
        <v>0</v>
      </c>
      <c r="N5115" s="59">
        <f t="shared" si="433"/>
        <v>0</v>
      </c>
      <c r="O5115" s="59">
        <f t="shared" si="431"/>
        <v>0</v>
      </c>
      <c r="P5115" s="59">
        <f t="shared" si="434"/>
        <v>0</v>
      </c>
    </row>
    <row r="5116" spans="12:16" ht="15" hidden="1" customHeight="1">
      <c r="L5116" s="58" t="str">
        <f t="shared" si="432"/>
        <v>-</v>
      </c>
      <c r="M5116" s="59">
        <f t="shared" si="430"/>
        <v>0</v>
      </c>
      <c r="N5116" s="59">
        <f t="shared" si="433"/>
        <v>0</v>
      </c>
      <c r="O5116" s="59">
        <f t="shared" si="431"/>
        <v>0</v>
      </c>
      <c r="P5116" s="59">
        <f t="shared" si="434"/>
        <v>0</v>
      </c>
    </row>
    <row r="5117" spans="12:16" ht="15" hidden="1" customHeight="1">
      <c r="L5117" s="58" t="str">
        <f t="shared" si="432"/>
        <v>-</v>
      </c>
      <c r="M5117" s="59">
        <f t="shared" si="430"/>
        <v>0</v>
      </c>
      <c r="N5117" s="59">
        <f t="shared" si="433"/>
        <v>0</v>
      </c>
      <c r="O5117" s="59">
        <f t="shared" si="431"/>
        <v>0</v>
      </c>
      <c r="P5117" s="59">
        <f t="shared" si="434"/>
        <v>0</v>
      </c>
    </row>
    <row r="5118" spans="12:16" ht="15" hidden="1" customHeight="1">
      <c r="L5118" s="58" t="str">
        <f t="shared" si="432"/>
        <v>-</v>
      </c>
      <c r="M5118" s="59">
        <f t="shared" si="430"/>
        <v>0</v>
      </c>
      <c r="N5118" s="59">
        <f t="shared" si="433"/>
        <v>0</v>
      </c>
      <c r="O5118" s="59">
        <f t="shared" si="431"/>
        <v>0</v>
      </c>
      <c r="P5118" s="59">
        <f t="shared" si="434"/>
        <v>0</v>
      </c>
    </row>
    <row r="5119" spans="12:16" ht="15" hidden="1" customHeight="1">
      <c r="L5119" s="58" t="str">
        <f t="shared" si="432"/>
        <v>-</v>
      </c>
      <c r="M5119" s="59">
        <f t="shared" si="430"/>
        <v>0</v>
      </c>
      <c r="N5119" s="59">
        <f t="shared" si="433"/>
        <v>0</v>
      </c>
      <c r="O5119" s="59">
        <f t="shared" si="431"/>
        <v>0</v>
      </c>
      <c r="P5119" s="59">
        <f t="shared" si="434"/>
        <v>0</v>
      </c>
    </row>
    <row r="5120" spans="12:16" ht="15" hidden="1" customHeight="1">
      <c r="L5120" s="58" t="str">
        <f t="shared" si="432"/>
        <v>-</v>
      </c>
      <c r="M5120" s="59">
        <f t="shared" si="430"/>
        <v>0</v>
      </c>
      <c r="N5120" s="59">
        <f t="shared" si="433"/>
        <v>0</v>
      </c>
      <c r="O5120" s="59">
        <f t="shared" si="431"/>
        <v>0</v>
      </c>
      <c r="P5120" s="59">
        <f t="shared" si="434"/>
        <v>0</v>
      </c>
    </row>
    <row r="5121" spans="12:16" ht="15" hidden="1" customHeight="1">
      <c r="L5121" s="58" t="str">
        <f t="shared" si="432"/>
        <v>-</v>
      </c>
      <c r="M5121" s="59">
        <f t="shared" si="430"/>
        <v>0</v>
      </c>
      <c r="N5121" s="59">
        <f t="shared" si="433"/>
        <v>0</v>
      </c>
      <c r="O5121" s="59">
        <f t="shared" si="431"/>
        <v>0</v>
      </c>
      <c r="P5121" s="59">
        <f t="shared" si="434"/>
        <v>0</v>
      </c>
    </row>
    <row r="5122" spans="12:16" ht="15" hidden="1" customHeight="1">
      <c r="L5122" s="58" t="str">
        <f t="shared" si="432"/>
        <v>-</v>
      </c>
      <c r="M5122" s="59">
        <f t="shared" si="430"/>
        <v>0</v>
      </c>
      <c r="N5122" s="59">
        <f t="shared" si="433"/>
        <v>0</v>
      </c>
      <c r="O5122" s="59">
        <f t="shared" si="431"/>
        <v>0</v>
      </c>
      <c r="P5122" s="59">
        <f t="shared" si="434"/>
        <v>0</v>
      </c>
    </row>
    <row r="5123" spans="12:16" ht="15" hidden="1" customHeight="1">
      <c r="L5123" s="58" t="str">
        <f t="shared" si="432"/>
        <v>-</v>
      </c>
      <c r="M5123" s="59">
        <f t="shared" si="430"/>
        <v>0</v>
      </c>
      <c r="N5123" s="59">
        <f t="shared" si="433"/>
        <v>0</v>
      </c>
      <c r="O5123" s="59">
        <f t="shared" si="431"/>
        <v>0</v>
      </c>
      <c r="P5123" s="59">
        <f t="shared" si="434"/>
        <v>0</v>
      </c>
    </row>
    <row r="5124" spans="12:16" ht="15" hidden="1" customHeight="1">
      <c r="L5124" s="58" t="str">
        <f t="shared" si="432"/>
        <v>-</v>
      </c>
      <c r="M5124" s="59">
        <f t="shared" si="430"/>
        <v>0</v>
      </c>
      <c r="N5124" s="59">
        <f t="shared" si="433"/>
        <v>0</v>
      </c>
      <c r="O5124" s="59">
        <f t="shared" si="431"/>
        <v>0</v>
      </c>
      <c r="P5124" s="59">
        <f t="shared" si="434"/>
        <v>0</v>
      </c>
    </row>
    <row r="5125" spans="12:16" ht="15" hidden="1" customHeight="1">
      <c r="L5125" s="58" t="str">
        <f t="shared" si="432"/>
        <v>-</v>
      </c>
      <c r="M5125" s="59">
        <f t="shared" si="430"/>
        <v>0</v>
      </c>
      <c r="N5125" s="59">
        <f t="shared" si="433"/>
        <v>0</v>
      </c>
      <c r="O5125" s="59">
        <f t="shared" si="431"/>
        <v>0</v>
      </c>
      <c r="P5125" s="59">
        <f t="shared" si="434"/>
        <v>0</v>
      </c>
    </row>
    <row r="5126" spans="12:16" ht="15" hidden="1" customHeight="1">
      <c r="L5126" s="58" t="str">
        <f t="shared" si="432"/>
        <v>-</v>
      </c>
      <c r="M5126" s="59">
        <f t="shared" si="430"/>
        <v>0</v>
      </c>
      <c r="N5126" s="59">
        <f t="shared" si="433"/>
        <v>0</v>
      </c>
      <c r="O5126" s="59">
        <f t="shared" si="431"/>
        <v>0</v>
      </c>
      <c r="P5126" s="59">
        <f t="shared" si="434"/>
        <v>0</v>
      </c>
    </row>
    <row r="5127" spans="12:16" ht="15" hidden="1" customHeight="1">
      <c r="L5127" s="58" t="str">
        <f t="shared" si="432"/>
        <v>-</v>
      </c>
      <c r="M5127" s="59">
        <f t="shared" si="430"/>
        <v>0</v>
      </c>
      <c r="N5127" s="59">
        <f t="shared" si="433"/>
        <v>0</v>
      </c>
      <c r="O5127" s="59">
        <f t="shared" si="431"/>
        <v>0</v>
      </c>
      <c r="P5127" s="59">
        <f t="shared" si="434"/>
        <v>0</v>
      </c>
    </row>
    <row r="5128" spans="12:16" ht="15" hidden="1" customHeight="1">
      <c r="L5128" s="58" t="str">
        <f t="shared" si="432"/>
        <v>-</v>
      </c>
      <c r="M5128" s="59">
        <f t="shared" si="430"/>
        <v>0</v>
      </c>
      <c r="N5128" s="59">
        <f t="shared" si="433"/>
        <v>0</v>
      </c>
      <c r="O5128" s="59">
        <f t="shared" si="431"/>
        <v>0</v>
      </c>
      <c r="P5128" s="59">
        <f t="shared" si="434"/>
        <v>0</v>
      </c>
    </row>
    <row r="5129" spans="12:16" ht="15" hidden="1" customHeight="1">
      <c r="L5129" s="58" t="str">
        <f t="shared" si="432"/>
        <v>-</v>
      </c>
      <c r="M5129" s="59">
        <f t="shared" si="430"/>
        <v>0</v>
      </c>
      <c r="N5129" s="59">
        <f t="shared" si="433"/>
        <v>0</v>
      </c>
      <c r="O5129" s="59">
        <f t="shared" si="431"/>
        <v>0</v>
      </c>
      <c r="P5129" s="59">
        <f t="shared" si="434"/>
        <v>0</v>
      </c>
    </row>
    <row r="5130" spans="12:16" ht="15" hidden="1" customHeight="1">
      <c r="L5130" s="58" t="str">
        <f t="shared" si="432"/>
        <v>-</v>
      </c>
      <c r="M5130" s="59">
        <f t="shared" si="430"/>
        <v>0</v>
      </c>
      <c r="N5130" s="59">
        <f t="shared" si="433"/>
        <v>0</v>
      </c>
      <c r="O5130" s="59">
        <f t="shared" si="431"/>
        <v>0</v>
      </c>
      <c r="P5130" s="59">
        <f t="shared" si="434"/>
        <v>0</v>
      </c>
    </row>
    <row r="5131" spans="12:16" ht="15" hidden="1" customHeight="1">
      <c r="L5131" s="58" t="str">
        <f t="shared" si="432"/>
        <v>-</v>
      </c>
      <c r="M5131" s="59">
        <f t="shared" si="430"/>
        <v>0</v>
      </c>
      <c r="N5131" s="59">
        <f t="shared" si="433"/>
        <v>0</v>
      </c>
      <c r="O5131" s="59">
        <f t="shared" si="431"/>
        <v>0</v>
      </c>
      <c r="P5131" s="59">
        <f t="shared" si="434"/>
        <v>0</v>
      </c>
    </row>
    <row r="5132" spans="12:16" ht="15" hidden="1" customHeight="1">
      <c r="L5132" s="58" t="str">
        <f t="shared" si="432"/>
        <v>-</v>
      </c>
      <c r="M5132" s="59">
        <f t="shared" si="430"/>
        <v>0</v>
      </c>
      <c r="N5132" s="59">
        <f t="shared" si="433"/>
        <v>0</v>
      </c>
      <c r="O5132" s="59">
        <f t="shared" si="431"/>
        <v>0</v>
      </c>
      <c r="P5132" s="59">
        <f t="shared" si="434"/>
        <v>0</v>
      </c>
    </row>
    <row r="5133" spans="12:16" ht="15" hidden="1" customHeight="1">
      <c r="L5133" s="58" t="str">
        <f t="shared" si="432"/>
        <v>-</v>
      </c>
      <c r="M5133" s="59">
        <f t="shared" si="430"/>
        <v>0</v>
      </c>
      <c r="N5133" s="59">
        <f t="shared" si="433"/>
        <v>0</v>
      </c>
      <c r="O5133" s="59">
        <f t="shared" si="431"/>
        <v>0</v>
      </c>
      <c r="P5133" s="59">
        <f t="shared" si="434"/>
        <v>0</v>
      </c>
    </row>
    <row r="5134" spans="12:16" ht="15" hidden="1" customHeight="1">
      <c r="L5134" s="58" t="str">
        <f t="shared" si="432"/>
        <v>-</v>
      </c>
      <c r="M5134" s="59">
        <f t="shared" si="430"/>
        <v>0</v>
      </c>
      <c r="N5134" s="59">
        <f t="shared" si="433"/>
        <v>0</v>
      </c>
      <c r="O5134" s="59">
        <f t="shared" si="431"/>
        <v>0</v>
      </c>
      <c r="P5134" s="59">
        <f t="shared" si="434"/>
        <v>0</v>
      </c>
    </row>
    <row r="5135" spans="12:16" ht="15" hidden="1" customHeight="1">
      <c r="L5135" s="58" t="str">
        <f t="shared" si="432"/>
        <v>-</v>
      </c>
      <c r="M5135" s="59">
        <f t="shared" si="430"/>
        <v>0</v>
      </c>
      <c r="N5135" s="59">
        <f t="shared" si="433"/>
        <v>0</v>
      </c>
      <c r="O5135" s="59">
        <f t="shared" si="431"/>
        <v>0</v>
      </c>
      <c r="P5135" s="59">
        <f t="shared" si="434"/>
        <v>0</v>
      </c>
    </row>
    <row r="5136" spans="12:16" ht="15" hidden="1" customHeight="1">
      <c r="L5136" s="58" t="str">
        <f t="shared" si="432"/>
        <v>-</v>
      </c>
      <c r="M5136" s="59">
        <f t="shared" si="430"/>
        <v>0</v>
      </c>
      <c r="N5136" s="59">
        <f t="shared" si="433"/>
        <v>0</v>
      </c>
      <c r="O5136" s="59">
        <f t="shared" si="431"/>
        <v>0</v>
      </c>
      <c r="P5136" s="59">
        <f t="shared" si="434"/>
        <v>0</v>
      </c>
    </row>
    <row r="5137" spans="12:16" ht="15" hidden="1" customHeight="1">
      <c r="L5137" s="58" t="str">
        <f t="shared" si="432"/>
        <v>-</v>
      </c>
      <c r="M5137" s="59">
        <f t="shared" si="430"/>
        <v>0</v>
      </c>
      <c r="N5137" s="59">
        <f t="shared" si="433"/>
        <v>0</v>
      </c>
      <c r="O5137" s="59">
        <f t="shared" si="431"/>
        <v>0</v>
      </c>
      <c r="P5137" s="59">
        <f t="shared" si="434"/>
        <v>0</v>
      </c>
    </row>
    <row r="5138" spans="12:16" ht="15" hidden="1" customHeight="1">
      <c r="L5138" s="58" t="str">
        <f t="shared" si="432"/>
        <v>-</v>
      </c>
      <c r="M5138" s="59">
        <f t="shared" si="430"/>
        <v>0</v>
      </c>
      <c r="N5138" s="59">
        <f t="shared" si="433"/>
        <v>0</v>
      </c>
      <c r="O5138" s="59">
        <f t="shared" si="431"/>
        <v>0</v>
      </c>
      <c r="P5138" s="59">
        <f t="shared" si="434"/>
        <v>0</v>
      </c>
    </row>
    <row r="5139" spans="12:16" ht="15" hidden="1" customHeight="1">
      <c r="L5139" s="58" t="str">
        <f t="shared" si="432"/>
        <v>-</v>
      </c>
      <c r="M5139" s="59">
        <f t="shared" ref="M5139:M5202" si="435">IFERROR(VLOOKUP(L5139,$B$19:$E$80,4,FALSE),0)</f>
        <v>0</v>
      </c>
      <c r="N5139" s="59">
        <f t="shared" si="433"/>
        <v>0</v>
      </c>
      <c r="O5139" s="59">
        <f t="shared" ref="O5139:O5202" si="436">IFERROR(IF(ISNUMBER(N5138),N5138,$E$8)*IF(L5139&gt;=$J$8,$E$12,$E$12)/IF(MOD(YEAR(L5139),4),365,366)*IF(ISBLANK(L5138),L5139-$F$5,L5139-L5138),0)</f>
        <v>0</v>
      </c>
      <c r="P5139" s="59">
        <f t="shared" si="434"/>
        <v>0</v>
      </c>
    </row>
    <row r="5140" spans="12:16" ht="15" hidden="1" customHeight="1">
      <c r="L5140" s="58" t="str">
        <f t="shared" si="432"/>
        <v>-</v>
      </c>
      <c r="M5140" s="59">
        <f t="shared" si="435"/>
        <v>0</v>
      </c>
      <c r="N5140" s="59">
        <f t="shared" si="433"/>
        <v>0</v>
      </c>
      <c r="O5140" s="59">
        <f t="shared" si="436"/>
        <v>0</v>
      </c>
      <c r="P5140" s="59">
        <f t="shared" si="434"/>
        <v>0</v>
      </c>
    </row>
    <row r="5141" spans="12:16" ht="15" hidden="1" customHeight="1">
      <c r="L5141" s="58" t="str">
        <f t="shared" si="432"/>
        <v>-</v>
      </c>
      <c r="M5141" s="59">
        <f t="shared" si="435"/>
        <v>0</v>
      </c>
      <c r="N5141" s="59">
        <f t="shared" si="433"/>
        <v>0</v>
      </c>
      <c r="O5141" s="59">
        <f t="shared" si="436"/>
        <v>0</v>
      </c>
      <c r="P5141" s="59">
        <f t="shared" si="434"/>
        <v>0</v>
      </c>
    </row>
    <row r="5142" spans="12:16" ht="15" hidden="1" customHeight="1">
      <c r="L5142" s="58" t="str">
        <f t="shared" si="432"/>
        <v>-</v>
      </c>
      <c r="M5142" s="59">
        <f t="shared" si="435"/>
        <v>0</v>
      </c>
      <c r="N5142" s="59">
        <f t="shared" si="433"/>
        <v>0</v>
      </c>
      <c r="O5142" s="59">
        <f t="shared" si="436"/>
        <v>0</v>
      </c>
      <c r="P5142" s="59">
        <f t="shared" si="434"/>
        <v>0</v>
      </c>
    </row>
    <row r="5143" spans="12:16" ht="15" hidden="1" customHeight="1">
      <c r="L5143" s="58" t="str">
        <f t="shared" si="432"/>
        <v>-</v>
      </c>
      <c r="M5143" s="59">
        <f t="shared" si="435"/>
        <v>0</v>
      </c>
      <c r="N5143" s="59">
        <f t="shared" si="433"/>
        <v>0</v>
      </c>
      <c r="O5143" s="59">
        <f t="shared" si="436"/>
        <v>0</v>
      </c>
      <c r="P5143" s="59">
        <f t="shared" si="434"/>
        <v>0</v>
      </c>
    </row>
    <row r="5144" spans="12:16" ht="15" hidden="1" customHeight="1">
      <c r="L5144" s="58" t="str">
        <f t="shared" si="432"/>
        <v>-</v>
      </c>
      <c r="M5144" s="59">
        <f t="shared" si="435"/>
        <v>0</v>
      </c>
      <c r="N5144" s="59">
        <f t="shared" si="433"/>
        <v>0</v>
      </c>
      <c r="O5144" s="59">
        <f t="shared" si="436"/>
        <v>0</v>
      </c>
      <c r="P5144" s="59">
        <f t="shared" si="434"/>
        <v>0</v>
      </c>
    </row>
    <row r="5145" spans="12:16" ht="15" hidden="1" customHeight="1">
      <c r="L5145" s="58" t="str">
        <f t="shared" si="432"/>
        <v>-</v>
      </c>
      <c r="M5145" s="59">
        <f t="shared" si="435"/>
        <v>0</v>
      </c>
      <c r="N5145" s="59">
        <f t="shared" si="433"/>
        <v>0</v>
      </c>
      <c r="O5145" s="59">
        <f t="shared" si="436"/>
        <v>0</v>
      </c>
      <c r="P5145" s="59">
        <f t="shared" si="434"/>
        <v>0</v>
      </c>
    </row>
    <row r="5146" spans="12:16" ht="15" hidden="1" customHeight="1">
      <c r="L5146" s="58" t="str">
        <f t="shared" si="432"/>
        <v>-</v>
      </c>
      <c r="M5146" s="59">
        <f t="shared" si="435"/>
        <v>0</v>
      </c>
      <c r="N5146" s="59">
        <f t="shared" si="433"/>
        <v>0</v>
      </c>
      <c r="O5146" s="59">
        <f t="shared" si="436"/>
        <v>0</v>
      </c>
      <c r="P5146" s="59">
        <f t="shared" si="434"/>
        <v>0</v>
      </c>
    </row>
    <row r="5147" spans="12:16" ht="15" hidden="1" customHeight="1">
      <c r="L5147" s="58" t="str">
        <f t="shared" si="432"/>
        <v>-</v>
      </c>
      <c r="M5147" s="59">
        <f t="shared" si="435"/>
        <v>0</v>
      </c>
      <c r="N5147" s="59">
        <f t="shared" si="433"/>
        <v>0</v>
      </c>
      <c r="O5147" s="59">
        <f t="shared" si="436"/>
        <v>0</v>
      </c>
      <c r="P5147" s="59">
        <f t="shared" si="434"/>
        <v>0</v>
      </c>
    </row>
    <row r="5148" spans="12:16" ht="15" hidden="1" customHeight="1">
      <c r="L5148" s="58" t="str">
        <f t="shared" si="432"/>
        <v>-</v>
      </c>
      <c r="M5148" s="59">
        <f t="shared" si="435"/>
        <v>0</v>
      </c>
      <c r="N5148" s="59">
        <f t="shared" si="433"/>
        <v>0</v>
      </c>
      <c r="O5148" s="59">
        <f t="shared" si="436"/>
        <v>0</v>
      </c>
      <c r="P5148" s="59">
        <f t="shared" si="434"/>
        <v>0</v>
      </c>
    </row>
    <row r="5149" spans="12:16" ht="15" hidden="1" customHeight="1">
      <c r="L5149" s="58" t="str">
        <f t="shared" si="432"/>
        <v>-</v>
      </c>
      <c r="M5149" s="59">
        <f t="shared" si="435"/>
        <v>0</v>
      </c>
      <c r="N5149" s="59">
        <f t="shared" si="433"/>
        <v>0</v>
      </c>
      <c r="O5149" s="59">
        <f t="shared" si="436"/>
        <v>0</v>
      </c>
      <c r="P5149" s="59">
        <f t="shared" si="434"/>
        <v>0</v>
      </c>
    </row>
    <row r="5150" spans="12:16" ht="15" hidden="1" customHeight="1">
      <c r="L5150" s="58" t="str">
        <f t="shared" si="432"/>
        <v>-</v>
      </c>
      <c r="M5150" s="59">
        <f t="shared" si="435"/>
        <v>0</v>
      </c>
      <c r="N5150" s="59">
        <f t="shared" si="433"/>
        <v>0</v>
      </c>
      <c r="O5150" s="59">
        <f t="shared" si="436"/>
        <v>0</v>
      </c>
      <c r="P5150" s="59">
        <f t="shared" si="434"/>
        <v>0</v>
      </c>
    </row>
    <row r="5151" spans="12:16" ht="15" hidden="1" customHeight="1">
      <c r="L5151" s="58" t="str">
        <f t="shared" si="432"/>
        <v>-</v>
      </c>
      <c r="M5151" s="59">
        <f t="shared" si="435"/>
        <v>0</v>
      </c>
      <c r="N5151" s="59">
        <f t="shared" si="433"/>
        <v>0</v>
      </c>
      <c r="O5151" s="59">
        <f t="shared" si="436"/>
        <v>0</v>
      </c>
      <c r="P5151" s="59">
        <f t="shared" si="434"/>
        <v>0</v>
      </c>
    </row>
    <row r="5152" spans="12:16" ht="15" hidden="1" customHeight="1">
      <c r="L5152" s="58" t="str">
        <f t="shared" si="432"/>
        <v>-</v>
      </c>
      <c r="M5152" s="59">
        <f t="shared" si="435"/>
        <v>0</v>
      </c>
      <c r="N5152" s="59">
        <f t="shared" si="433"/>
        <v>0</v>
      </c>
      <c r="O5152" s="59">
        <f t="shared" si="436"/>
        <v>0</v>
      </c>
      <c r="P5152" s="59">
        <f t="shared" si="434"/>
        <v>0</v>
      </c>
    </row>
    <row r="5153" spans="12:16" ht="15" hidden="1" customHeight="1">
      <c r="L5153" s="58" t="str">
        <f t="shared" ref="L5153:L5216" si="437">IFERROR(IF(MAX(L5152+1,$F$5+1)&gt;Дата_погашения_Займа,"-",MAX(L5152+1,$F$5+1)),"-")</f>
        <v>-</v>
      </c>
      <c r="M5153" s="59">
        <f t="shared" si="435"/>
        <v>0</v>
      </c>
      <c r="N5153" s="59">
        <f t="shared" si="433"/>
        <v>0</v>
      </c>
      <c r="O5153" s="59">
        <f t="shared" si="436"/>
        <v>0</v>
      </c>
      <c r="P5153" s="59">
        <f t="shared" si="434"/>
        <v>0</v>
      </c>
    </row>
    <row r="5154" spans="12:16" ht="15" hidden="1" customHeight="1">
      <c r="L5154" s="58" t="str">
        <f t="shared" si="437"/>
        <v>-</v>
      </c>
      <c r="M5154" s="59">
        <f t="shared" si="435"/>
        <v>0</v>
      </c>
      <c r="N5154" s="59">
        <f t="shared" si="433"/>
        <v>0</v>
      </c>
      <c r="O5154" s="59">
        <f t="shared" si="436"/>
        <v>0</v>
      </c>
      <c r="P5154" s="59">
        <f t="shared" si="434"/>
        <v>0</v>
      </c>
    </row>
    <row r="5155" spans="12:16" ht="15" hidden="1" customHeight="1">
      <c r="L5155" s="58" t="str">
        <f t="shared" si="437"/>
        <v>-</v>
      </c>
      <c r="M5155" s="59">
        <f t="shared" si="435"/>
        <v>0</v>
      </c>
      <c r="N5155" s="59">
        <f t="shared" si="433"/>
        <v>0</v>
      </c>
      <c r="O5155" s="59">
        <f t="shared" si="436"/>
        <v>0</v>
      </c>
      <c r="P5155" s="59">
        <f t="shared" si="434"/>
        <v>0</v>
      </c>
    </row>
    <row r="5156" spans="12:16" ht="15" hidden="1" customHeight="1">
      <c r="L5156" s="58" t="str">
        <f t="shared" si="437"/>
        <v>-</v>
      </c>
      <c r="M5156" s="59">
        <f t="shared" si="435"/>
        <v>0</v>
      </c>
      <c r="N5156" s="59">
        <f t="shared" si="433"/>
        <v>0</v>
      </c>
      <c r="O5156" s="59">
        <f t="shared" si="436"/>
        <v>0</v>
      </c>
      <c r="P5156" s="59">
        <f t="shared" si="434"/>
        <v>0</v>
      </c>
    </row>
    <row r="5157" spans="12:16" ht="15" hidden="1" customHeight="1">
      <c r="L5157" s="58" t="str">
        <f t="shared" si="437"/>
        <v>-</v>
      </c>
      <c r="M5157" s="59">
        <f t="shared" si="435"/>
        <v>0</v>
      </c>
      <c r="N5157" s="59">
        <f t="shared" si="433"/>
        <v>0</v>
      </c>
      <c r="O5157" s="59">
        <f t="shared" si="436"/>
        <v>0</v>
      </c>
      <c r="P5157" s="59">
        <f t="shared" si="434"/>
        <v>0</v>
      </c>
    </row>
    <row r="5158" spans="12:16" ht="15" hidden="1" customHeight="1">
      <c r="L5158" s="58" t="str">
        <f t="shared" si="437"/>
        <v>-</v>
      </c>
      <c r="M5158" s="59">
        <f t="shared" si="435"/>
        <v>0</v>
      </c>
      <c r="N5158" s="59">
        <f t="shared" si="433"/>
        <v>0</v>
      </c>
      <c r="O5158" s="59">
        <f t="shared" si="436"/>
        <v>0</v>
      </c>
      <c r="P5158" s="59">
        <f t="shared" si="434"/>
        <v>0</v>
      </c>
    </row>
    <row r="5159" spans="12:16" ht="15" hidden="1" customHeight="1">
      <c r="L5159" s="58" t="str">
        <f t="shared" si="437"/>
        <v>-</v>
      </c>
      <c r="M5159" s="59">
        <f t="shared" si="435"/>
        <v>0</v>
      </c>
      <c r="N5159" s="59">
        <f t="shared" si="433"/>
        <v>0</v>
      </c>
      <c r="O5159" s="59">
        <f t="shared" si="436"/>
        <v>0</v>
      </c>
      <c r="P5159" s="59">
        <f t="shared" si="434"/>
        <v>0</v>
      </c>
    </row>
    <row r="5160" spans="12:16" ht="15" hidden="1" customHeight="1">
      <c r="L5160" s="58" t="str">
        <f t="shared" si="437"/>
        <v>-</v>
      </c>
      <c r="M5160" s="59">
        <f t="shared" si="435"/>
        <v>0</v>
      </c>
      <c r="N5160" s="59">
        <f t="shared" si="433"/>
        <v>0</v>
      </c>
      <c r="O5160" s="59">
        <f t="shared" si="436"/>
        <v>0</v>
      </c>
      <c r="P5160" s="59">
        <f t="shared" si="434"/>
        <v>0</v>
      </c>
    </row>
    <row r="5161" spans="12:16" ht="15" hidden="1" customHeight="1">
      <c r="L5161" s="58" t="str">
        <f t="shared" si="437"/>
        <v>-</v>
      </c>
      <c r="M5161" s="59">
        <f t="shared" si="435"/>
        <v>0</v>
      </c>
      <c r="N5161" s="59">
        <f t="shared" ref="N5161:N5224" si="438">IF(ISNUMBER(N5160),N5160-M5161,$E$8)</f>
        <v>0</v>
      </c>
      <c r="O5161" s="59">
        <f t="shared" si="436"/>
        <v>0</v>
      </c>
      <c r="P5161" s="59">
        <f t="shared" ref="P5161:P5224" si="439">IFERROR(IF(ISNUMBER(N5160),N5160,$E$8)*3%/IF(MOD(YEAR(L5161),4),365,366)*IF(ISBLANK(L5160),(L5161-$F$5),L5161-L5160),0)</f>
        <v>0</v>
      </c>
    </row>
    <row r="5162" spans="12:16" ht="15" hidden="1" customHeight="1">
      <c r="L5162" s="58" t="str">
        <f t="shared" si="437"/>
        <v>-</v>
      </c>
      <c r="M5162" s="59">
        <f t="shared" si="435"/>
        <v>0</v>
      </c>
      <c r="N5162" s="59">
        <f t="shared" si="438"/>
        <v>0</v>
      </c>
      <c r="O5162" s="59">
        <f t="shared" si="436"/>
        <v>0</v>
      </c>
      <c r="P5162" s="59">
        <f t="shared" si="439"/>
        <v>0</v>
      </c>
    </row>
    <row r="5163" spans="12:16" ht="15" hidden="1" customHeight="1">
      <c r="L5163" s="58" t="str">
        <f t="shared" si="437"/>
        <v>-</v>
      </c>
      <c r="M5163" s="59">
        <f t="shared" si="435"/>
        <v>0</v>
      </c>
      <c r="N5163" s="59">
        <f t="shared" si="438"/>
        <v>0</v>
      </c>
      <c r="O5163" s="59">
        <f t="shared" si="436"/>
        <v>0</v>
      </c>
      <c r="P5163" s="59">
        <f t="shared" si="439"/>
        <v>0</v>
      </c>
    </row>
    <row r="5164" spans="12:16" ht="15" hidden="1" customHeight="1">
      <c r="L5164" s="58" t="str">
        <f t="shared" si="437"/>
        <v>-</v>
      </c>
      <c r="M5164" s="59">
        <f t="shared" si="435"/>
        <v>0</v>
      </c>
      <c r="N5164" s="59">
        <f t="shared" si="438"/>
        <v>0</v>
      </c>
      <c r="O5164" s="59">
        <f t="shared" si="436"/>
        <v>0</v>
      </c>
      <c r="P5164" s="59">
        <f t="shared" si="439"/>
        <v>0</v>
      </c>
    </row>
    <row r="5165" spans="12:16" ht="15" hidden="1" customHeight="1">
      <c r="L5165" s="58" t="str">
        <f t="shared" si="437"/>
        <v>-</v>
      </c>
      <c r="M5165" s="59">
        <f t="shared" si="435"/>
        <v>0</v>
      </c>
      <c r="N5165" s="59">
        <f t="shared" si="438"/>
        <v>0</v>
      </c>
      <c r="O5165" s="59">
        <f t="shared" si="436"/>
        <v>0</v>
      </c>
      <c r="P5165" s="59">
        <f t="shared" si="439"/>
        <v>0</v>
      </c>
    </row>
    <row r="5166" spans="12:16" ht="15" hidden="1" customHeight="1">
      <c r="L5166" s="58" t="str">
        <f t="shared" si="437"/>
        <v>-</v>
      </c>
      <c r="M5166" s="59">
        <f t="shared" si="435"/>
        <v>0</v>
      </c>
      <c r="N5166" s="59">
        <f t="shared" si="438"/>
        <v>0</v>
      </c>
      <c r="O5166" s="59">
        <f t="shared" si="436"/>
        <v>0</v>
      </c>
      <c r="P5166" s="59">
        <f t="shared" si="439"/>
        <v>0</v>
      </c>
    </row>
    <row r="5167" spans="12:16" ht="15" hidden="1" customHeight="1">
      <c r="L5167" s="58" t="str">
        <f t="shared" si="437"/>
        <v>-</v>
      </c>
      <c r="M5167" s="59">
        <f t="shared" si="435"/>
        <v>0</v>
      </c>
      <c r="N5167" s="59">
        <f t="shared" si="438"/>
        <v>0</v>
      </c>
      <c r="O5167" s="59">
        <f t="shared" si="436"/>
        <v>0</v>
      </c>
      <c r="P5167" s="59">
        <f t="shared" si="439"/>
        <v>0</v>
      </c>
    </row>
    <row r="5168" spans="12:16" ht="15" hidden="1" customHeight="1">
      <c r="L5168" s="58" t="str">
        <f t="shared" si="437"/>
        <v>-</v>
      </c>
      <c r="M5168" s="59">
        <f t="shared" si="435"/>
        <v>0</v>
      </c>
      <c r="N5168" s="59">
        <f t="shared" si="438"/>
        <v>0</v>
      </c>
      <c r="O5168" s="59">
        <f t="shared" si="436"/>
        <v>0</v>
      </c>
      <c r="P5168" s="59">
        <f t="shared" si="439"/>
        <v>0</v>
      </c>
    </row>
    <row r="5169" spans="12:16" ht="15" hidden="1" customHeight="1">
      <c r="L5169" s="58" t="str">
        <f t="shared" si="437"/>
        <v>-</v>
      </c>
      <c r="M5169" s="59">
        <f t="shared" si="435"/>
        <v>0</v>
      </c>
      <c r="N5169" s="59">
        <f t="shared" si="438"/>
        <v>0</v>
      </c>
      <c r="O5169" s="59">
        <f t="shared" si="436"/>
        <v>0</v>
      </c>
      <c r="P5169" s="59">
        <f t="shared" si="439"/>
        <v>0</v>
      </c>
    </row>
    <row r="5170" spans="12:16" ht="15" hidden="1" customHeight="1">
      <c r="L5170" s="58" t="str">
        <f t="shared" si="437"/>
        <v>-</v>
      </c>
      <c r="M5170" s="59">
        <f t="shared" si="435"/>
        <v>0</v>
      </c>
      <c r="N5170" s="59">
        <f t="shared" si="438"/>
        <v>0</v>
      </c>
      <c r="O5170" s="59">
        <f t="shared" si="436"/>
        <v>0</v>
      </c>
      <c r="P5170" s="59">
        <f t="shared" si="439"/>
        <v>0</v>
      </c>
    </row>
    <row r="5171" spans="12:16" ht="15" hidden="1" customHeight="1">
      <c r="L5171" s="58" t="str">
        <f t="shared" si="437"/>
        <v>-</v>
      </c>
      <c r="M5171" s="59">
        <f t="shared" si="435"/>
        <v>0</v>
      </c>
      <c r="N5171" s="59">
        <f t="shared" si="438"/>
        <v>0</v>
      </c>
      <c r="O5171" s="59">
        <f t="shared" si="436"/>
        <v>0</v>
      </c>
      <c r="P5171" s="59">
        <f t="shared" si="439"/>
        <v>0</v>
      </c>
    </row>
    <row r="5172" spans="12:16" ht="15" hidden="1" customHeight="1">
      <c r="L5172" s="58" t="str">
        <f t="shared" si="437"/>
        <v>-</v>
      </c>
      <c r="M5172" s="59">
        <f t="shared" si="435"/>
        <v>0</v>
      </c>
      <c r="N5172" s="59">
        <f t="shared" si="438"/>
        <v>0</v>
      </c>
      <c r="O5172" s="59">
        <f t="shared" si="436"/>
        <v>0</v>
      </c>
      <c r="P5172" s="59">
        <f t="shared" si="439"/>
        <v>0</v>
      </c>
    </row>
    <row r="5173" spans="12:16" ht="15" hidden="1" customHeight="1">
      <c r="L5173" s="58" t="str">
        <f t="shared" si="437"/>
        <v>-</v>
      </c>
      <c r="M5173" s="59">
        <f t="shared" si="435"/>
        <v>0</v>
      </c>
      <c r="N5173" s="59">
        <f t="shared" si="438"/>
        <v>0</v>
      </c>
      <c r="O5173" s="59">
        <f t="shared" si="436"/>
        <v>0</v>
      </c>
      <c r="P5173" s="59">
        <f t="shared" si="439"/>
        <v>0</v>
      </c>
    </row>
    <row r="5174" spans="12:16" ht="15" hidden="1" customHeight="1">
      <c r="L5174" s="58" t="str">
        <f t="shared" si="437"/>
        <v>-</v>
      </c>
      <c r="M5174" s="59">
        <f t="shared" si="435"/>
        <v>0</v>
      </c>
      <c r="N5174" s="59">
        <f t="shared" si="438"/>
        <v>0</v>
      </c>
      <c r="O5174" s="59">
        <f t="shared" si="436"/>
        <v>0</v>
      </c>
      <c r="P5174" s="59">
        <f t="shared" si="439"/>
        <v>0</v>
      </c>
    </row>
    <row r="5175" spans="12:16" ht="15" hidden="1" customHeight="1">
      <c r="L5175" s="58" t="str">
        <f t="shared" si="437"/>
        <v>-</v>
      </c>
      <c r="M5175" s="59">
        <f t="shared" si="435"/>
        <v>0</v>
      </c>
      <c r="N5175" s="59">
        <f t="shared" si="438"/>
        <v>0</v>
      </c>
      <c r="O5175" s="59">
        <f t="shared" si="436"/>
        <v>0</v>
      </c>
      <c r="P5175" s="59">
        <f t="shared" si="439"/>
        <v>0</v>
      </c>
    </row>
    <row r="5176" spans="12:16" ht="15" hidden="1" customHeight="1">
      <c r="L5176" s="58" t="str">
        <f t="shared" si="437"/>
        <v>-</v>
      </c>
      <c r="M5176" s="59">
        <f t="shared" si="435"/>
        <v>0</v>
      </c>
      <c r="N5176" s="59">
        <f t="shared" si="438"/>
        <v>0</v>
      </c>
      <c r="O5176" s="59">
        <f t="shared" si="436"/>
        <v>0</v>
      </c>
      <c r="P5176" s="59">
        <f t="shared" si="439"/>
        <v>0</v>
      </c>
    </row>
    <row r="5177" spans="12:16" ht="15" hidden="1" customHeight="1">
      <c r="L5177" s="58" t="str">
        <f t="shared" si="437"/>
        <v>-</v>
      </c>
      <c r="M5177" s="59">
        <f t="shared" si="435"/>
        <v>0</v>
      </c>
      <c r="N5177" s="59">
        <f t="shared" si="438"/>
        <v>0</v>
      </c>
      <c r="O5177" s="59">
        <f t="shared" si="436"/>
        <v>0</v>
      </c>
      <c r="P5177" s="59">
        <f t="shared" si="439"/>
        <v>0</v>
      </c>
    </row>
    <row r="5178" spans="12:16" ht="15" hidden="1" customHeight="1">
      <c r="L5178" s="58" t="str">
        <f t="shared" si="437"/>
        <v>-</v>
      </c>
      <c r="M5178" s="59">
        <f t="shared" si="435"/>
        <v>0</v>
      </c>
      <c r="N5178" s="59">
        <f t="shared" si="438"/>
        <v>0</v>
      </c>
      <c r="O5178" s="59">
        <f t="shared" si="436"/>
        <v>0</v>
      </c>
      <c r="P5178" s="59">
        <f t="shared" si="439"/>
        <v>0</v>
      </c>
    </row>
    <row r="5179" spans="12:16" ht="15" hidden="1" customHeight="1">
      <c r="L5179" s="58" t="str">
        <f t="shared" si="437"/>
        <v>-</v>
      </c>
      <c r="M5179" s="59">
        <f t="shared" si="435"/>
        <v>0</v>
      </c>
      <c r="N5179" s="59">
        <f t="shared" si="438"/>
        <v>0</v>
      </c>
      <c r="O5179" s="59">
        <f t="shared" si="436"/>
        <v>0</v>
      </c>
      <c r="P5179" s="59">
        <f t="shared" si="439"/>
        <v>0</v>
      </c>
    </row>
    <row r="5180" spans="12:16" ht="15" hidden="1" customHeight="1">
      <c r="L5180" s="58" t="str">
        <f t="shared" si="437"/>
        <v>-</v>
      </c>
      <c r="M5180" s="59">
        <f t="shared" si="435"/>
        <v>0</v>
      </c>
      <c r="N5180" s="59">
        <f t="shared" si="438"/>
        <v>0</v>
      </c>
      <c r="O5180" s="59">
        <f t="shared" si="436"/>
        <v>0</v>
      </c>
      <c r="P5180" s="59">
        <f t="shared" si="439"/>
        <v>0</v>
      </c>
    </row>
    <row r="5181" spans="12:16" ht="15" hidden="1" customHeight="1">
      <c r="L5181" s="58" t="str">
        <f t="shared" si="437"/>
        <v>-</v>
      </c>
      <c r="M5181" s="59">
        <f t="shared" si="435"/>
        <v>0</v>
      </c>
      <c r="N5181" s="59">
        <f t="shared" si="438"/>
        <v>0</v>
      </c>
      <c r="O5181" s="59">
        <f t="shared" si="436"/>
        <v>0</v>
      </c>
      <c r="P5181" s="59">
        <f t="shared" si="439"/>
        <v>0</v>
      </c>
    </row>
    <row r="5182" spans="12:16" ht="15" hidden="1" customHeight="1">
      <c r="L5182" s="58" t="str">
        <f t="shared" si="437"/>
        <v>-</v>
      </c>
      <c r="M5182" s="59">
        <f t="shared" si="435"/>
        <v>0</v>
      </c>
      <c r="N5182" s="59">
        <f t="shared" si="438"/>
        <v>0</v>
      </c>
      <c r="O5182" s="59">
        <f t="shared" si="436"/>
        <v>0</v>
      </c>
      <c r="P5182" s="59">
        <f t="shared" si="439"/>
        <v>0</v>
      </c>
    </row>
    <row r="5183" spans="12:16" ht="15" hidden="1" customHeight="1">
      <c r="L5183" s="58" t="str">
        <f t="shared" si="437"/>
        <v>-</v>
      </c>
      <c r="M5183" s="59">
        <f t="shared" si="435"/>
        <v>0</v>
      </c>
      <c r="N5183" s="59">
        <f t="shared" si="438"/>
        <v>0</v>
      </c>
      <c r="O5183" s="59">
        <f t="shared" si="436"/>
        <v>0</v>
      </c>
      <c r="P5183" s="59">
        <f t="shared" si="439"/>
        <v>0</v>
      </c>
    </row>
    <row r="5184" spans="12:16" ht="15" hidden="1" customHeight="1">
      <c r="L5184" s="58" t="str">
        <f t="shared" si="437"/>
        <v>-</v>
      </c>
      <c r="M5184" s="59">
        <f t="shared" si="435"/>
        <v>0</v>
      </c>
      <c r="N5184" s="59">
        <f t="shared" si="438"/>
        <v>0</v>
      </c>
      <c r="O5184" s="59">
        <f t="shared" si="436"/>
        <v>0</v>
      </c>
      <c r="P5184" s="59">
        <f t="shared" si="439"/>
        <v>0</v>
      </c>
    </row>
    <row r="5185" spans="12:16" ht="15" hidden="1" customHeight="1">
      <c r="L5185" s="58" t="str">
        <f t="shared" si="437"/>
        <v>-</v>
      </c>
      <c r="M5185" s="59">
        <f t="shared" si="435"/>
        <v>0</v>
      </c>
      <c r="N5185" s="59">
        <f t="shared" si="438"/>
        <v>0</v>
      </c>
      <c r="O5185" s="59">
        <f t="shared" si="436"/>
        <v>0</v>
      </c>
      <c r="P5185" s="59">
        <f t="shared" si="439"/>
        <v>0</v>
      </c>
    </row>
    <row r="5186" spans="12:16" ht="15" hidden="1" customHeight="1">
      <c r="L5186" s="58" t="str">
        <f t="shared" si="437"/>
        <v>-</v>
      </c>
      <c r="M5186" s="59">
        <f t="shared" si="435"/>
        <v>0</v>
      </c>
      <c r="N5186" s="59">
        <f t="shared" si="438"/>
        <v>0</v>
      </c>
      <c r="O5186" s="59">
        <f t="shared" si="436"/>
        <v>0</v>
      </c>
      <c r="P5186" s="59">
        <f t="shared" si="439"/>
        <v>0</v>
      </c>
    </row>
    <row r="5187" spans="12:16" ht="15" hidden="1" customHeight="1">
      <c r="L5187" s="58" t="str">
        <f t="shared" si="437"/>
        <v>-</v>
      </c>
      <c r="M5187" s="59">
        <f t="shared" si="435"/>
        <v>0</v>
      </c>
      <c r="N5187" s="59">
        <f t="shared" si="438"/>
        <v>0</v>
      </c>
      <c r="O5187" s="59">
        <f t="shared" si="436"/>
        <v>0</v>
      </c>
      <c r="P5187" s="59">
        <f t="shared" si="439"/>
        <v>0</v>
      </c>
    </row>
    <row r="5188" spans="12:16" ht="15" hidden="1" customHeight="1">
      <c r="L5188" s="58" t="str">
        <f t="shared" si="437"/>
        <v>-</v>
      </c>
      <c r="M5188" s="59">
        <f t="shared" si="435"/>
        <v>0</v>
      </c>
      <c r="N5188" s="59">
        <f t="shared" si="438"/>
        <v>0</v>
      </c>
      <c r="O5188" s="59">
        <f t="shared" si="436"/>
        <v>0</v>
      </c>
      <c r="P5188" s="59">
        <f t="shared" si="439"/>
        <v>0</v>
      </c>
    </row>
    <row r="5189" spans="12:16" ht="15" hidden="1" customHeight="1">
      <c r="L5189" s="58" t="str">
        <f t="shared" si="437"/>
        <v>-</v>
      </c>
      <c r="M5189" s="59">
        <f t="shared" si="435"/>
        <v>0</v>
      </c>
      <c r="N5189" s="59">
        <f t="shared" si="438"/>
        <v>0</v>
      </c>
      <c r="O5189" s="59">
        <f t="shared" si="436"/>
        <v>0</v>
      </c>
      <c r="P5189" s="59">
        <f t="shared" si="439"/>
        <v>0</v>
      </c>
    </row>
    <row r="5190" spans="12:16" ht="15" hidden="1" customHeight="1">
      <c r="L5190" s="58" t="str">
        <f t="shared" si="437"/>
        <v>-</v>
      </c>
      <c r="M5190" s="59">
        <f t="shared" si="435"/>
        <v>0</v>
      </c>
      <c r="N5190" s="59">
        <f t="shared" si="438"/>
        <v>0</v>
      </c>
      <c r="O5190" s="59">
        <f t="shared" si="436"/>
        <v>0</v>
      </c>
      <c r="P5190" s="59">
        <f t="shared" si="439"/>
        <v>0</v>
      </c>
    </row>
    <row r="5191" spans="12:16" ht="15" hidden="1" customHeight="1">
      <c r="L5191" s="58" t="str">
        <f t="shared" si="437"/>
        <v>-</v>
      </c>
      <c r="M5191" s="59">
        <f t="shared" si="435"/>
        <v>0</v>
      </c>
      <c r="N5191" s="59">
        <f t="shared" si="438"/>
        <v>0</v>
      </c>
      <c r="O5191" s="59">
        <f t="shared" si="436"/>
        <v>0</v>
      </c>
      <c r="P5191" s="59">
        <f t="shared" si="439"/>
        <v>0</v>
      </c>
    </row>
    <row r="5192" spans="12:16" ht="15" hidden="1" customHeight="1">
      <c r="L5192" s="58" t="str">
        <f t="shared" si="437"/>
        <v>-</v>
      </c>
      <c r="M5192" s="59">
        <f t="shared" si="435"/>
        <v>0</v>
      </c>
      <c r="N5192" s="59">
        <f t="shared" si="438"/>
        <v>0</v>
      </c>
      <c r="O5192" s="59">
        <f t="shared" si="436"/>
        <v>0</v>
      </c>
      <c r="P5192" s="59">
        <f t="shared" si="439"/>
        <v>0</v>
      </c>
    </row>
    <row r="5193" spans="12:16" ht="15" hidden="1" customHeight="1">
      <c r="L5193" s="58" t="str">
        <f t="shared" si="437"/>
        <v>-</v>
      </c>
      <c r="M5193" s="59">
        <f t="shared" si="435"/>
        <v>0</v>
      </c>
      <c r="N5193" s="59">
        <f t="shared" si="438"/>
        <v>0</v>
      </c>
      <c r="O5193" s="59">
        <f t="shared" si="436"/>
        <v>0</v>
      </c>
      <c r="P5193" s="59">
        <f t="shared" si="439"/>
        <v>0</v>
      </c>
    </row>
    <row r="5194" spans="12:16" ht="15" hidden="1" customHeight="1">
      <c r="L5194" s="58" t="str">
        <f t="shared" si="437"/>
        <v>-</v>
      </c>
      <c r="M5194" s="59">
        <f t="shared" si="435"/>
        <v>0</v>
      </c>
      <c r="N5194" s="59">
        <f t="shared" si="438"/>
        <v>0</v>
      </c>
      <c r="O5194" s="59">
        <f t="shared" si="436"/>
        <v>0</v>
      </c>
      <c r="P5194" s="59">
        <f t="shared" si="439"/>
        <v>0</v>
      </c>
    </row>
    <row r="5195" spans="12:16" ht="15" hidden="1" customHeight="1">
      <c r="L5195" s="58" t="str">
        <f t="shared" si="437"/>
        <v>-</v>
      </c>
      <c r="M5195" s="59">
        <f t="shared" si="435"/>
        <v>0</v>
      </c>
      <c r="N5195" s="59">
        <f t="shared" si="438"/>
        <v>0</v>
      </c>
      <c r="O5195" s="59">
        <f t="shared" si="436"/>
        <v>0</v>
      </c>
      <c r="P5195" s="59">
        <f t="shared" si="439"/>
        <v>0</v>
      </c>
    </row>
    <row r="5196" spans="12:16" ht="15" hidden="1" customHeight="1">
      <c r="L5196" s="58" t="str">
        <f t="shared" si="437"/>
        <v>-</v>
      </c>
      <c r="M5196" s="59">
        <f t="shared" si="435"/>
        <v>0</v>
      </c>
      <c r="N5196" s="59">
        <f t="shared" si="438"/>
        <v>0</v>
      </c>
      <c r="O5196" s="59">
        <f t="shared" si="436"/>
        <v>0</v>
      </c>
      <c r="P5196" s="59">
        <f t="shared" si="439"/>
        <v>0</v>
      </c>
    </row>
    <row r="5197" spans="12:16" ht="15" hidden="1" customHeight="1">
      <c r="L5197" s="58" t="str">
        <f t="shared" si="437"/>
        <v>-</v>
      </c>
      <c r="M5197" s="59">
        <f t="shared" si="435"/>
        <v>0</v>
      </c>
      <c r="N5197" s="59">
        <f t="shared" si="438"/>
        <v>0</v>
      </c>
      <c r="O5197" s="59">
        <f t="shared" si="436"/>
        <v>0</v>
      </c>
      <c r="P5197" s="59">
        <f t="shared" si="439"/>
        <v>0</v>
      </c>
    </row>
    <row r="5198" spans="12:16" ht="15" hidden="1" customHeight="1">
      <c r="L5198" s="58" t="str">
        <f t="shared" si="437"/>
        <v>-</v>
      </c>
      <c r="M5198" s="59">
        <f t="shared" si="435"/>
        <v>0</v>
      </c>
      <c r="N5198" s="59">
        <f t="shared" si="438"/>
        <v>0</v>
      </c>
      <c r="O5198" s="59">
        <f t="shared" si="436"/>
        <v>0</v>
      </c>
      <c r="P5198" s="59">
        <f t="shared" si="439"/>
        <v>0</v>
      </c>
    </row>
    <row r="5199" spans="12:16" ht="15" hidden="1" customHeight="1">
      <c r="L5199" s="58" t="str">
        <f t="shared" si="437"/>
        <v>-</v>
      </c>
      <c r="M5199" s="59">
        <f t="shared" si="435"/>
        <v>0</v>
      </c>
      <c r="N5199" s="59">
        <f t="shared" si="438"/>
        <v>0</v>
      </c>
      <c r="O5199" s="59">
        <f t="shared" si="436"/>
        <v>0</v>
      </c>
      <c r="P5199" s="59">
        <f t="shared" si="439"/>
        <v>0</v>
      </c>
    </row>
    <row r="5200" spans="12:16" ht="15" hidden="1" customHeight="1">
      <c r="L5200" s="58" t="str">
        <f t="shared" si="437"/>
        <v>-</v>
      </c>
      <c r="M5200" s="59">
        <f t="shared" si="435"/>
        <v>0</v>
      </c>
      <c r="N5200" s="59">
        <f t="shared" si="438"/>
        <v>0</v>
      </c>
      <c r="O5200" s="59">
        <f t="shared" si="436"/>
        <v>0</v>
      </c>
      <c r="P5200" s="59">
        <f t="shared" si="439"/>
        <v>0</v>
      </c>
    </row>
    <row r="5201" spans="12:16" ht="15" hidden="1" customHeight="1">
      <c r="L5201" s="58" t="str">
        <f t="shared" si="437"/>
        <v>-</v>
      </c>
      <c r="M5201" s="59">
        <f t="shared" si="435"/>
        <v>0</v>
      </c>
      <c r="N5201" s="59">
        <f t="shared" si="438"/>
        <v>0</v>
      </c>
      <c r="O5201" s="59">
        <f t="shared" si="436"/>
        <v>0</v>
      </c>
      <c r="P5201" s="59">
        <f t="shared" si="439"/>
        <v>0</v>
      </c>
    </row>
    <row r="5202" spans="12:16" ht="15" hidden="1" customHeight="1">
      <c r="L5202" s="58" t="str">
        <f t="shared" si="437"/>
        <v>-</v>
      </c>
      <c r="M5202" s="59">
        <f t="shared" si="435"/>
        <v>0</v>
      </c>
      <c r="N5202" s="59">
        <f t="shared" si="438"/>
        <v>0</v>
      </c>
      <c r="O5202" s="59">
        <f t="shared" si="436"/>
        <v>0</v>
      </c>
      <c r="P5202" s="59">
        <f t="shared" si="439"/>
        <v>0</v>
      </c>
    </row>
    <row r="5203" spans="12:16" ht="15" hidden="1" customHeight="1">
      <c r="L5203" s="58" t="str">
        <f t="shared" si="437"/>
        <v>-</v>
      </c>
      <c r="M5203" s="59">
        <f t="shared" ref="M5203:M5266" si="440">IFERROR(VLOOKUP(L5203,$B$19:$E$80,4,FALSE),0)</f>
        <v>0</v>
      </c>
      <c r="N5203" s="59">
        <f t="shared" si="438"/>
        <v>0</v>
      </c>
      <c r="O5203" s="59">
        <f t="shared" ref="O5203:O5266" si="441">IFERROR(IF(ISNUMBER(N5202),N5202,$E$8)*IF(L5203&gt;=$J$8,$E$12,$E$12)/IF(MOD(YEAR(L5203),4),365,366)*IF(ISBLANK(L5202),L5203-$F$5,L5203-L5202),0)</f>
        <v>0</v>
      </c>
      <c r="P5203" s="59">
        <f t="shared" si="439"/>
        <v>0</v>
      </c>
    </row>
    <row r="5204" spans="12:16" ht="15" hidden="1" customHeight="1">
      <c r="L5204" s="58" t="str">
        <f t="shared" si="437"/>
        <v>-</v>
      </c>
      <c r="M5204" s="59">
        <f t="shared" si="440"/>
        <v>0</v>
      </c>
      <c r="N5204" s="59">
        <f t="shared" si="438"/>
        <v>0</v>
      </c>
      <c r="O5204" s="59">
        <f t="shared" si="441"/>
        <v>0</v>
      </c>
      <c r="P5204" s="59">
        <f t="shared" si="439"/>
        <v>0</v>
      </c>
    </row>
    <row r="5205" spans="12:16" ht="15" hidden="1" customHeight="1">
      <c r="L5205" s="58" t="str">
        <f t="shared" si="437"/>
        <v>-</v>
      </c>
      <c r="M5205" s="59">
        <f t="shared" si="440"/>
        <v>0</v>
      </c>
      <c r="N5205" s="59">
        <f t="shared" si="438"/>
        <v>0</v>
      </c>
      <c r="O5205" s="59">
        <f t="shared" si="441"/>
        <v>0</v>
      </c>
      <c r="P5205" s="59">
        <f t="shared" si="439"/>
        <v>0</v>
      </c>
    </row>
    <row r="5206" spans="12:16" ht="15" hidden="1" customHeight="1">
      <c r="L5206" s="58" t="str">
        <f t="shared" si="437"/>
        <v>-</v>
      </c>
      <c r="M5206" s="59">
        <f t="shared" si="440"/>
        <v>0</v>
      </c>
      <c r="N5206" s="59">
        <f t="shared" si="438"/>
        <v>0</v>
      </c>
      <c r="O5206" s="59">
        <f t="shared" si="441"/>
        <v>0</v>
      </c>
      <c r="P5206" s="59">
        <f t="shared" si="439"/>
        <v>0</v>
      </c>
    </row>
    <row r="5207" spans="12:16" ht="15" hidden="1" customHeight="1">
      <c r="L5207" s="58" t="str">
        <f t="shared" si="437"/>
        <v>-</v>
      </c>
      <c r="M5207" s="59">
        <f t="shared" si="440"/>
        <v>0</v>
      </c>
      <c r="N5207" s="59">
        <f t="shared" si="438"/>
        <v>0</v>
      </c>
      <c r="O5207" s="59">
        <f t="shared" si="441"/>
        <v>0</v>
      </c>
      <c r="P5207" s="59">
        <f t="shared" si="439"/>
        <v>0</v>
      </c>
    </row>
    <row r="5208" spans="12:16" ht="15" hidden="1" customHeight="1">
      <c r="L5208" s="58" t="str">
        <f t="shared" si="437"/>
        <v>-</v>
      </c>
      <c r="M5208" s="59">
        <f t="shared" si="440"/>
        <v>0</v>
      </c>
      <c r="N5208" s="59">
        <f t="shared" si="438"/>
        <v>0</v>
      </c>
      <c r="O5208" s="59">
        <f t="shared" si="441"/>
        <v>0</v>
      </c>
      <c r="P5208" s="59">
        <f t="shared" si="439"/>
        <v>0</v>
      </c>
    </row>
    <row r="5209" spans="12:16" ht="15" hidden="1" customHeight="1">
      <c r="L5209" s="58" t="str">
        <f t="shared" si="437"/>
        <v>-</v>
      </c>
      <c r="M5209" s="59">
        <f t="shared" si="440"/>
        <v>0</v>
      </c>
      <c r="N5209" s="59">
        <f t="shared" si="438"/>
        <v>0</v>
      </c>
      <c r="O5209" s="59">
        <f t="shared" si="441"/>
        <v>0</v>
      </c>
      <c r="P5209" s="59">
        <f t="shared" si="439"/>
        <v>0</v>
      </c>
    </row>
    <row r="5210" spans="12:16" ht="15" hidden="1" customHeight="1">
      <c r="L5210" s="58" t="str">
        <f t="shared" si="437"/>
        <v>-</v>
      </c>
      <c r="M5210" s="59">
        <f t="shared" si="440"/>
        <v>0</v>
      </c>
      <c r="N5210" s="59">
        <f t="shared" si="438"/>
        <v>0</v>
      </c>
      <c r="O5210" s="59">
        <f t="shared" si="441"/>
        <v>0</v>
      </c>
      <c r="P5210" s="59">
        <f t="shared" si="439"/>
        <v>0</v>
      </c>
    </row>
    <row r="5211" spans="12:16" ht="15" hidden="1" customHeight="1">
      <c r="L5211" s="58" t="str">
        <f t="shared" si="437"/>
        <v>-</v>
      </c>
      <c r="M5211" s="59">
        <f t="shared" si="440"/>
        <v>0</v>
      </c>
      <c r="N5211" s="59">
        <f t="shared" si="438"/>
        <v>0</v>
      </c>
      <c r="O5211" s="59">
        <f t="shared" si="441"/>
        <v>0</v>
      </c>
      <c r="P5211" s="59">
        <f t="shared" si="439"/>
        <v>0</v>
      </c>
    </row>
    <row r="5212" spans="12:16" ht="15" hidden="1" customHeight="1">
      <c r="L5212" s="58" t="str">
        <f t="shared" si="437"/>
        <v>-</v>
      </c>
      <c r="M5212" s="59">
        <f t="shared" si="440"/>
        <v>0</v>
      </c>
      <c r="N5212" s="59">
        <f t="shared" si="438"/>
        <v>0</v>
      </c>
      <c r="O5212" s="59">
        <f t="shared" si="441"/>
        <v>0</v>
      </c>
      <c r="P5212" s="59">
        <f t="shared" si="439"/>
        <v>0</v>
      </c>
    </row>
    <row r="5213" spans="12:16" ht="15" hidden="1" customHeight="1">
      <c r="L5213" s="58" t="str">
        <f t="shared" si="437"/>
        <v>-</v>
      </c>
      <c r="M5213" s="59">
        <f t="shared" si="440"/>
        <v>0</v>
      </c>
      <c r="N5213" s="59">
        <f t="shared" si="438"/>
        <v>0</v>
      </c>
      <c r="O5213" s="59">
        <f t="shared" si="441"/>
        <v>0</v>
      </c>
      <c r="P5213" s="59">
        <f t="shared" si="439"/>
        <v>0</v>
      </c>
    </row>
    <row r="5214" spans="12:16" ht="15" hidden="1" customHeight="1">
      <c r="L5214" s="58" t="str">
        <f t="shared" si="437"/>
        <v>-</v>
      </c>
      <c r="M5214" s="59">
        <f t="shared" si="440"/>
        <v>0</v>
      </c>
      <c r="N5214" s="59">
        <f t="shared" si="438"/>
        <v>0</v>
      </c>
      <c r="O5214" s="59">
        <f t="shared" si="441"/>
        <v>0</v>
      </c>
      <c r="P5214" s="59">
        <f t="shared" si="439"/>
        <v>0</v>
      </c>
    </row>
    <row r="5215" spans="12:16" ht="15" hidden="1" customHeight="1">
      <c r="L5215" s="58" t="str">
        <f t="shared" si="437"/>
        <v>-</v>
      </c>
      <c r="M5215" s="59">
        <f t="shared" si="440"/>
        <v>0</v>
      </c>
      <c r="N5215" s="59">
        <f t="shared" si="438"/>
        <v>0</v>
      </c>
      <c r="O5215" s="59">
        <f t="shared" si="441"/>
        <v>0</v>
      </c>
      <c r="P5215" s="59">
        <f t="shared" si="439"/>
        <v>0</v>
      </c>
    </row>
    <row r="5216" spans="12:16" ht="15" hidden="1" customHeight="1">
      <c r="L5216" s="58" t="str">
        <f t="shared" si="437"/>
        <v>-</v>
      </c>
      <c r="M5216" s="59">
        <f t="shared" si="440"/>
        <v>0</v>
      </c>
      <c r="N5216" s="59">
        <f t="shared" si="438"/>
        <v>0</v>
      </c>
      <c r="O5216" s="59">
        <f t="shared" si="441"/>
        <v>0</v>
      </c>
      <c r="P5216" s="59">
        <f t="shared" si="439"/>
        <v>0</v>
      </c>
    </row>
    <row r="5217" spans="12:16" ht="15" hidden="1" customHeight="1">
      <c r="L5217" s="58" t="str">
        <f t="shared" ref="L5217:L5280" si="442">IFERROR(IF(MAX(L5216+1,$F$5+1)&gt;Дата_погашения_Займа,"-",MAX(L5216+1,$F$5+1)),"-")</f>
        <v>-</v>
      </c>
      <c r="M5217" s="59">
        <f t="shared" si="440"/>
        <v>0</v>
      </c>
      <c r="N5217" s="59">
        <f t="shared" si="438"/>
        <v>0</v>
      </c>
      <c r="O5217" s="59">
        <f t="shared" si="441"/>
        <v>0</v>
      </c>
      <c r="P5217" s="59">
        <f t="shared" si="439"/>
        <v>0</v>
      </c>
    </row>
    <row r="5218" spans="12:16" ht="15" hidden="1" customHeight="1">
      <c r="L5218" s="58" t="str">
        <f t="shared" si="442"/>
        <v>-</v>
      </c>
      <c r="M5218" s="59">
        <f t="shared" si="440"/>
        <v>0</v>
      </c>
      <c r="N5218" s="59">
        <f t="shared" si="438"/>
        <v>0</v>
      </c>
      <c r="O5218" s="59">
        <f t="shared" si="441"/>
        <v>0</v>
      </c>
      <c r="P5218" s="59">
        <f t="shared" si="439"/>
        <v>0</v>
      </c>
    </row>
    <row r="5219" spans="12:16" ht="15" hidden="1" customHeight="1">
      <c r="L5219" s="58" t="str">
        <f t="shared" si="442"/>
        <v>-</v>
      </c>
      <c r="M5219" s="59">
        <f t="shared" si="440"/>
        <v>0</v>
      </c>
      <c r="N5219" s="59">
        <f t="shared" si="438"/>
        <v>0</v>
      </c>
      <c r="O5219" s="59">
        <f t="shared" si="441"/>
        <v>0</v>
      </c>
      <c r="P5219" s="59">
        <f t="shared" si="439"/>
        <v>0</v>
      </c>
    </row>
    <row r="5220" spans="12:16" ht="15" hidden="1" customHeight="1">
      <c r="L5220" s="58" t="str">
        <f t="shared" si="442"/>
        <v>-</v>
      </c>
      <c r="M5220" s="59">
        <f t="shared" si="440"/>
        <v>0</v>
      </c>
      <c r="N5220" s="59">
        <f t="shared" si="438"/>
        <v>0</v>
      </c>
      <c r="O5220" s="59">
        <f t="shared" si="441"/>
        <v>0</v>
      </c>
      <c r="P5220" s="59">
        <f t="shared" si="439"/>
        <v>0</v>
      </c>
    </row>
    <row r="5221" spans="12:16" ht="15" hidden="1" customHeight="1">
      <c r="L5221" s="58" t="str">
        <f t="shared" si="442"/>
        <v>-</v>
      </c>
      <c r="M5221" s="59">
        <f t="shared" si="440"/>
        <v>0</v>
      </c>
      <c r="N5221" s="59">
        <f t="shared" si="438"/>
        <v>0</v>
      </c>
      <c r="O5221" s="59">
        <f t="shared" si="441"/>
        <v>0</v>
      </c>
      <c r="P5221" s="59">
        <f t="shared" si="439"/>
        <v>0</v>
      </c>
    </row>
    <row r="5222" spans="12:16" ht="15" hidden="1" customHeight="1">
      <c r="L5222" s="58" t="str">
        <f t="shared" si="442"/>
        <v>-</v>
      </c>
      <c r="M5222" s="59">
        <f t="shared" si="440"/>
        <v>0</v>
      </c>
      <c r="N5222" s="59">
        <f t="shared" si="438"/>
        <v>0</v>
      </c>
      <c r="O5222" s="59">
        <f t="shared" si="441"/>
        <v>0</v>
      </c>
      <c r="P5222" s="59">
        <f t="shared" si="439"/>
        <v>0</v>
      </c>
    </row>
    <row r="5223" spans="12:16" ht="15" hidden="1" customHeight="1">
      <c r="L5223" s="58" t="str">
        <f t="shared" si="442"/>
        <v>-</v>
      </c>
      <c r="M5223" s="59">
        <f t="shared" si="440"/>
        <v>0</v>
      </c>
      <c r="N5223" s="59">
        <f t="shared" si="438"/>
        <v>0</v>
      </c>
      <c r="O5223" s="59">
        <f t="shared" si="441"/>
        <v>0</v>
      </c>
      <c r="P5223" s="59">
        <f t="shared" si="439"/>
        <v>0</v>
      </c>
    </row>
    <row r="5224" spans="12:16" ht="15" hidden="1" customHeight="1">
      <c r="L5224" s="58" t="str">
        <f t="shared" si="442"/>
        <v>-</v>
      </c>
      <c r="M5224" s="59">
        <f t="shared" si="440"/>
        <v>0</v>
      </c>
      <c r="N5224" s="59">
        <f t="shared" si="438"/>
        <v>0</v>
      </c>
      <c r="O5224" s="59">
        <f t="shared" si="441"/>
        <v>0</v>
      </c>
      <c r="P5224" s="59">
        <f t="shared" si="439"/>
        <v>0</v>
      </c>
    </row>
    <row r="5225" spans="12:16" ht="15" hidden="1" customHeight="1">
      <c r="L5225" s="58" t="str">
        <f t="shared" si="442"/>
        <v>-</v>
      </c>
      <c r="M5225" s="59">
        <f t="shared" si="440"/>
        <v>0</v>
      </c>
      <c r="N5225" s="59">
        <f t="shared" ref="N5225:N5288" si="443">IF(ISNUMBER(N5224),N5224-M5225,$E$8)</f>
        <v>0</v>
      </c>
      <c r="O5225" s="59">
        <f t="shared" si="441"/>
        <v>0</v>
      </c>
      <c r="P5225" s="59">
        <f t="shared" ref="P5225:P5288" si="444">IFERROR(IF(ISNUMBER(N5224),N5224,$E$8)*3%/IF(MOD(YEAR(L5225),4),365,366)*IF(ISBLANK(L5224),(L5225-$F$5),L5225-L5224),0)</f>
        <v>0</v>
      </c>
    </row>
    <row r="5226" spans="12:16" ht="15" hidden="1" customHeight="1">
      <c r="L5226" s="58" t="str">
        <f t="shared" si="442"/>
        <v>-</v>
      </c>
      <c r="M5226" s="59">
        <f t="shared" si="440"/>
        <v>0</v>
      </c>
      <c r="N5226" s="59">
        <f t="shared" si="443"/>
        <v>0</v>
      </c>
      <c r="O5226" s="59">
        <f t="shared" si="441"/>
        <v>0</v>
      </c>
      <c r="P5226" s="59">
        <f t="shared" si="444"/>
        <v>0</v>
      </c>
    </row>
    <row r="5227" spans="12:16" ht="15" hidden="1" customHeight="1">
      <c r="L5227" s="58" t="str">
        <f t="shared" si="442"/>
        <v>-</v>
      </c>
      <c r="M5227" s="59">
        <f t="shared" si="440"/>
        <v>0</v>
      </c>
      <c r="N5227" s="59">
        <f t="shared" si="443"/>
        <v>0</v>
      </c>
      <c r="O5227" s="59">
        <f t="shared" si="441"/>
        <v>0</v>
      </c>
      <c r="P5227" s="59">
        <f t="shared" si="444"/>
        <v>0</v>
      </c>
    </row>
    <row r="5228" spans="12:16" ht="15" hidden="1" customHeight="1">
      <c r="L5228" s="58" t="str">
        <f t="shared" si="442"/>
        <v>-</v>
      </c>
      <c r="M5228" s="59">
        <f t="shared" si="440"/>
        <v>0</v>
      </c>
      <c r="N5228" s="59">
        <f t="shared" si="443"/>
        <v>0</v>
      </c>
      <c r="O5228" s="59">
        <f t="shared" si="441"/>
        <v>0</v>
      </c>
      <c r="P5228" s="59">
        <f t="shared" si="444"/>
        <v>0</v>
      </c>
    </row>
    <row r="5229" spans="12:16" ht="15" hidden="1" customHeight="1">
      <c r="L5229" s="58" t="str">
        <f t="shared" si="442"/>
        <v>-</v>
      </c>
      <c r="M5229" s="59">
        <f t="shared" si="440"/>
        <v>0</v>
      </c>
      <c r="N5229" s="59">
        <f t="shared" si="443"/>
        <v>0</v>
      </c>
      <c r="O5229" s="59">
        <f t="shared" si="441"/>
        <v>0</v>
      </c>
      <c r="P5229" s="59">
        <f t="shared" si="444"/>
        <v>0</v>
      </c>
    </row>
    <row r="5230" spans="12:16" ht="15" hidden="1" customHeight="1">
      <c r="L5230" s="58" t="str">
        <f t="shared" si="442"/>
        <v>-</v>
      </c>
      <c r="M5230" s="59">
        <f t="shared" si="440"/>
        <v>0</v>
      </c>
      <c r="N5230" s="59">
        <f t="shared" si="443"/>
        <v>0</v>
      </c>
      <c r="O5230" s="59">
        <f t="shared" si="441"/>
        <v>0</v>
      </c>
      <c r="P5230" s="59">
        <f t="shared" si="444"/>
        <v>0</v>
      </c>
    </row>
    <row r="5231" spans="12:16" ht="15" hidden="1" customHeight="1">
      <c r="L5231" s="58" t="str">
        <f t="shared" si="442"/>
        <v>-</v>
      </c>
      <c r="M5231" s="59">
        <f t="shared" si="440"/>
        <v>0</v>
      </c>
      <c r="N5231" s="59">
        <f t="shared" si="443"/>
        <v>0</v>
      </c>
      <c r="O5231" s="59">
        <f t="shared" si="441"/>
        <v>0</v>
      </c>
      <c r="P5231" s="59">
        <f t="shared" si="444"/>
        <v>0</v>
      </c>
    </row>
    <row r="5232" spans="12:16" ht="15" hidden="1" customHeight="1">
      <c r="L5232" s="58" t="str">
        <f t="shared" si="442"/>
        <v>-</v>
      </c>
      <c r="M5232" s="59">
        <f t="shared" si="440"/>
        <v>0</v>
      </c>
      <c r="N5232" s="59">
        <f t="shared" si="443"/>
        <v>0</v>
      </c>
      <c r="O5232" s="59">
        <f t="shared" si="441"/>
        <v>0</v>
      </c>
      <c r="P5232" s="59">
        <f t="shared" si="444"/>
        <v>0</v>
      </c>
    </row>
    <row r="5233" spans="12:16" ht="15" hidden="1" customHeight="1">
      <c r="L5233" s="58" t="str">
        <f t="shared" si="442"/>
        <v>-</v>
      </c>
      <c r="M5233" s="59">
        <f t="shared" si="440"/>
        <v>0</v>
      </c>
      <c r="N5233" s="59">
        <f t="shared" si="443"/>
        <v>0</v>
      </c>
      <c r="O5233" s="59">
        <f t="shared" si="441"/>
        <v>0</v>
      </c>
      <c r="P5233" s="59">
        <f t="shared" si="444"/>
        <v>0</v>
      </c>
    </row>
    <row r="5234" spans="12:16" ht="15" hidden="1" customHeight="1">
      <c r="L5234" s="58" t="str">
        <f t="shared" si="442"/>
        <v>-</v>
      </c>
      <c r="M5234" s="59">
        <f t="shared" si="440"/>
        <v>0</v>
      </c>
      <c r="N5234" s="59">
        <f t="shared" si="443"/>
        <v>0</v>
      </c>
      <c r="O5234" s="59">
        <f t="shared" si="441"/>
        <v>0</v>
      </c>
      <c r="P5234" s="59">
        <f t="shared" si="444"/>
        <v>0</v>
      </c>
    </row>
    <row r="5235" spans="12:16" ht="15" hidden="1" customHeight="1">
      <c r="L5235" s="58" t="str">
        <f t="shared" si="442"/>
        <v>-</v>
      </c>
      <c r="M5235" s="59">
        <f t="shared" si="440"/>
        <v>0</v>
      </c>
      <c r="N5235" s="59">
        <f t="shared" si="443"/>
        <v>0</v>
      </c>
      <c r="O5235" s="59">
        <f t="shared" si="441"/>
        <v>0</v>
      </c>
      <c r="P5235" s="59">
        <f t="shared" si="444"/>
        <v>0</v>
      </c>
    </row>
    <row r="5236" spans="12:16" ht="15" hidden="1" customHeight="1">
      <c r="L5236" s="58" t="str">
        <f t="shared" si="442"/>
        <v>-</v>
      </c>
      <c r="M5236" s="59">
        <f t="shared" si="440"/>
        <v>0</v>
      </c>
      <c r="N5236" s="59">
        <f t="shared" si="443"/>
        <v>0</v>
      </c>
      <c r="O5236" s="59">
        <f t="shared" si="441"/>
        <v>0</v>
      </c>
      <c r="P5236" s="59">
        <f t="shared" si="444"/>
        <v>0</v>
      </c>
    </row>
    <row r="5237" spans="12:16" ht="15" hidden="1" customHeight="1">
      <c r="L5237" s="58" t="str">
        <f t="shared" si="442"/>
        <v>-</v>
      </c>
      <c r="M5237" s="59">
        <f t="shared" si="440"/>
        <v>0</v>
      </c>
      <c r="N5237" s="59">
        <f t="shared" si="443"/>
        <v>0</v>
      </c>
      <c r="O5237" s="59">
        <f t="shared" si="441"/>
        <v>0</v>
      </c>
      <c r="P5237" s="59">
        <f t="shared" si="444"/>
        <v>0</v>
      </c>
    </row>
    <row r="5238" spans="12:16" ht="15" hidden="1" customHeight="1">
      <c r="L5238" s="58" t="str">
        <f t="shared" si="442"/>
        <v>-</v>
      </c>
      <c r="M5238" s="59">
        <f t="shared" si="440"/>
        <v>0</v>
      </c>
      <c r="N5238" s="59">
        <f t="shared" si="443"/>
        <v>0</v>
      </c>
      <c r="O5238" s="59">
        <f t="shared" si="441"/>
        <v>0</v>
      </c>
      <c r="P5238" s="59">
        <f t="shared" si="444"/>
        <v>0</v>
      </c>
    </row>
    <row r="5239" spans="12:16" ht="15" hidden="1" customHeight="1">
      <c r="L5239" s="58" t="str">
        <f t="shared" si="442"/>
        <v>-</v>
      </c>
      <c r="M5239" s="59">
        <f t="shared" si="440"/>
        <v>0</v>
      </c>
      <c r="N5239" s="59">
        <f t="shared" si="443"/>
        <v>0</v>
      </c>
      <c r="O5239" s="59">
        <f t="shared" si="441"/>
        <v>0</v>
      </c>
      <c r="P5239" s="59">
        <f t="shared" si="444"/>
        <v>0</v>
      </c>
    </row>
    <row r="5240" spans="12:16" ht="15" hidden="1" customHeight="1">
      <c r="L5240" s="58" t="str">
        <f t="shared" si="442"/>
        <v>-</v>
      </c>
      <c r="M5240" s="59">
        <f t="shared" si="440"/>
        <v>0</v>
      </c>
      <c r="N5240" s="59">
        <f t="shared" si="443"/>
        <v>0</v>
      </c>
      <c r="O5240" s="59">
        <f t="shared" si="441"/>
        <v>0</v>
      </c>
      <c r="P5240" s="59">
        <f t="shared" si="444"/>
        <v>0</v>
      </c>
    </row>
    <row r="5241" spans="12:16" ht="15" hidden="1" customHeight="1">
      <c r="L5241" s="58" t="str">
        <f t="shared" si="442"/>
        <v>-</v>
      </c>
      <c r="M5241" s="59">
        <f t="shared" si="440"/>
        <v>0</v>
      </c>
      <c r="N5241" s="59">
        <f t="shared" si="443"/>
        <v>0</v>
      </c>
      <c r="O5241" s="59">
        <f t="shared" si="441"/>
        <v>0</v>
      </c>
      <c r="P5241" s="59">
        <f t="shared" si="444"/>
        <v>0</v>
      </c>
    </row>
    <row r="5242" spans="12:16" ht="15" hidden="1" customHeight="1">
      <c r="L5242" s="58" t="str">
        <f t="shared" si="442"/>
        <v>-</v>
      </c>
      <c r="M5242" s="59">
        <f t="shared" si="440"/>
        <v>0</v>
      </c>
      <c r="N5242" s="59">
        <f t="shared" si="443"/>
        <v>0</v>
      </c>
      <c r="O5242" s="59">
        <f t="shared" si="441"/>
        <v>0</v>
      </c>
      <c r="P5242" s="59">
        <f t="shared" si="444"/>
        <v>0</v>
      </c>
    </row>
    <row r="5243" spans="12:16" ht="15" hidden="1" customHeight="1">
      <c r="L5243" s="58" t="str">
        <f t="shared" si="442"/>
        <v>-</v>
      </c>
      <c r="M5243" s="59">
        <f t="shared" si="440"/>
        <v>0</v>
      </c>
      <c r="N5243" s="59">
        <f t="shared" si="443"/>
        <v>0</v>
      </c>
      <c r="O5243" s="59">
        <f t="shared" si="441"/>
        <v>0</v>
      </c>
      <c r="P5243" s="59">
        <f t="shared" si="444"/>
        <v>0</v>
      </c>
    </row>
    <row r="5244" spans="12:16" ht="15" hidden="1" customHeight="1">
      <c r="L5244" s="58" t="str">
        <f t="shared" si="442"/>
        <v>-</v>
      </c>
      <c r="M5244" s="59">
        <f t="shared" si="440"/>
        <v>0</v>
      </c>
      <c r="N5244" s="59">
        <f t="shared" si="443"/>
        <v>0</v>
      </c>
      <c r="O5244" s="59">
        <f t="shared" si="441"/>
        <v>0</v>
      </c>
      <c r="P5244" s="59">
        <f t="shared" si="444"/>
        <v>0</v>
      </c>
    </row>
    <row r="5245" spans="12:16" ht="15" hidden="1" customHeight="1">
      <c r="L5245" s="58" t="str">
        <f t="shared" si="442"/>
        <v>-</v>
      </c>
      <c r="M5245" s="59">
        <f t="shared" si="440"/>
        <v>0</v>
      </c>
      <c r="N5245" s="59">
        <f t="shared" si="443"/>
        <v>0</v>
      </c>
      <c r="O5245" s="59">
        <f t="shared" si="441"/>
        <v>0</v>
      </c>
      <c r="P5245" s="59">
        <f t="shared" si="444"/>
        <v>0</v>
      </c>
    </row>
    <row r="5246" spans="12:16" ht="15" hidden="1" customHeight="1">
      <c r="L5246" s="58" t="str">
        <f t="shared" si="442"/>
        <v>-</v>
      </c>
      <c r="M5246" s="59">
        <f t="shared" si="440"/>
        <v>0</v>
      </c>
      <c r="N5246" s="59">
        <f t="shared" si="443"/>
        <v>0</v>
      </c>
      <c r="O5246" s="59">
        <f t="shared" si="441"/>
        <v>0</v>
      </c>
      <c r="P5246" s="59">
        <f t="shared" si="444"/>
        <v>0</v>
      </c>
    </row>
    <row r="5247" spans="12:16" ht="15" hidden="1" customHeight="1">
      <c r="L5247" s="58" t="str">
        <f t="shared" si="442"/>
        <v>-</v>
      </c>
      <c r="M5247" s="59">
        <f t="shared" si="440"/>
        <v>0</v>
      </c>
      <c r="N5247" s="59">
        <f t="shared" si="443"/>
        <v>0</v>
      </c>
      <c r="O5247" s="59">
        <f t="shared" si="441"/>
        <v>0</v>
      </c>
      <c r="P5247" s="59">
        <f t="shared" si="444"/>
        <v>0</v>
      </c>
    </row>
    <row r="5248" spans="12:16" ht="15" hidden="1" customHeight="1">
      <c r="L5248" s="58" t="str">
        <f t="shared" si="442"/>
        <v>-</v>
      </c>
      <c r="M5248" s="59">
        <f t="shared" si="440"/>
        <v>0</v>
      </c>
      <c r="N5248" s="59">
        <f t="shared" si="443"/>
        <v>0</v>
      </c>
      <c r="O5248" s="59">
        <f t="shared" si="441"/>
        <v>0</v>
      </c>
      <c r="P5248" s="59">
        <f t="shared" si="444"/>
        <v>0</v>
      </c>
    </row>
    <row r="5249" spans="12:16" ht="15" hidden="1" customHeight="1">
      <c r="L5249" s="58" t="str">
        <f t="shared" si="442"/>
        <v>-</v>
      </c>
      <c r="M5249" s="59">
        <f t="shared" si="440"/>
        <v>0</v>
      </c>
      <c r="N5249" s="59">
        <f t="shared" si="443"/>
        <v>0</v>
      </c>
      <c r="O5249" s="59">
        <f t="shared" si="441"/>
        <v>0</v>
      </c>
      <c r="P5249" s="59">
        <f t="shared" si="444"/>
        <v>0</v>
      </c>
    </row>
    <row r="5250" spans="12:16" ht="15" hidden="1" customHeight="1">
      <c r="L5250" s="58" t="str">
        <f t="shared" si="442"/>
        <v>-</v>
      </c>
      <c r="M5250" s="59">
        <f t="shared" si="440"/>
        <v>0</v>
      </c>
      <c r="N5250" s="59">
        <f t="shared" si="443"/>
        <v>0</v>
      </c>
      <c r="O5250" s="59">
        <f t="shared" si="441"/>
        <v>0</v>
      </c>
      <c r="P5250" s="59">
        <f t="shared" si="444"/>
        <v>0</v>
      </c>
    </row>
    <row r="5251" spans="12:16" ht="15" hidden="1" customHeight="1">
      <c r="L5251" s="58" t="str">
        <f t="shared" si="442"/>
        <v>-</v>
      </c>
      <c r="M5251" s="59">
        <f t="shared" si="440"/>
        <v>0</v>
      </c>
      <c r="N5251" s="59">
        <f t="shared" si="443"/>
        <v>0</v>
      </c>
      <c r="O5251" s="59">
        <f t="shared" si="441"/>
        <v>0</v>
      </c>
      <c r="P5251" s="59">
        <f t="shared" si="444"/>
        <v>0</v>
      </c>
    </row>
    <row r="5252" spans="12:16" ht="15" hidden="1" customHeight="1">
      <c r="L5252" s="58" t="str">
        <f t="shared" si="442"/>
        <v>-</v>
      </c>
      <c r="M5252" s="59">
        <f t="shared" si="440"/>
        <v>0</v>
      </c>
      <c r="N5252" s="59">
        <f t="shared" si="443"/>
        <v>0</v>
      </c>
      <c r="O5252" s="59">
        <f t="shared" si="441"/>
        <v>0</v>
      </c>
      <c r="P5252" s="59">
        <f t="shared" si="444"/>
        <v>0</v>
      </c>
    </row>
    <row r="5253" spans="12:16" ht="15" hidden="1" customHeight="1">
      <c r="L5253" s="58" t="str">
        <f t="shared" si="442"/>
        <v>-</v>
      </c>
      <c r="M5253" s="59">
        <f t="shared" si="440"/>
        <v>0</v>
      </c>
      <c r="N5253" s="59">
        <f t="shared" si="443"/>
        <v>0</v>
      </c>
      <c r="O5253" s="59">
        <f t="shared" si="441"/>
        <v>0</v>
      </c>
      <c r="P5253" s="59">
        <f t="shared" si="444"/>
        <v>0</v>
      </c>
    </row>
    <row r="5254" spans="12:16" ht="15" hidden="1" customHeight="1">
      <c r="L5254" s="58" t="str">
        <f t="shared" si="442"/>
        <v>-</v>
      </c>
      <c r="M5254" s="59">
        <f t="shared" si="440"/>
        <v>0</v>
      </c>
      <c r="N5254" s="59">
        <f t="shared" si="443"/>
        <v>0</v>
      </c>
      <c r="O5254" s="59">
        <f t="shared" si="441"/>
        <v>0</v>
      </c>
      <c r="P5254" s="59">
        <f t="shared" si="444"/>
        <v>0</v>
      </c>
    </row>
    <row r="5255" spans="12:16" ht="15" hidden="1" customHeight="1">
      <c r="L5255" s="58" t="str">
        <f t="shared" si="442"/>
        <v>-</v>
      </c>
      <c r="M5255" s="59">
        <f t="shared" si="440"/>
        <v>0</v>
      </c>
      <c r="N5255" s="59">
        <f t="shared" si="443"/>
        <v>0</v>
      </c>
      <c r="O5255" s="59">
        <f t="shared" si="441"/>
        <v>0</v>
      </c>
      <c r="P5255" s="59">
        <f t="shared" si="444"/>
        <v>0</v>
      </c>
    </row>
    <row r="5256" spans="12:16" ht="15" hidden="1" customHeight="1">
      <c r="L5256" s="58" t="str">
        <f t="shared" si="442"/>
        <v>-</v>
      </c>
      <c r="M5256" s="59">
        <f t="shared" si="440"/>
        <v>0</v>
      </c>
      <c r="N5256" s="59">
        <f t="shared" si="443"/>
        <v>0</v>
      </c>
      <c r="O5256" s="59">
        <f t="shared" si="441"/>
        <v>0</v>
      </c>
      <c r="P5256" s="59">
        <f t="shared" si="444"/>
        <v>0</v>
      </c>
    </row>
    <row r="5257" spans="12:16" ht="15" hidden="1" customHeight="1">
      <c r="L5257" s="58" t="str">
        <f t="shared" si="442"/>
        <v>-</v>
      </c>
      <c r="M5257" s="59">
        <f t="shared" si="440"/>
        <v>0</v>
      </c>
      <c r="N5257" s="59">
        <f t="shared" si="443"/>
        <v>0</v>
      </c>
      <c r="O5257" s="59">
        <f t="shared" si="441"/>
        <v>0</v>
      </c>
      <c r="P5257" s="59">
        <f t="shared" si="444"/>
        <v>0</v>
      </c>
    </row>
    <row r="5258" spans="12:16" ht="15" hidden="1" customHeight="1">
      <c r="L5258" s="58" t="str">
        <f t="shared" si="442"/>
        <v>-</v>
      </c>
      <c r="M5258" s="59">
        <f t="shared" si="440"/>
        <v>0</v>
      </c>
      <c r="N5258" s="59">
        <f t="shared" si="443"/>
        <v>0</v>
      </c>
      <c r="O5258" s="59">
        <f t="shared" si="441"/>
        <v>0</v>
      </c>
      <c r="P5258" s="59">
        <f t="shared" si="444"/>
        <v>0</v>
      </c>
    </row>
    <row r="5259" spans="12:16" ht="15" hidden="1" customHeight="1">
      <c r="L5259" s="58" t="str">
        <f t="shared" si="442"/>
        <v>-</v>
      </c>
      <c r="M5259" s="59">
        <f t="shared" si="440"/>
        <v>0</v>
      </c>
      <c r="N5259" s="59">
        <f t="shared" si="443"/>
        <v>0</v>
      </c>
      <c r="O5259" s="59">
        <f t="shared" si="441"/>
        <v>0</v>
      </c>
      <c r="P5259" s="59">
        <f t="shared" si="444"/>
        <v>0</v>
      </c>
    </row>
    <row r="5260" spans="12:16" ht="15" hidden="1" customHeight="1">
      <c r="L5260" s="58" t="str">
        <f t="shared" si="442"/>
        <v>-</v>
      </c>
      <c r="M5260" s="59">
        <f t="shared" si="440"/>
        <v>0</v>
      </c>
      <c r="N5260" s="59">
        <f t="shared" si="443"/>
        <v>0</v>
      </c>
      <c r="O5260" s="59">
        <f t="shared" si="441"/>
        <v>0</v>
      </c>
      <c r="P5260" s="59">
        <f t="shared" si="444"/>
        <v>0</v>
      </c>
    </row>
    <row r="5261" spans="12:16" ht="15" hidden="1" customHeight="1">
      <c r="L5261" s="58" t="str">
        <f t="shared" si="442"/>
        <v>-</v>
      </c>
      <c r="M5261" s="59">
        <f t="shared" si="440"/>
        <v>0</v>
      </c>
      <c r="N5261" s="59">
        <f t="shared" si="443"/>
        <v>0</v>
      </c>
      <c r="O5261" s="59">
        <f t="shared" si="441"/>
        <v>0</v>
      </c>
      <c r="P5261" s="59">
        <f t="shared" si="444"/>
        <v>0</v>
      </c>
    </row>
    <row r="5262" spans="12:16" ht="15" hidden="1" customHeight="1">
      <c r="L5262" s="58" t="str">
        <f t="shared" si="442"/>
        <v>-</v>
      </c>
      <c r="M5262" s="59">
        <f t="shared" si="440"/>
        <v>0</v>
      </c>
      <c r="N5262" s="59">
        <f t="shared" si="443"/>
        <v>0</v>
      </c>
      <c r="O5262" s="59">
        <f t="shared" si="441"/>
        <v>0</v>
      </c>
      <c r="P5262" s="59">
        <f t="shared" si="444"/>
        <v>0</v>
      </c>
    </row>
    <row r="5263" spans="12:16" ht="15" hidden="1" customHeight="1">
      <c r="L5263" s="58" t="str">
        <f t="shared" si="442"/>
        <v>-</v>
      </c>
      <c r="M5263" s="59">
        <f t="shared" si="440"/>
        <v>0</v>
      </c>
      <c r="N5263" s="59">
        <f t="shared" si="443"/>
        <v>0</v>
      </c>
      <c r="O5263" s="59">
        <f t="shared" si="441"/>
        <v>0</v>
      </c>
      <c r="P5263" s="59">
        <f t="shared" si="444"/>
        <v>0</v>
      </c>
    </row>
    <row r="5264" spans="12:16" ht="15" hidden="1" customHeight="1">
      <c r="L5264" s="58" t="str">
        <f t="shared" si="442"/>
        <v>-</v>
      </c>
      <c r="M5264" s="59">
        <f t="shared" si="440"/>
        <v>0</v>
      </c>
      <c r="N5264" s="59">
        <f t="shared" si="443"/>
        <v>0</v>
      </c>
      <c r="O5264" s="59">
        <f t="shared" si="441"/>
        <v>0</v>
      </c>
      <c r="P5264" s="59">
        <f t="shared" si="444"/>
        <v>0</v>
      </c>
    </row>
    <row r="5265" spans="12:16" ht="15" hidden="1" customHeight="1">
      <c r="L5265" s="58" t="str">
        <f t="shared" si="442"/>
        <v>-</v>
      </c>
      <c r="M5265" s="59">
        <f t="shared" si="440"/>
        <v>0</v>
      </c>
      <c r="N5265" s="59">
        <f t="shared" si="443"/>
        <v>0</v>
      </c>
      <c r="O5265" s="59">
        <f t="shared" si="441"/>
        <v>0</v>
      </c>
      <c r="P5265" s="59">
        <f t="shared" si="444"/>
        <v>0</v>
      </c>
    </row>
    <row r="5266" spans="12:16" ht="15" hidden="1" customHeight="1">
      <c r="L5266" s="58" t="str">
        <f t="shared" si="442"/>
        <v>-</v>
      </c>
      <c r="M5266" s="59">
        <f t="shared" si="440"/>
        <v>0</v>
      </c>
      <c r="N5266" s="59">
        <f t="shared" si="443"/>
        <v>0</v>
      </c>
      <c r="O5266" s="59">
        <f t="shared" si="441"/>
        <v>0</v>
      </c>
      <c r="P5266" s="59">
        <f t="shared" si="444"/>
        <v>0</v>
      </c>
    </row>
    <row r="5267" spans="12:16" ht="15" hidden="1" customHeight="1">
      <c r="L5267" s="58" t="str">
        <f t="shared" si="442"/>
        <v>-</v>
      </c>
      <c r="M5267" s="59">
        <f t="shared" ref="M5267:M5330" si="445">IFERROR(VLOOKUP(L5267,$B$19:$E$80,4,FALSE),0)</f>
        <v>0</v>
      </c>
      <c r="N5267" s="59">
        <f t="shared" si="443"/>
        <v>0</v>
      </c>
      <c r="O5267" s="59">
        <f t="shared" ref="O5267:O5330" si="446">IFERROR(IF(ISNUMBER(N5266),N5266,$E$8)*IF(L5267&gt;=$J$8,$E$12,$E$12)/IF(MOD(YEAR(L5267),4),365,366)*IF(ISBLANK(L5266),L5267-$F$5,L5267-L5266),0)</f>
        <v>0</v>
      </c>
      <c r="P5267" s="59">
        <f t="shared" si="444"/>
        <v>0</v>
      </c>
    </row>
    <row r="5268" spans="12:16" ht="15" hidden="1" customHeight="1">
      <c r="L5268" s="58" t="str">
        <f t="shared" si="442"/>
        <v>-</v>
      </c>
      <c r="M5268" s="59">
        <f t="shared" si="445"/>
        <v>0</v>
      </c>
      <c r="N5268" s="59">
        <f t="shared" si="443"/>
        <v>0</v>
      </c>
      <c r="O5268" s="59">
        <f t="shared" si="446"/>
        <v>0</v>
      </c>
      <c r="P5268" s="59">
        <f t="shared" si="444"/>
        <v>0</v>
      </c>
    </row>
    <row r="5269" spans="12:16" ht="15" hidden="1" customHeight="1">
      <c r="L5269" s="58" t="str">
        <f t="shared" si="442"/>
        <v>-</v>
      </c>
      <c r="M5269" s="59">
        <f t="shared" si="445"/>
        <v>0</v>
      </c>
      <c r="N5269" s="59">
        <f t="shared" si="443"/>
        <v>0</v>
      </c>
      <c r="O5269" s="59">
        <f t="shared" si="446"/>
        <v>0</v>
      </c>
      <c r="P5269" s="59">
        <f t="shared" si="444"/>
        <v>0</v>
      </c>
    </row>
    <row r="5270" spans="12:16" ht="15" hidden="1" customHeight="1">
      <c r="L5270" s="58" t="str">
        <f t="shared" si="442"/>
        <v>-</v>
      </c>
      <c r="M5270" s="59">
        <f t="shared" si="445"/>
        <v>0</v>
      </c>
      <c r="N5270" s="59">
        <f t="shared" si="443"/>
        <v>0</v>
      </c>
      <c r="O5270" s="59">
        <f t="shared" si="446"/>
        <v>0</v>
      </c>
      <c r="P5270" s="59">
        <f t="shared" si="444"/>
        <v>0</v>
      </c>
    </row>
    <row r="5271" spans="12:16" ht="15" hidden="1" customHeight="1">
      <c r="L5271" s="58" t="str">
        <f t="shared" si="442"/>
        <v>-</v>
      </c>
      <c r="M5271" s="59">
        <f t="shared" si="445"/>
        <v>0</v>
      </c>
      <c r="N5271" s="59">
        <f t="shared" si="443"/>
        <v>0</v>
      </c>
      <c r="O5271" s="59">
        <f t="shared" si="446"/>
        <v>0</v>
      </c>
      <c r="P5271" s="59">
        <f t="shared" si="444"/>
        <v>0</v>
      </c>
    </row>
    <row r="5272" spans="12:16" ht="15" hidden="1" customHeight="1">
      <c r="L5272" s="58" t="str">
        <f t="shared" si="442"/>
        <v>-</v>
      </c>
      <c r="M5272" s="59">
        <f t="shared" si="445"/>
        <v>0</v>
      </c>
      <c r="N5272" s="59">
        <f t="shared" si="443"/>
        <v>0</v>
      </c>
      <c r="O5272" s="59">
        <f t="shared" si="446"/>
        <v>0</v>
      </c>
      <c r="P5272" s="59">
        <f t="shared" si="444"/>
        <v>0</v>
      </c>
    </row>
    <row r="5273" spans="12:16" ht="15" hidden="1" customHeight="1">
      <c r="L5273" s="58" t="str">
        <f t="shared" si="442"/>
        <v>-</v>
      </c>
      <c r="M5273" s="59">
        <f t="shared" si="445"/>
        <v>0</v>
      </c>
      <c r="N5273" s="59">
        <f t="shared" si="443"/>
        <v>0</v>
      </c>
      <c r="O5273" s="59">
        <f t="shared" si="446"/>
        <v>0</v>
      </c>
      <c r="P5273" s="59">
        <f t="shared" si="444"/>
        <v>0</v>
      </c>
    </row>
    <row r="5274" spans="12:16" ht="15" hidden="1" customHeight="1">
      <c r="L5274" s="58" t="str">
        <f t="shared" si="442"/>
        <v>-</v>
      </c>
      <c r="M5274" s="59">
        <f t="shared" si="445"/>
        <v>0</v>
      </c>
      <c r="N5274" s="59">
        <f t="shared" si="443"/>
        <v>0</v>
      </c>
      <c r="O5274" s="59">
        <f t="shared" si="446"/>
        <v>0</v>
      </c>
      <c r="P5274" s="59">
        <f t="shared" si="444"/>
        <v>0</v>
      </c>
    </row>
    <row r="5275" spans="12:16" ht="15" hidden="1" customHeight="1">
      <c r="L5275" s="58" t="str">
        <f t="shared" si="442"/>
        <v>-</v>
      </c>
      <c r="M5275" s="59">
        <f t="shared" si="445"/>
        <v>0</v>
      </c>
      <c r="N5275" s="59">
        <f t="shared" si="443"/>
        <v>0</v>
      </c>
      <c r="O5275" s="59">
        <f t="shared" si="446"/>
        <v>0</v>
      </c>
      <c r="P5275" s="59">
        <f t="shared" si="444"/>
        <v>0</v>
      </c>
    </row>
    <row r="5276" spans="12:16" ht="15" hidden="1" customHeight="1">
      <c r="L5276" s="58" t="str">
        <f t="shared" si="442"/>
        <v>-</v>
      </c>
      <c r="M5276" s="59">
        <f t="shared" si="445"/>
        <v>0</v>
      </c>
      <c r="N5276" s="59">
        <f t="shared" si="443"/>
        <v>0</v>
      </c>
      <c r="O5276" s="59">
        <f t="shared" si="446"/>
        <v>0</v>
      </c>
      <c r="P5276" s="59">
        <f t="shared" si="444"/>
        <v>0</v>
      </c>
    </row>
    <row r="5277" spans="12:16" ht="15" hidden="1" customHeight="1">
      <c r="L5277" s="58" t="str">
        <f t="shared" si="442"/>
        <v>-</v>
      </c>
      <c r="M5277" s="59">
        <f t="shared" si="445"/>
        <v>0</v>
      </c>
      <c r="N5277" s="59">
        <f t="shared" si="443"/>
        <v>0</v>
      </c>
      <c r="O5277" s="59">
        <f t="shared" si="446"/>
        <v>0</v>
      </c>
      <c r="P5277" s="59">
        <f t="shared" si="444"/>
        <v>0</v>
      </c>
    </row>
    <row r="5278" spans="12:16" ht="15" hidden="1" customHeight="1">
      <c r="L5278" s="58" t="str">
        <f t="shared" si="442"/>
        <v>-</v>
      </c>
      <c r="M5278" s="59">
        <f t="shared" si="445"/>
        <v>0</v>
      </c>
      <c r="N5278" s="59">
        <f t="shared" si="443"/>
        <v>0</v>
      </c>
      <c r="O5278" s="59">
        <f t="shared" si="446"/>
        <v>0</v>
      </c>
      <c r="P5278" s="59">
        <f t="shared" si="444"/>
        <v>0</v>
      </c>
    </row>
    <row r="5279" spans="12:16" ht="15" hidden="1" customHeight="1">
      <c r="L5279" s="58" t="str">
        <f t="shared" si="442"/>
        <v>-</v>
      </c>
      <c r="M5279" s="59">
        <f t="shared" si="445"/>
        <v>0</v>
      </c>
      <c r="N5279" s="59">
        <f t="shared" si="443"/>
        <v>0</v>
      </c>
      <c r="O5279" s="59">
        <f t="shared" si="446"/>
        <v>0</v>
      </c>
      <c r="P5279" s="59">
        <f t="shared" si="444"/>
        <v>0</v>
      </c>
    </row>
    <row r="5280" spans="12:16" ht="15" hidden="1" customHeight="1">
      <c r="L5280" s="58" t="str">
        <f t="shared" si="442"/>
        <v>-</v>
      </c>
      <c r="M5280" s="59">
        <f t="shared" si="445"/>
        <v>0</v>
      </c>
      <c r="N5280" s="59">
        <f t="shared" si="443"/>
        <v>0</v>
      </c>
      <c r="O5280" s="59">
        <f t="shared" si="446"/>
        <v>0</v>
      </c>
      <c r="P5280" s="59">
        <f t="shared" si="444"/>
        <v>0</v>
      </c>
    </row>
    <row r="5281" spans="12:16" ht="15" hidden="1" customHeight="1">
      <c r="L5281" s="58" t="str">
        <f t="shared" ref="L5281:L5344" si="447">IFERROR(IF(MAX(L5280+1,$F$5+1)&gt;Дата_погашения_Займа,"-",MAX(L5280+1,$F$5+1)),"-")</f>
        <v>-</v>
      </c>
      <c r="M5281" s="59">
        <f t="shared" si="445"/>
        <v>0</v>
      </c>
      <c r="N5281" s="59">
        <f t="shared" si="443"/>
        <v>0</v>
      </c>
      <c r="O5281" s="59">
        <f t="shared" si="446"/>
        <v>0</v>
      </c>
      <c r="P5281" s="59">
        <f t="shared" si="444"/>
        <v>0</v>
      </c>
    </row>
    <row r="5282" spans="12:16" ht="15" hidden="1" customHeight="1">
      <c r="L5282" s="58" t="str">
        <f t="shared" si="447"/>
        <v>-</v>
      </c>
      <c r="M5282" s="59">
        <f t="shared" si="445"/>
        <v>0</v>
      </c>
      <c r="N5282" s="59">
        <f t="shared" si="443"/>
        <v>0</v>
      </c>
      <c r="O5282" s="59">
        <f t="shared" si="446"/>
        <v>0</v>
      </c>
      <c r="P5282" s="59">
        <f t="shared" si="444"/>
        <v>0</v>
      </c>
    </row>
    <row r="5283" spans="12:16" ht="15" hidden="1" customHeight="1">
      <c r="L5283" s="58" t="str">
        <f t="shared" si="447"/>
        <v>-</v>
      </c>
      <c r="M5283" s="59">
        <f t="shared" si="445"/>
        <v>0</v>
      </c>
      <c r="N5283" s="59">
        <f t="shared" si="443"/>
        <v>0</v>
      </c>
      <c r="O5283" s="59">
        <f t="shared" si="446"/>
        <v>0</v>
      </c>
      <c r="P5283" s="59">
        <f t="shared" si="444"/>
        <v>0</v>
      </c>
    </row>
    <row r="5284" spans="12:16" ht="15" hidden="1" customHeight="1">
      <c r="L5284" s="58" t="str">
        <f t="shared" si="447"/>
        <v>-</v>
      </c>
      <c r="M5284" s="59">
        <f t="shared" si="445"/>
        <v>0</v>
      </c>
      <c r="N5284" s="59">
        <f t="shared" si="443"/>
        <v>0</v>
      </c>
      <c r="O5284" s="59">
        <f t="shared" si="446"/>
        <v>0</v>
      </c>
      <c r="P5284" s="59">
        <f t="shared" si="444"/>
        <v>0</v>
      </c>
    </row>
    <row r="5285" spans="12:16" ht="15" hidden="1" customHeight="1">
      <c r="L5285" s="58" t="str">
        <f t="shared" si="447"/>
        <v>-</v>
      </c>
      <c r="M5285" s="59">
        <f t="shared" si="445"/>
        <v>0</v>
      </c>
      <c r="N5285" s="59">
        <f t="shared" si="443"/>
        <v>0</v>
      </c>
      <c r="O5285" s="59">
        <f t="shared" si="446"/>
        <v>0</v>
      </c>
      <c r="P5285" s="59">
        <f t="shared" si="444"/>
        <v>0</v>
      </c>
    </row>
    <row r="5286" spans="12:16" ht="15" hidden="1" customHeight="1">
      <c r="L5286" s="58" t="str">
        <f t="shared" si="447"/>
        <v>-</v>
      </c>
      <c r="M5286" s="59">
        <f t="shared" si="445"/>
        <v>0</v>
      </c>
      <c r="N5286" s="59">
        <f t="shared" si="443"/>
        <v>0</v>
      </c>
      <c r="O5286" s="59">
        <f t="shared" si="446"/>
        <v>0</v>
      </c>
      <c r="P5286" s="59">
        <f t="shared" si="444"/>
        <v>0</v>
      </c>
    </row>
    <row r="5287" spans="12:16" ht="15" hidden="1" customHeight="1">
      <c r="L5287" s="58" t="str">
        <f t="shared" si="447"/>
        <v>-</v>
      </c>
      <c r="M5287" s="59">
        <f t="shared" si="445"/>
        <v>0</v>
      </c>
      <c r="N5287" s="59">
        <f t="shared" si="443"/>
        <v>0</v>
      </c>
      <c r="O5287" s="59">
        <f t="shared" si="446"/>
        <v>0</v>
      </c>
      <c r="P5287" s="59">
        <f t="shared" si="444"/>
        <v>0</v>
      </c>
    </row>
    <row r="5288" spans="12:16" ht="15" hidden="1" customHeight="1">
      <c r="L5288" s="58" t="str">
        <f t="shared" si="447"/>
        <v>-</v>
      </c>
      <c r="M5288" s="59">
        <f t="shared" si="445"/>
        <v>0</v>
      </c>
      <c r="N5288" s="59">
        <f t="shared" si="443"/>
        <v>0</v>
      </c>
      <c r="O5288" s="59">
        <f t="shared" si="446"/>
        <v>0</v>
      </c>
      <c r="P5288" s="59">
        <f t="shared" si="444"/>
        <v>0</v>
      </c>
    </row>
    <row r="5289" spans="12:16" ht="15" hidden="1" customHeight="1">
      <c r="L5289" s="58" t="str">
        <f t="shared" si="447"/>
        <v>-</v>
      </c>
      <c r="M5289" s="59">
        <f t="shared" si="445"/>
        <v>0</v>
      </c>
      <c r="N5289" s="59">
        <f t="shared" ref="N5289:N5352" si="448">IF(ISNUMBER(N5288),N5288-M5289,$E$8)</f>
        <v>0</v>
      </c>
      <c r="O5289" s="59">
        <f t="shared" si="446"/>
        <v>0</v>
      </c>
      <c r="P5289" s="59">
        <f t="shared" ref="P5289:P5352" si="449">IFERROR(IF(ISNUMBER(N5288),N5288,$E$8)*3%/IF(MOD(YEAR(L5289),4),365,366)*IF(ISBLANK(L5288),(L5289-$F$5),L5289-L5288),0)</f>
        <v>0</v>
      </c>
    </row>
    <row r="5290" spans="12:16" ht="15" hidden="1" customHeight="1">
      <c r="L5290" s="58" t="str">
        <f t="shared" si="447"/>
        <v>-</v>
      </c>
      <c r="M5290" s="59">
        <f t="shared" si="445"/>
        <v>0</v>
      </c>
      <c r="N5290" s="59">
        <f t="shared" si="448"/>
        <v>0</v>
      </c>
      <c r="O5290" s="59">
        <f t="shared" si="446"/>
        <v>0</v>
      </c>
      <c r="P5290" s="59">
        <f t="shared" si="449"/>
        <v>0</v>
      </c>
    </row>
    <row r="5291" spans="12:16" ht="15" hidden="1" customHeight="1">
      <c r="L5291" s="58" t="str">
        <f t="shared" si="447"/>
        <v>-</v>
      </c>
      <c r="M5291" s="59">
        <f t="shared" si="445"/>
        <v>0</v>
      </c>
      <c r="N5291" s="59">
        <f t="shared" si="448"/>
        <v>0</v>
      </c>
      <c r="O5291" s="59">
        <f t="shared" si="446"/>
        <v>0</v>
      </c>
      <c r="P5291" s="59">
        <f t="shared" si="449"/>
        <v>0</v>
      </c>
    </row>
    <row r="5292" spans="12:16" ht="15" hidden="1" customHeight="1">
      <c r="L5292" s="58" t="str">
        <f t="shared" si="447"/>
        <v>-</v>
      </c>
      <c r="M5292" s="59">
        <f t="shared" si="445"/>
        <v>0</v>
      </c>
      <c r="N5292" s="59">
        <f t="shared" si="448"/>
        <v>0</v>
      </c>
      <c r="O5292" s="59">
        <f t="shared" si="446"/>
        <v>0</v>
      </c>
      <c r="P5292" s="59">
        <f t="shared" si="449"/>
        <v>0</v>
      </c>
    </row>
    <row r="5293" spans="12:16" ht="15" hidden="1" customHeight="1">
      <c r="L5293" s="58" t="str">
        <f t="shared" si="447"/>
        <v>-</v>
      </c>
      <c r="M5293" s="59">
        <f t="shared" si="445"/>
        <v>0</v>
      </c>
      <c r="N5293" s="59">
        <f t="shared" si="448"/>
        <v>0</v>
      </c>
      <c r="O5293" s="59">
        <f t="shared" si="446"/>
        <v>0</v>
      </c>
      <c r="P5293" s="59">
        <f t="shared" si="449"/>
        <v>0</v>
      </c>
    </row>
    <row r="5294" spans="12:16" ht="15" hidden="1" customHeight="1">
      <c r="L5294" s="58" t="str">
        <f t="shared" si="447"/>
        <v>-</v>
      </c>
      <c r="M5294" s="59">
        <f t="shared" si="445"/>
        <v>0</v>
      </c>
      <c r="N5294" s="59">
        <f t="shared" si="448"/>
        <v>0</v>
      </c>
      <c r="O5294" s="59">
        <f t="shared" si="446"/>
        <v>0</v>
      </c>
      <c r="P5294" s="59">
        <f t="shared" si="449"/>
        <v>0</v>
      </c>
    </row>
    <row r="5295" spans="12:16" ht="15" hidden="1" customHeight="1">
      <c r="L5295" s="58" t="str">
        <f t="shared" si="447"/>
        <v>-</v>
      </c>
      <c r="M5295" s="59">
        <f t="shared" si="445"/>
        <v>0</v>
      </c>
      <c r="N5295" s="59">
        <f t="shared" si="448"/>
        <v>0</v>
      </c>
      <c r="O5295" s="59">
        <f t="shared" si="446"/>
        <v>0</v>
      </c>
      <c r="P5295" s="59">
        <f t="shared" si="449"/>
        <v>0</v>
      </c>
    </row>
    <row r="5296" spans="12:16" ht="15" hidden="1" customHeight="1">
      <c r="L5296" s="58" t="str">
        <f t="shared" si="447"/>
        <v>-</v>
      </c>
      <c r="M5296" s="59">
        <f t="shared" si="445"/>
        <v>0</v>
      </c>
      <c r="N5296" s="59">
        <f t="shared" si="448"/>
        <v>0</v>
      </c>
      <c r="O5296" s="59">
        <f t="shared" si="446"/>
        <v>0</v>
      </c>
      <c r="P5296" s="59">
        <f t="shared" si="449"/>
        <v>0</v>
      </c>
    </row>
    <row r="5297" spans="12:16" ht="15" hidden="1" customHeight="1">
      <c r="L5297" s="58" t="str">
        <f t="shared" si="447"/>
        <v>-</v>
      </c>
      <c r="M5297" s="59">
        <f t="shared" si="445"/>
        <v>0</v>
      </c>
      <c r="N5297" s="59">
        <f t="shared" si="448"/>
        <v>0</v>
      </c>
      <c r="O5297" s="59">
        <f t="shared" si="446"/>
        <v>0</v>
      </c>
      <c r="P5297" s="59">
        <f t="shared" si="449"/>
        <v>0</v>
      </c>
    </row>
    <row r="5298" spans="12:16" ht="15" hidden="1" customHeight="1">
      <c r="L5298" s="58" t="str">
        <f t="shared" si="447"/>
        <v>-</v>
      </c>
      <c r="M5298" s="59">
        <f t="shared" si="445"/>
        <v>0</v>
      </c>
      <c r="N5298" s="59">
        <f t="shared" si="448"/>
        <v>0</v>
      </c>
      <c r="O5298" s="59">
        <f t="shared" si="446"/>
        <v>0</v>
      </c>
      <c r="P5298" s="59">
        <f t="shared" si="449"/>
        <v>0</v>
      </c>
    </row>
    <row r="5299" spans="12:16" ht="15" hidden="1" customHeight="1">
      <c r="L5299" s="58" t="str">
        <f t="shared" si="447"/>
        <v>-</v>
      </c>
      <c r="M5299" s="59">
        <f t="shared" si="445"/>
        <v>0</v>
      </c>
      <c r="N5299" s="59">
        <f t="shared" si="448"/>
        <v>0</v>
      </c>
      <c r="O5299" s="59">
        <f t="shared" si="446"/>
        <v>0</v>
      </c>
      <c r="P5299" s="59">
        <f t="shared" si="449"/>
        <v>0</v>
      </c>
    </row>
    <row r="5300" spans="12:16" ht="15" hidden="1" customHeight="1">
      <c r="L5300" s="58" t="str">
        <f t="shared" si="447"/>
        <v>-</v>
      </c>
      <c r="M5300" s="59">
        <f t="shared" si="445"/>
        <v>0</v>
      </c>
      <c r="N5300" s="59">
        <f t="shared" si="448"/>
        <v>0</v>
      </c>
      <c r="O5300" s="59">
        <f t="shared" si="446"/>
        <v>0</v>
      </c>
      <c r="P5300" s="59">
        <f t="shared" si="449"/>
        <v>0</v>
      </c>
    </row>
    <row r="5301" spans="12:16" ht="15" hidden="1" customHeight="1">
      <c r="L5301" s="58" t="str">
        <f t="shared" si="447"/>
        <v>-</v>
      </c>
      <c r="M5301" s="59">
        <f t="shared" si="445"/>
        <v>0</v>
      </c>
      <c r="N5301" s="59">
        <f t="shared" si="448"/>
        <v>0</v>
      </c>
      <c r="O5301" s="59">
        <f t="shared" si="446"/>
        <v>0</v>
      </c>
      <c r="P5301" s="59">
        <f t="shared" si="449"/>
        <v>0</v>
      </c>
    </row>
    <row r="5302" spans="12:16" ht="15" hidden="1" customHeight="1">
      <c r="L5302" s="58" t="str">
        <f t="shared" si="447"/>
        <v>-</v>
      </c>
      <c r="M5302" s="59">
        <f t="shared" si="445"/>
        <v>0</v>
      </c>
      <c r="N5302" s="59">
        <f t="shared" si="448"/>
        <v>0</v>
      </c>
      <c r="O5302" s="59">
        <f t="shared" si="446"/>
        <v>0</v>
      </c>
      <c r="P5302" s="59">
        <f t="shared" si="449"/>
        <v>0</v>
      </c>
    </row>
    <row r="5303" spans="12:16" ht="15" hidden="1" customHeight="1">
      <c r="L5303" s="58" t="str">
        <f t="shared" si="447"/>
        <v>-</v>
      </c>
      <c r="M5303" s="59">
        <f t="shared" si="445"/>
        <v>0</v>
      </c>
      <c r="N5303" s="59">
        <f t="shared" si="448"/>
        <v>0</v>
      </c>
      <c r="O5303" s="59">
        <f t="shared" si="446"/>
        <v>0</v>
      </c>
      <c r="P5303" s="59">
        <f t="shared" si="449"/>
        <v>0</v>
      </c>
    </row>
    <row r="5304" spans="12:16" ht="15" hidden="1" customHeight="1">
      <c r="L5304" s="58" t="str">
        <f t="shared" si="447"/>
        <v>-</v>
      </c>
      <c r="M5304" s="59">
        <f t="shared" si="445"/>
        <v>0</v>
      </c>
      <c r="N5304" s="59">
        <f t="shared" si="448"/>
        <v>0</v>
      </c>
      <c r="O5304" s="59">
        <f t="shared" si="446"/>
        <v>0</v>
      </c>
      <c r="P5304" s="59">
        <f t="shared" si="449"/>
        <v>0</v>
      </c>
    </row>
    <row r="5305" spans="12:16" ht="15" hidden="1" customHeight="1">
      <c r="L5305" s="58" t="str">
        <f t="shared" si="447"/>
        <v>-</v>
      </c>
      <c r="M5305" s="59">
        <f t="shared" si="445"/>
        <v>0</v>
      </c>
      <c r="N5305" s="59">
        <f t="shared" si="448"/>
        <v>0</v>
      </c>
      <c r="O5305" s="59">
        <f t="shared" si="446"/>
        <v>0</v>
      </c>
      <c r="P5305" s="59">
        <f t="shared" si="449"/>
        <v>0</v>
      </c>
    </row>
    <row r="5306" spans="12:16" ht="15" hidden="1" customHeight="1">
      <c r="L5306" s="58" t="str">
        <f t="shared" si="447"/>
        <v>-</v>
      </c>
      <c r="M5306" s="59">
        <f t="shared" si="445"/>
        <v>0</v>
      </c>
      <c r="N5306" s="59">
        <f t="shared" si="448"/>
        <v>0</v>
      </c>
      <c r="O5306" s="59">
        <f t="shared" si="446"/>
        <v>0</v>
      </c>
      <c r="P5306" s="59">
        <f t="shared" si="449"/>
        <v>0</v>
      </c>
    </row>
    <row r="5307" spans="12:16" ht="15" hidden="1" customHeight="1">
      <c r="L5307" s="58" t="str">
        <f t="shared" si="447"/>
        <v>-</v>
      </c>
      <c r="M5307" s="59">
        <f t="shared" si="445"/>
        <v>0</v>
      </c>
      <c r="N5307" s="59">
        <f t="shared" si="448"/>
        <v>0</v>
      </c>
      <c r="O5307" s="59">
        <f t="shared" si="446"/>
        <v>0</v>
      </c>
      <c r="P5307" s="59">
        <f t="shared" si="449"/>
        <v>0</v>
      </c>
    </row>
    <row r="5308" spans="12:16" ht="15" hidden="1" customHeight="1">
      <c r="L5308" s="58" t="str">
        <f t="shared" si="447"/>
        <v>-</v>
      </c>
      <c r="M5308" s="59">
        <f t="shared" si="445"/>
        <v>0</v>
      </c>
      <c r="N5308" s="59">
        <f t="shared" si="448"/>
        <v>0</v>
      </c>
      <c r="O5308" s="59">
        <f t="shared" si="446"/>
        <v>0</v>
      </c>
      <c r="P5308" s="59">
        <f t="shared" si="449"/>
        <v>0</v>
      </c>
    </row>
    <row r="5309" spans="12:16" ht="15" hidden="1" customHeight="1">
      <c r="L5309" s="58" t="str">
        <f t="shared" si="447"/>
        <v>-</v>
      </c>
      <c r="M5309" s="59">
        <f t="shared" si="445"/>
        <v>0</v>
      </c>
      <c r="N5309" s="59">
        <f t="shared" si="448"/>
        <v>0</v>
      </c>
      <c r="O5309" s="59">
        <f t="shared" si="446"/>
        <v>0</v>
      </c>
      <c r="P5309" s="59">
        <f t="shared" si="449"/>
        <v>0</v>
      </c>
    </row>
    <row r="5310" spans="12:16" ht="15" hidden="1" customHeight="1">
      <c r="L5310" s="58" t="str">
        <f t="shared" si="447"/>
        <v>-</v>
      </c>
      <c r="M5310" s="59">
        <f t="shared" si="445"/>
        <v>0</v>
      </c>
      <c r="N5310" s="59">
        <f t="shared" si="448"/>
        <v>0</v>
      </c>
      <c r="O5310" s="59">
        <f t="shared" si="446"/>
        <v>0</v>
      </c>
      <c r="P5310" s="59">
        <f t="shared" si="449"/>
        <v>0</v>
      </c>
    </row>
    <row r="5311" spans="12:16" ht="15" hidden="1" customHeight="1">
      <c r="L5311" s="58" t="str">
        <f t="shared" si="447"/>
        <v>-</v>
      </c>
      <c r="M5311" s="59">
        <f t="shared" si="445"/>
        <v>0</v>
      </c>
      <c r="N5311" s="59">
        <f t="shared" si="448"/>
        <v>0</v>
      </c>
      <c r="O5311" s="59">
        <f t="shared" si="446"/>
        <v>0</v>
      </c>
      <c r="P5311" s="59">
        <f t="shared" si="449"/>
        <v>0</v>
      </c>
    </row>
    <row r="5312" spans="12:16" ht="15" hidden="1" customHeight="1">
      <c r="L5312" s="58" t="str">
        <f t="shared" si="447"/>
        <v>-</v>
      </c>
      <c r="M5312" s="59">
        <f t="shared" si="445"/>
        <v>0</v>
      </c>
      <c r="N5312" s="59">
        <f t="shared" si="448"/>
        <v>0</v>
      </c>
      <c r="O5312" s="59">
        <f t="shared" si="446"/>
        <v>0</v>
      </c>
      <c r="P5312" s="59">
        <f t="shared" si="449"/>
        <v>0</v>
      </c>
    </row>
    <row r="5313" spans="12:16" ht="15" hidden="1" customHeight="1">
      <c r="L5313" s="58" t="str">
        <f t="shared" si="447"/>
        <v>-</v>
      </c>
      <c r="M5313" s="59">
        <f t="shared" si="445"/>
        <v>0</v>
      </c>
      <c r="N5313" s="59">
        <f t="shared" si="448"/>
        <v>0</v>
      </c>
      <c r="O5313" s="59">
        <f t="shared" si="446"/>
        <v>0</v>
      </c>
      <c r="P5313" s="59">
        <f t="shared" si="449"/>
        <v>0</v>
      </c>
    </row>
    <row r="5314" spans="12:16" ht="15" hidden="1" customHeight="1">
      <c r="L5314" s="58" t="str">
        <f t="shared" si="447"/>
        <v>-</v>
      </c>
      <c r="M5314" s="59">
        <f t="shared" si="445"/>
        <v>0</v>
      </c>
      <c r="N5314" s="59">
        <f t="shared" si="448"/>
        <v>0</v>
      </c>
      <c r="O5314" s="59">
        <f t="shared" si="446"/>
        <v>0</v>
      </c>
      <c r="P5314" s="59">
        <f t="shared" si="449"/>
        <v>0</v>
      </c>
    </row>
    <row r="5315" spans="12:16" ht="15" hidden="1" customHeight="1">
      <c r="L5315" s="58" t="str">
        <f t="shared" si="447"/>
        <v>-</v>
      </c>
      <c r="M5315" s="59">
        <f t="shared" si="445"/>
        <v>0</v>
      </c>
      <c r="N5315" s="59">
        <f t="shared" si="448"/>
        <v>0</v>
      </c>
      <c r="O5315" s="59">
        <f t="shared" si="446"/>
        <v>0</v>
      </c>
      <c r="P5315" s="59">
        <f t="shared" si="449"/>
        <v>0</v>
      </c>
    </row>
    <row r="5316" spans="12:16" ht="15" hidden="1" customHeight="1">
      <c r="L5316" s="58" t="str">
        <f t="shared" si="447"/>
        <v>-</v>
      </c>
      <c r="M5316" s="59">
        <f t="shared" si="445"/>
        <v>0</v>
      </c>
      <c r="N5316" s="59">
        <f t="shared" si="448"/>
        <v>0</v>
      </c>
      <c r="O5316" s="59">
        <f t="shared" si="446"/>
        <v>0</v>
      </c>
      <c r="P5316" s="59">
        <f t="shared" si="449"/>
        <v>0</v>
      </c>
    </row>
    <row r="5317" spans="12:16" ht="15" hidden="1" customHeight="1">
      <c r="L5317" s="58" t="str">
        <f t="shared" si="447"/>
        <v>-</v>
      </c>
      <c r="M5317" s="59">
        <f t="shared" si="445"/>
        <v>0</v>
      </c>
      <c r="N5317" s="59">
        <f t="shared" si="448"/>
        <v>0</v>
      </c>
      <c r="O5317" s="59">
        <f t="shared" si="446"/>
        <v>0</v>
      </c>
      <c r="P5317" s="59">
        <f t="shared" si="449"/>
        <v>0</v>
      </c>
    </row>
    <row r="5318" spans="12:16" ht="15" hidden="1" customHeight="1">
      <c r="L5318" s="58" t="str">
        <f t="shared" si="447"/>
        <v>-</v>
      </c>
      <c r="M5318" s="59">
        <f t="shared" si="445"/>
        <v>0</v>
      </c>
      <c r="N5318" s="59">
        <f t="shared" si="448"/>
        <v>0</v>
      </c>
      <c r="O5318" s="59">
        <f t="shared" si="446"/>
        <v>0</v>
      </c>
      <c r="P5318" s="59">
        <f t="shared" si="449"/>
        <v>0</v>
      </c>
    </row>
    <row r="5319" spans="12:16" ht="15" hidden="1" customHeight="1">
      <c r="L5319" s="58" t="str">
        <f t="shared" si="447"/>
        <v>-</v>
      </c>
      <c r="M5319" s="59">
        <f t="shared" si="445"/>
        <v>0</v>
      </c>
      <c r="N5319" s="59">
        <f t="shared" si="448"/>
        <v>0</v>
      </c>
      <c r="O5319" s="59">
        <f t="shared" si="446"/>
        <v>0</v>
      </c>
      <c r="P5319" s="59">
        <f t="shared" si="449"/>
        <v>0</v>
      </c>
    </row>
    <row r="5320" spans="12:16" ht="15" hidden="1" customHeight="1">
      <c r="L5320" s="58" t="str">
        <f t="shared" si="447"/>
        <v>-</v>
      </c>
      <c r="M5320" s="59">
        <f t="shared" si="445"/>
        <v>0</v>
      </c>
      <c r="N5320" s="59">
        <f t="shared" si="448"/>
        <v>0</v>
      </c>
      <c r="O5320" s="59">
        <f t="shared" si="446"/>
        <v>0</v>
      </c>
      <c r="P5320" s="59">
        <f t="shared" si="449"/>
        <v>0</v>
      </c>
    </row>
    <row r="5321" spans="12:16" ht="15" hidden="1" customHeight="1">
      <c r="L5321" s="58" t="str">
        <f t="shared" si="447"/>
        <v>-</v>
      </c>
      <c r="M5321" s="59">
        <f t="shared" si="445"/>
        <v>0</v>
      </c>
      <c r="N5321" s="59">
        <f t="shared" si="448"/>
        <v>0</v>
      </c>
      <c r="O5321" s="59">
        <f t="shared" si="446"/>
        <v>0</v>
      </c>
      <c r="P5321" s="59">
        <f t="shared" si="449"/>
        <v>0</v>
      </c>
    </row>
    <row r="5322" spans="12:16" ht="15" hidden="1" customHeight="1">
      <c r="L5322" s="58" t="str">
        <f t="shared" si="447"/>
        <v>-</v>
      </c>
      <c r="M5322" s="59">
        <f t="shared" si="445"/>
        <v>0</v>
      </c>
      <c r="N5322" s="59">
        <f t="shared" si="448"/>
        <v>0</v>
      </c>
      <c r="O5322" s="59">
        <f t="shared" si="446"/>
        <v>0</v>
      </c>
      <c r="P5322" s="59">
        <f t="shared" si="449"/>
        <v>0</v>
      </c>
    </row>
    <row r="5323" spans="12:16" ht="15" hidden="1" customHeight="1">
      <c r="L5323" s="58" t="str">
        <f t="shared" si="447"/>
        <v>-</v>
      </c>
      <c r="M5323" s="59">
        <f t="shared" si="445"/>
        <v>0</v>
      </c>
      <c r="N5323" s="59">
        <f t="shared" si="448"/>
        <v>0</v>
      </c>
      <c r="O5323" s="59">
        <f t="shared" si="446"/>
        <v>0</v>
      </c>
      <c r="P5323" s="59">
        <f t="shared" si="449"/>
        <v>0</v>
      </c>
    </row>
    <row r="5324" spans="12:16" ht="15" hidden="1" customHeight="1">
      <c r="L5324" s="58" t="str">
        <f t="shared" si="447"/>
        <v>-</v>
      </c>
      <c r="M5324" s="59">
        <f t="shared" si="445"/>
        <v>0</v>
      </c>
      <c r="N5324" s="59">
        <f t="shared" si="448"/>
        <v>0</v>
      </c>
      <c r="O5324" s="59">
        <f t="shared" si="446"/>
        <v>0</v>
      </c>
      <c r="P5324" s="59">
        <f t="shared" si="449"/>
        <v>0</v>
      </c>
    </row>
    <row r="5325" spans="12:16" ht="15" hidden="1" customHeight="1">
      <c r="L5325" s="58" t="str">
        <f t="shared" si="447"/>
        <v>-</v>
      </c>
      <c r="M5325" s="59">
        <f t="shared" si="445"/>
        <v>0</v>
      </c>
      <c r="N5325" s="59">
        <f t="shared" si="448"/>
        <v>0</v>
      </c>
      <c r="O5325" s="59">
        <f t="shared" si="446"/>
        <v>0</v>
      </c>
      <c r="P5325" s="59">
        <f t="shared" si="449"/>
        <v>0</v>
      </c>
    </row>
    <row r="5326" spans="12:16" ht="15" hidden="1" customHeight="1">
      <c r="L5326" s="58" t="str">
        <f t="shared" si="447"/>
        <v>-</v>
      </c>
      <c r="M5326" s="59">
        <f t="shared" si="445"/>
        <v>0</v>
      </c>
      <c r="N5326" s="59">
        <f t="shared" si="448"/>
        <v>0</v>
      </c>
      <c r="O5326" s="59">
        <f t="shared" si="446"/>
        <v>0</v>
      </c>
      <c r="P5326" s="59">
        <f t="shared" si="449"/>
        <v>0</v>
      </c>
    </row>
    <row r="5327" spans="12:16" ht="15" hidden="1" customHeight="1">
      <c r="L5327" s="58" t="str">
        <f t="shared" si="447"/>
        <v>-</v>
      </c>
      <c r="M5327" s="59">
        <f t="shared" si="445"/>
        <v>0</v>
      </c>
      <c r="N5327" s="59">
        <f t="shared" si="448"/>
        <v>0</v>
      </c>
      <c r="O5327" s="59">
        <f t="shared" si="446"/>
        <v>0</v>
      </c>
      <c r="P5327" s="59">
        <f t="shared" si="449"/>
        <v>0</v>
      </c>
    </row>
    <row r="5328" spans="12:16" ht="15" hidden="1" customHeight="1">
      <c r="L5328" s="58" t="str">
        <f t="shared" si="447"/>
        <v>-</v>
      </c>
      <c r="M5328" s="59">
        <f t="shared" si="445"/>
        <v>0</v>
      </c>
      <c r="N5328" s="59">
        <f t="shared" si="448"/>
        <v>0</v>
      </c>
      <c r="O5328" s="59">
        <f t="shared" si="446"/>
        <v>0</v>
      </c>
      <c r="P5328" s="59">
        <f t="shared" si="449"/>
        <v>0</v>
      </c>
    </row>
    <row r="5329" spans="12:16" ht="15" hidden="1" customHeight="1">
      <c r="L5329" s="58" t="str">
        <f t="shared" si="447"/>
        <v>-</v>
      </c>
      <c r="M5329" s="59">
        <f t="shared" si="445"/>
        <v>0</v>
      </c>
      <c r="N5329" s="59">
        <f t="shared" si="448"/>
        <v>0</v>
      </c>
      <c r="O5329" s="59">
        <f t="shared" si="446"/>
        <v>0</v>
      </c>
      <c r="P5329" s="59">
        <f t="shared" si="449"/>
        <v>0</v>
      </c>
    </row>
    <row r="5330" spans="12:16" ht="15" hidden="1" customHeight="1">
      <c r="L5330" s="58" t="str">
        <f t="shared" si="447"/>
        <v>-</v>
      </c>
      <c r="M5330" s="59">
        <f t="shared" si="445"/>
        <v>0</v>
      </c>
      <c r="N5330" s="59">
        <f t="shared" si="448"/>
        <v>0</v>
      </c>
      <c r="O5330" s="59">
        <f t="shared" si="446"/>
        <v>0</v>
      </c>
      <c r="P5330" s="59">
        <f t="shared" si="449"/>
        <v>0</v>
      </c>
    </row>
    <row r="5331" spans="12:16" ht="15" hidden="1" customHeight="1">
      <c r="L5331" s="58" t="str">
        <f t="shared" si="447"/>
        <v>-</v>
      </c>
      <c r="M5331" s="59">
        <f t="shared" ref="M5331:M5394" si="450">IFERROR(VLOOKUP(L5331,$B$19:$E$80,4,FALSE),0)</f>
        <v>0</v>
      </c>
      <c r="N5331" s="59">
        <f t="shared" si="448"/>
        <v>0</v>
      </c>
      <c r="O5331" s="59">
        <f t="shared" ref="O5331:O5394" si="451">IFERROR(IF(ISNUMBER(N5330),N5330,$E$8)*IF(L5331&gt;=$J$8,$E$12,$E$12)/IF(MOD(YEAR(L5331),4),365,366)*IF(ISBLANK(L5330),L5331-$F$5,L5331-L5330),0)</f>
        <v>0</v>
      </c>
      <c r="P5331" s="59">
        <f t="shared" si="449"/>
        <v>0</v>
      </c>
    </row>
    <row r="5332" spans="12:16" ht="15" hidden="1" customHeight="1">
      <c r="L5332" s="58" t="str">
        <f t="shared" si="447"/>
        <v>-</v>
      </c>
      <c r="M5332" s="59">
        <f t="shared" si="450"/>
        <v>0</v>
      </c>
      <c r="N5332" s="59">
        <f t="shared" si="448"/>
        <v>0</v>
      </c>
      <c r="O5332" s="59">
        <f t="shared" si="451"/>
        <v>0</v>
      </c>
      <c r="P5332" s="59">
        <f t="shared" si="449"/>
        <v>0</v>
      </c>
    </row>
    <row r="5333" spans="12:16" ht="15" hidden="1" customHeight="1">
      <c r="L5333" s="58" t="str">
        <f t="shared" si="447"/>
        <v>-</v>
      </c>
      <c r="M5333" s="59">
        <f t="shared" si="450"/>
        <v>0</v>
      </c>
      <c r="N5333" s="59">
        <f t="shared" si="448"/>
        <v>0</v>
      </c>
      <c r="O5333" s="59">
        <f t="shared" si="451"/>
        <v>0</v>
      </c>
      <c r="P5333" s="59">
        <f t="shared" si="449"/>
        <v>0</v>
      </c>
    </row>
    <row r="5334" spans="12:16" ht="15" hidden="1" customHeight="1">
      <c r="L5334" s="58" t="str">
        <f t="shared" si="447"/>
        <v>-</v>
      </c>
      <c r="M5334" s="59">
        <f t="shared" si="450"/>
        <v>0</v>
      </c>
      <c r="N5334" s="59">
        <f t="shared" si="448"/>
        <v>0</v>
      </c>
      <c r="O5334" s="59">
        <f t="shared" si="451"/>
        <v>0</v>
      </c>
      <c r="P5334" s="59">
        <f t="shared" si="449"/>
        <v>0</v>
      </c>
    </row>
    <row r="5335" spans="12:16" ht="15" hidden="1" customHeight="1">
      <c r="L5335" s="58" t="str">
        <f t="shared" si="447"/>
        <v>-</v>
      </c>
      <c r="M5335" s="59">
        <f t="shared" si="450"/>
        <v>0</v>
      </c>
      <c r="N5335" s="59">
        <f t="shared" si="448"/>
        <v>0</v>
      </c>
      <c r="O5335" s="59">
        <f t="shared" si="451"/>
        <v>0</v>
      </c>
      <c r="P5335" s="59">
        <f t="shared" si="449"/>
        <v>0</v>
      </c>
    </row>
    <row r="5336" spans="12:16" ht="15" hidden="1" customHeight="1">
      <c r="L5336" s="58" t="str">
        <f t="shared" si="447"/>
        <v>-</v>
      </c>
      <c r="M5336" s="59">
        <f t="shared" si="450"/>
        <v>0</v>
      </c>
      <c r="N5336" s="59">
        <f t="shared" si="448"/>
        <v>0</v>
      </c>
      <c r="O5336" s="59">
        <f t="shared" si="451"/>
        <v>0</v>
      </c>
      <c r="P5336" s="59">
        <f t="shared" si="449"/>
        <v>0</v>
      </c>
    </row>
    <row r="5337" spans="12:16" ht="15" hidden="1" customHeight="1">
      <c r="L5337" s="58" t="str">
        <f t="shared" si="447"/>
        <v>-</v>
      </c>
      <c r="M5337" s="59">
        <f t="shared" si="450"/>
        <v>0</v>
      </c>
      <c r="N5337" s="59">
        <f t="shared" si="448"/>
        <v>0</v>
      </c>
      <c r="O5337" s="59">
        <f t="shared" si="451"/>
        <v>0</v>
      </c>
      <c r="P5337" s="59">
        <f t="shared" si="449"/>
        <v>0</v>
      </c>
    </row>
    <row r="5338" spans="12:16" ht="15" hidden="1" customHeight="1">
      <c r="L5338" s="58" t="str">
        <f t="shared" si="447"/>
        <v>-</v>
      </c>
      <c r="M5338" s="59">
        <f t="shared" si="450"/>
        <v>0</v>
      </c>
      <c r="N5338" s="59">
        <f t="shared" si="448"/>
        <v>0</v>
      </c>
      <c r="O5338" s="59">
        <f t="shared" si="451"/>
        <v>0</v>
      </c>
      <c r="P5338" s="59">
        <f t="shared" si="449"/>
        <v>0</v>
      </c>
    </row>
    <row r="5339" spans="12:16" ht="15" hidden="1" customHeight="1">
      <c r="L5339" s="58" t="str">
        <f t="shared" si="447"/>
        <v>-</v>
      </c>
      <c r="M5339" s="59">
        <f t="shared" si="450"/>
        <v>0</v>
      </c>
      <c r="N5339" s="59">
        <f t="shared" si="448"/>
        <v>0</v>
      </c>
      <c r="O5339" s="59">
        <f t="shared" si="451"/>
        <v>0</v>
      </c>
      <c r="P5339" s="59">
        <f t="shared" si="449"/>
        <v>0</v>
      </c>
    </row>
    <row r="5340" spans="12:16" ht="15" hidden="1" customHeight="1">
      <c r="L5340" s="58" t="str">
        <f t="shared" si="447"/>
        <v>-</v>
      </c>
      <c r="M5340" s="59">
        <f t="shared" si="450"/>
        <v>0</v>
      </c>
      <c r="N5340" s="59">
        <f t="shared" si="448"/>
        <v>0</v>
      </c>
      <c r="O5340" s="59">
        <f t="shared" si="451"/>
        <v>0</v>
      </c>
      <c r="P5340" s="59">
        <f t="shared" si="449"/>
        <v>0</v>
      </c>
    </row>
    <row r="5341" spans="12:16" ht="15" hidden="1" customHeight="1">
      <c r="L5341" s="58" t="str">
        <f t="shared" si="447"/>
        <v>-</v>
      </c>
      <c r="M5341" s="59">
        <f t="shared" si="450"/>
        <v>0</v>
      </c>
      <c r="N5341" s="59">
        <f t="shared" si="448"/>
        <v>0</v>
      </c>
      <c r="O5341" s="59">
        <f t="shared" si="451"/>
        <v>0</v>
      </c>
      <c r="P5341" s="59">
        <f t="shared" si="449"/>
        <v>0</v>
      </c>
    </row>
    <row r="5342" spans="12:16" ht="15" hidden="1" customHeight="1">
      <c r="L5342" s="58" t="str">
        <f t="shared" si="447"/>
        <v>-</v>
      </c>
      <c r="M5342" s="59">
        <f t="shared" si="450"/>
        <v>0</v>
      </c>
      <c r="N5342" s="59">
        <f t="shared" si="448"/>
        <v>0</v>
      </c>
      <c r="O5342" s="59">
        <f t="shared" si="451"/>
        <v>0</v>
      </c>
      <c r="P5342" s="59">
        <f t="shared" si="449"/>
        <v>0</v>
      </c>
    </row>
    <row r="5343" spans="12:16" ht="15" hidden="1" customHeight="1">
      <c r="L5343" s="58" t="str">
        <f t="shared" si="447"/>
        <v>-</v>
      </c>
      <c r="M5343" s="59">
        <f t="shared" si="450"/>
        <v>0</v>
      </c>
      <c r="N5343" s="59">
        <f t="shared" si="448"/>
        <v>0</v>
      </c>
      <c r="O5343" s="59">
        <f t="shared" si="451"/>
        <v>0</v>
      </c>
      <c r="P5343" s="59">
        <f t="shared" si="449"/>
        <v>0</v>
      </c>
    </row>
    <row r="5344" spans="12:16" ht="15" hidden="1" customHeight="1">
      <c r="L5344" s="58" t="str">
        <f t="shared" si="447"/>
        <v>-</v>
      </c>
      <c r="M5344" s="59">
        <f t="shared" si="450"/>
        <v>0</v>
      </c>
      <c r="N5344" s="59">
        <f t="shared" si="448"/>
        <v>0</v>
      </c>
      <c r="O5344" s="59">
        <f t="shared" si="451"/>
        <v>0</v>
      </c>
      <c r="P5344" s="59">
        <f t="shared" si="449"/>
        <v>0</v>
      </c>
    </row>
    <row r="5345" spans="12:16" ht="15" hidden="1" customHeight="1">
      <c r="L5345" s="58" t="str">
        <f t="shared" ref="L5345:L5408" si="452">IFERROR(IF(MAX(L5344+1,$F$5+1)&gt;Дата_погашения_Займа,"-",MAX(L5344+1,$F$5+1)),"-")</f>
        <v>-</v>
      </c>
      <c r="M5345" s="59">
        <f t="shared" si="450"/>
        <v>0</v>
      </c>
      <c r="N5345" s="59">
        <f t="shared" si="448"/>
        <v>0</v>
      </c>
      <c r="O5345" s="59">
        <f t="shared" si="451"/>
        <v>0</v>
      </c>
      <c r="P5345" s="59">
        <f t="shared" si="449"/>
        <v>0</v>
      </c>
    </row>
    <row r="5346" spans="12:16" ht="15" hidden="1" customHeight="1">
      <c r="L5346" s="58" t="str">
        <f t="shared" si="452"/>
        <v>-</v>
      </c>
      <c r="M5346" s="59">
        <f t="shared" si="450"/>
        <v>0</v>
      </c>
      <c r="N5346" s="59">
        <f t="shared" si="448"/>
        <v>0</v>
      </c>
      <c r="O5346" s="59">
        <f t="shared" si="451"/>
        <v>0</v>
      </c>
      <c r="P5346" s="59">
        <f t="shared" si="449"/>
        <v>0</v>
      </c>
    </row>
    <row r="5347" spans="12:16" ht="15" hidden="1" customHeight="1">
      <c r="L5347" s="58" t="str">
        <f t="shared" si="452"/>
        <v>-</v>
      </c>
      <c r="M5347" s="59">
        <f t="shared" si="450"/>
        <v>0</v>
      </c>
      <c r="N5347" s="59">
        <f t="shared" si="448"/>
        <v>0</v>
      </c>
      <c r="O5347" s="59">
        <f t="shared" si="451"/>
        <v>0</v>
      </c>
      <c r="P5347" s="59">
        <f t="shared" si="449"/>
        <v>0</v>
      </c>
    </row>
    <row r="5348" spans="12:16" ht="15" hidden="1" customHeight="1">
      <c r="L5348" s="58" t="str">
        <f t="shared" si="452"/>
        <v>-</v>
      </c>
      <c r="M5348" s="59">
        <f t="shared" si="450"/>
        <v>0</v>
      </c>
      <c r="N5348" s="59">
        <f t="shared" si="448"/>
        <v>0</v>
      </c>
      <c r="O5348" s="59">
        <f t="shared" si="451"/>
        <v>0</v>
      </c>
      <c r="P5348" s="59">
        <f t="shared" si="449"/>
        <v>0</v>
      </c>
    </row>
    <row r="5349" spans="12:16" ht="15" hidden="1" customHeight="1">
      <c r="L5349" s="58" t="str">
        <f t="shared" si="452"/>
        <v>-</v>
      </c>
      <c r="M5349" s="59">
        <f t="shared" si="450"/>
        <v>0</v>
      </c>
      <c r="N5349" s="59">
        <f t="shared" si="448"/>
        <v>0</v>
      </c>
      <c r="O5349" s="59">
        <f t="shared" si="451"/>
        <v>0</v>
      </c>
      <c r="P5349" s="59">
        <f t="shared" si="449"/>
        <v>0</v>
      </c>
    </row>
    <row r="5350" spans="12:16" ht="15" hidden="1" customHeight="1">
      <c r="L5350" s="58" t="str">
        <f t="shared" si="452"/>
        <v>-</v>
      </c>
      <c r="M5350" s="59">
        <f t="shared" si="450"/>
        <v>0</v>
      </c>
      <c r="N5350" s="59">
        <f t="shared" si="448"/>
        <v>0</v>
      </c>
      <c r="O5350" s="59">
        <f t="shared" si="451"/>
        <v>0</v>
      </c>
      <c r="P5350" s="59">
        <f t="shared" si="449"/>
        <v>0</v>
      </c>
    </row>
    <row r="5351" spans="12:16" ht="15" hidden="1" customHeight="1">
      <c r="L5351" s="58" t="str">
        <f t="shared" si="452"/>
        <v>-</v>
      </c>
      <c r="M5351" s="59">
        <f t="shared" si="450"/>
        <v>0</v>
      </c>
      <c r="N5351" s="59">
        <f t="shared" si="448"/>
        <v>0</v>
      </c>
      <c r="O5351" s="59">
        <f t="shared" si="451"/>
        <v>0</v>
      </c>
      <c r="P5351" s="59">
        <f t="shared" si="449"/>
        <v>0</v>
      </c>
    </row>
    <row r="5352" spans="12:16" ht="15" hidden="1" customHeight="1">
      <c r="L5352" s="58" t="str">
        <f t="shared" si="452"/>
        <v>-</v>
      </c>
      <c r="M5352" s="59">
        <f t="shared" si="450"/>
        <v>0</v>
      </c>
      <c r="N5352" s="59">
        <f t="shared" si="448"/>
        <v>0</v>
      </c>
      <c r="O5352" s="59">
        <f t="shared" si="451"/>
        <v>0</v>
      </c>
      <c r="P5352" s="59">
        <f t="shared" si="449"/>
        <v>0</v>
      </c>
    </row>
    <row r="5353" spans="12:16" ht="15" hidden="1" customHeight="1">
      <c r="L5353" s="58" t="str">
        <f t="shared" si="452"/>
        <v>-</v>
      </c>
      <c r="M5353" s="59">
        <f t="shared" si="450"/>
        <v>0</v>
      </c>
      <c r="N5353" s="59">
        <f t="shared" ref="N5353:N5416" si="453">IF(ISNUMBER(N5352),N5352-M5353,$E$8)</f>
        <v>0</v>
      </c>
      <c r="O5353" s="59">
        <f t="shared" si="451"/>
        <v>0</v>
      </c>
      <c r="P5353" s="59">
        <f t="shared" ref="P5353:P5416" si="454">IFERROR(IF(ISNUMBER(N5352),N5352,$E$8)*3%/IF(MOD(YEAR(L5353),4),365,366)*IF(ISBLANK(L5352),(L5353-$F$5),L5353-L5352),0)</f>
        <v>0</v>
      </c>
    </row>
    <row r="5354" spans="12:16" ht="15" hidden="1" customHeight="1">
      <c r="L5354" s="58" t="str">
        <f t="shared" si="452"/>
        <v>-</v>
      </c>
      <c r="M5354" s="59">
        <f t="shared" si="450"/>
        <v>0</v>
      </c>
      <c r="N5354" s="59">
        <f t="shared" si="453"/>
        <v>0</v>
      </c>
      <c r="O5354" s="59">
        <f t="shared" si="451"/>
        <v>0</v>
      </c>
      <c r="P5354" s="59">
        <f t="shared" si="454"/>
        <v>0</v>
      </c>
    </row>
    <row r="5355" spans="12:16" ht="15" hidden="1" customHeight="1">
      <c r="L5355" s="58" t="str">
        <f t="shared" si="452"/>
        <v>-</v>
      </c>
      <c r="M5355" s="59">
        <f t="shared" si="450"/>
        <v>0</v>
      </c>
      <c r="N5355" s="59">
        <f t="shared" si="453"/>
        <v>0</v>
      </c>
      <c r="O5355" s="59">
        <f t="shared" si="451"/>
        <v>0</v>
      </c>
      <c r="P5355" s="59">
        <f t="shared" si="454"/>
        <v>0</v>
      </c>
    </row>
    <row r="5356" spans="12:16" ht="15" hidden="1" customHeight="1">
      <c r="L5356" s="58" t="str">
        <f t="shared" si="452"/>
        <v>-</v>
      </c>
      <c r="M5356" s="59">
        <f t="shared" si="450"/>
        <v>0</v>
      </c>
      <c r="N5356" s="59">
        <f t="shared" si="453"/>
        <v>0</v>
      </c>
      <c r="O5356" s="59">
        <f t="shared" si="451"/>
        <v>0</v>
      </c>
      <c r="P5356" s="59">
        <f t="shared" si="454"/>
        <v>0</v>
      </c>
    </row>
    <row r="5357" spans="12:16" ht="15" hidden="1" customHeight="1">
      <c r="L5357" s="58" t="str">
        <f t="shared" si="452"/>
        <v>-</v>
      </c>
      <c r="M5357" s="59">
        <f t="shared" si="450"/>
        <v>0</v>
      </c>
      <c r="N5357" s="59">
        <f t="shared" si="453"/>
        <v>0</v>
      </c>
      <c r="O5357" s="59">
        <f t="shared" si="451"/>
        <v>0</v>
      </c>
      <c r="P5357" s="59">
        <f t="shared" si="454"/>
        <v>0</v>
      </c>
    </row>
    <row r="5358" spans="12:16" ht="15" hidden="1" customHeight="1">
      <c r="L5358" s="58" t="str">
        <f t="shared" si="452"/>
        <v>-</v>
      </c>
      <c r="M5358" s="59">
        <f t="shared" si="450"/>
        <v>0</v>
      </c>
      <c r="N5358" s="59">
        <f t="shared" si="453"/>
        <v>0</v>
      </c>
      <c r="O5358" s="59">
        <f t="shared" si="451"/>
        <v>0</v>
      </c>
      <c r="P5358" s="59">
        <f t="shared" si="454"/>
        <v>0</v>
      </c>
    </row>
    <row r="5359" spans="12:16" ht="15" hidden="1" customHeight="1">
      <c r="L5359" s="58" t="str">
        <f t="shared" si="452"/>
        <v>-</v>
      </c>
      <c r="M5359" s="59">
        <f t="shared" si="450"/>
        <v>0</v>
      </c>
      <c r="N5359" s="59">
        <f t="shared" si="453"/>
        <v>0</v>
      </c>
      <c r="O5359" s="59">
        <f t="shared" si="451"/>
        <v>0</v>
      </c>
      <c r="P5359" s="59">
        <f t="shared" si="454"/>
        <v>0</v>
      </c>
    </row>
    <row r="5360" spans="12:16" ht="15" hidden="1" customHeight="1">
      <c r="L5360" s="58" t="str">
        <f t="shared" si="452"/>
        <v>-</v>
      </c>
      <c r="M5360" s="59">
        <f t="shared" si="450"/>
        <v>0</v>
      </c>
      <c r="N5360" s="59">
        <f t="shared" si="453"/>
        <v>0</v>
      </c>
      <c r="O5360" s="59">
        <f t="shared" si="451"/>
        <v>0</v>
      </c>
      <c r="P5360" s="59">
        <f t="shared" si="454"/>
        <v>0</v>
      </c>
    </row>
    <row r="5361" spans="12:16" ht="15" hidden="1" customHeight="1">
      <c r="L5361" s="58" t="str">
        <f t="shared" si="452"/>
        <v>-</v>
      </c>
      <c r="M5361" s="59">
        <f t="shared" si="450"/>
        <v>0</v>
      </c>
      <c r="N5361" s="59">
        <f t="shared" si="453"/>
        <v>0</v>
      </c>
      <c r="O5361" s="59">
        <f t="shared" si="451"/>
        <v>0</v>
      </c>
      <c r="P5361" s="59">
        <f t="shared" si="454"/>
        <v>0</v>
      </c>
    </row>
    <row r="5362" spans="12:16" ht="15" hidden="1" customHeight="1">
      <c r="L5362" s="58" t="str">
        <f t="shared" si="452"/>
        <v>-</v>
      </c>
      <c r="M5362" s="59">
        <f t="shared" si="450"/>
        <v>0</v>
      </c>
      <c r="N5362" s="59">
        <f t="shared" si="453"/>
        <v>0</v>
      </c>
      <c r="O5362" s="59">
        <f t="shared" si="451"/>
        <v>0</v>
      </c>
      <c r="P5362" s="59">
        <f t="shared" si="454"/>
        <v>0</v>
      </c>
    </row>
    <row r="5363" spans="12:16" ht="15" hidden="1" customHeight="1">
      <c r="L5363" s="58" t="str">
        <f t="shared" si="452"/>
        <v>-</v>
      </c>
      <c r="M5363" s="59">
        <f t="shared" si="450"/>
        <v>0</v>
      </c>
      <c r="N5363" s="59">
        <f t="shared" si="453"/>
        <v>0</v>
      </c>
      <c r="O5363" s="59">
        <f t="shared" si="451"/>
        <v>0</v>
      </c>
      <c r="P5363" s="59">
        <f t="shared" si="454"/>
        <v>0</v>
      </c>
    </row>
    <row r="5364" spans="12:16" ht="15" hidden="1" customHeight="1">
      <c r="L5364" s="58" t="str">
        <f t="shared" si="452"/>
        <v>-</v>
      </c>
      <c r="M5364" s="59">
        <f t="shared" si="450"/>
        <v>0</v>
      </c>
      <c r="N5364" s="59">
        <f t="shared" si="453"/>
        <v>0</v>
      </c>
      <c r="O5364" s="59">
        <f t="shared" si="451"/>
        <v>0</v>
      </c>
      <c r="P5364" s="59">
        <f t="shared" si="454"/>
        <v>0</v>
      </c>
    </row>
    <row r="5365" spans="12:16" ht="15" hidden="1" customHeight="1">
      <c r="L5365" s="58" t="str">
        <f t="shared" si="452"/>
        <v>-</v>
      </c>
      <c r="M5365" s="59">
        <f t="shared" si="450"/>
        <v>0</v>
      </c>
      <c r="N5365" s="59">
        <f t="shared" si="453"/>
        <v>0</v>
      </c>
      <c r="O5365" s="59">
        <f t="shared" si="451"/>
        <v>0</v>
      </c>
      <c r="P5365" s="59">
        <f t="shared" si="454"/>
        <v>0</v>
      </c>
    </row>
    <row r="5366" spans="12:16" ht="15" hidden="1" customHeight="1">
      <c r="L5366" s="58" t="str">
        <f t="shared" si="452"/>
        <v>-</v>
      </c>
      <c r="M5366" s="59">
        <f t="shared" si="450"/>
        <v>0</v>
      </c>
      <c r="N5366" s="59">
        <f t="shared" si="453"/>
        <v>0</v>
      </c>
      <c r="O5366" s="59">
        <f t="shared" si="451"/>
        <v>0</v>
      </c>
      <c r="P5366" s="59">
        <f t="shared" si="454"/>
        <v>0</v>
      </c>
    </row>
    <row r="5367" spans="12:16" ht="15" hidden="1" customHeight="1">
      <c r="L5367" s="58" t="str">
        <f t="shared" si="452"/>
        <v>-</v>
      </c>
      <c r="M5367" s="59">
        <f t="shared" si="450"/>
        <v>0</v>
      </c>
      <c r="N5367" s="59">
        <f t="shared" si="453"/>
        <v>0</v>
      </c>
      <c r="O5367" s="59">
        <f t="shared" si="451"/>
        <v>0</v>
      </c>
      <c r="P5367" s="59">
        <f t="shared" si="454"/>
        <v>0</v>
      </c>
    </row>
    <row r="5368" spans="12:16" ht="15" hidden="1" customHeight="1">
      <c r="L5368" s="58" t="str">
        <f t="shared" si="452"/>
        <v>-</v>
      </c>
      <c r="M5368" s="59">
        <f t="shared" si="450"/>
        <v>0</v>
      </c>
      <c r="N5368" s="59">
        <f t="shared" si="453"/>
        <v>0</v>
      </c>
      <c r="O5368" s="59">
        <f t="shared" si="451"/>
        <v>0</v>
      </c>
      <c r="P5368" s="59">
        <f t="shared" si="454"/>
        <v>0</v>
      </c>
    </row>
    <row r="5369" spans="12:16" ht="15" hidden="1" customHeight="1">
      <c r="L5369" s="58" t="str">
        <f t="shared" si="452"/>
        <v>-</v>
      </c>
      <c r="M5369" s="59">
        <f t="shared" si="450"/>
        <v>0</v>
      </c>
      <c r="N5369" s="59">
        <f t="shared" si="453"/>
        <v>0</v>
      </c>
      <c r="O5369" s="59">
        <f t="shared" si="451"/>
        <v>0</v>
      </c>
      <c r="P5369" s="59">
        <f t="shared" si="454"/>
        <v>0</v>
      </c>
    </row>
    <row r="5370" spans="12:16" ht="15" hidden="1" customHeight="1">
      <c r="L5370" s="58" t="str">
        <f t="shared" si="452"/>
        <v>-</v>
      </c>
      <c r="M5370" s="59">
        <f t="shared" si="450"/>
        <v>0</v>
      </c>
      <c r="N5370" s="59">
        <f t="shared" si="453"/>
        <v>0</v>
      </c>
      <c r="O5370" s="59">
        <f t="shared" si="451"/>
        <v>0</v>
      </c>
      <c r="P5370" s="59">
        <f t="shared" si="454"/>
        <v>0</v>
      </c>
    </row>
    <row r="5371" spans="12:16" ht="15" hidden="1" customHeight="1">
      <c r="L5371" s="58" t="str">
        <f t="shared" si="452"/>
        <v>-</v>
      </c>
      <c r="M5371" s="59">
        <f t="shared" si="450"/>
        <v>0</v>
      </c>
      <c r="N5371" s="59">
        <f t="shared" si="453"/>
        <v>0</v>
      </c>
      <c r="O5371" s="59">
        <f t="shared" si="451"/>
        <v>0</v>
      </c>
      <c r="P5371" s="59">
        <f t="shared" si="454"/>
        <v>0</v>
      </c>
    </row>
    <row r="5372" spans="12:16" ht="15" hidden="1" customHeight="1">
      <c r="L5372" s="58" t="str">
        <f t="shared" si="452"/>
        <v>-</v>
      </c>
      <c r="M5372" s="59">
        <f t="shared" si="450"/>
        <v>0</v>
      </c>
      <c r="N5372" s="59">
        <f t="shared" si="453"/>
        <v>0</v>
      </c>
      <c r="O5372" s="59">
        <f t="shared" si="451"/>
        <v>0</v>
      </c>
      <c r="P5372" s="59">
        <f t="shared" si="454"/>
        <v>0</v>
      </c>
    </row>
    <row r="5373" spans="12:16" ht="15" hidden="1" customHeight="1">
      <c r="L5373" s="58" t="str">
        <f t="shared" si="452"/>
        <v>-</v>
      </c>
      <c r="M5373" s="59">
        <f t="shared" si="450"/>
        <v>0</v>
      </c>
      <c r="N5373" s="59">
        <f t="shared" si="453"/>
        <v>0</v>
      </c>
      <c r="O5373" s="59">
        <f t="shared" si="451"/>
        <v>0</v>
      </c>
      <c r="P5373" s="59">
        <f t="shared" si="454"/>
        <v>0</v>
      </c>
    </row>
    <row r="5374" spans="12:16" ht="15" hidden="1" customHeight="1">
      <c r="L5374" s="58" t="str">
        <f t="shared" si="452"/>
        <v>-</v>
      </c>
      <c r="M5374" s="59">
        <f t="shared" si="450"/>
        <v>0</v>
      </c>
      <c r="N5374" s="59">
        <f t="shared" si="453"/>
        <v>0</v>
      </c>
      <c r="O5374" s="59">
        <f t="shared" si="451"/>
        <v>0</v>
      </c>
      <c r="P5374" s="59">
        <f t="shared" si="454"/>
        <v>0</v>
      </c>
    </row>
    <row r="5375" spans="12:16" ht="15" hidden="1" customHeight="1">
      <c r="L5375" s="58" t="str">
        <f t="shared" si="452"/>
        <v>-</v>
      </c>
      <c r="M5375" s="59">
        <f t="shared" si="450"/>
        <v>0</v>
      </c>
      <c r="N5375" s="59">
        <f t="shared" si="453"/>
        <v>0</v>
      </c>
      <c r="O5375" s="59">
        <f t="shared" si="451"/>
        <v>0</v>
      </c>
      <c r="P5375" s="59">
        <f t="shared" si="454"/>
        <v>0</v>
      </c>
    </row>
    <row r="5376" spans="12:16" ht="15" hidden="1" customHeight="1">
      <c r="L5376" s="58" t="str">
        <f t="shared" si="452"/>
        <v>-</v>
      </c>
      <c r="M5376" s="59">
        <f t="shared" si="450"/>
        <v>0</v>
      </c>
      <c r="N5376" s="59">
        <f t="shared" si="453"/>
        <v>0</v>
      </c>
      <c r="O5376" s="59">
        <f t="shared" si="451"/>
        <v>0</v>
      </c>
      <c r="P5376" s="59">
        <f t="shared" si="454"/>
        <v>0</v>
      </c>
    </row>
    <row r="5377" spans="12:16" ht="15" hidden="1" customHeight="1">
      <c r="L5377" s="58" t="str">
        <f t="shared" si="452"/>
        <v>-</v>
      </c>
      <c r="M5377" s="59">
        <f t="shared" si="450"/>
        <v>0</v>
      </c>
      <c r="N5377" s="59">
        <f t="shared" si="453"/>
        <v>0</v>
      </c>
      <c r="O5377" s="59">
        <f t="shared" si="451"/>
        <v>0</v>
      </c>
      <c r="P5377" s="59">
        <f t="shared" si="454"/>
        <v>0</v>
      </c>
    </row>
    <row r="5378" spans="12:16" ht="15" hidden="1" customHeight="1">
      <c r="L5378" s="58" t="str">
        <f t="shared" si="452"/>
        <v>-</v>
      </c>
      <c r="M5378" s="59">
        <f t="shared" si="450"/>
        <v>0</v>
      </c>
      <c r="N5378" s="59">
        <f t="shared" si="453"/>
        <v>0</v>
      </c>
      <c r="O5378" s="59">
        <f t="shared" si="451"/>
        <v>0</v>
      </c>
      <c r="P5378" s="59">
        <f t="shared" si="454"/>
        <v>0</v>
      </c>
    </row>
    <row r="5379" spans="12:16" ht="15" hidden="1" customHeight="1">
      <c r="L5379" s="58" t="str">
        <f t="shared" si="452"/>
        <v>-</v>
      </c>
      <c r="M5379" s="59">
        <f t="shared" si="450"/>
        <v>0</v>
      </c>
      <c r="N5379" s="59">
        <f t="shared" si="453"/>
        <v>0</v>
      </c>
      <c r="O5379" s="59">
        <f t="shared" si="451"/>
        <v>0</v>
      </c>
      <c r="P5379" s="59">
        <f t="shared" si="454"/>
        <v>0</v>
      </c>
    </row>
    <row r="5380" spans="12:16" ht="15" hidden="1" customHeight="1">
      <c r="L5380" s="58" t="str">
        <f t="shared" si="452"/>
        <v>-</v>
      </c>
      <c r="M5380" s="59">
        <f t="shared" si="450"/>
        <v>0</v>
      </c>
      <c r="N5380" s="59">
        <f t="shared" si="453"/>
        <v>0</v>
      </c>
      <c r="O5380" s="59">
        <f t="shared" si="451"/>
        <v>0</v>
      </c>
      <c r="P5380" s="59">
        <f t="shared" si="454"/>
        <v>0</v>
      </c>
    </row>
    <row r="5381" spans="12:16" ht="15" hidden="1" customHeight="1">
      <c r="L5381" s="58" t="str">
        <f t="shared" si="452"/>
        <v>-</v>
      </c>
      <c r="M5381" s="59">
        <f t="shared" si="450"/>
        <v>0</v>
      </c>
      <c r="N5381" s="59">
        <f t="shared" si="453"/>
        <v>0</v>
      </c>
      <c r="O5381" s="59">
        <f t="shared" si="451"/>
        <v>0</v>
      </c>
      <c r="P5381" s="59">
        <f t="shared" si="454"/>
        <v>0</v>
      </c>
    </row>
    <row r="5382" spans="12:16" ht="15" hidden="1" customHeight="1">
      <c r="L5382" s="58" t="str">
        <f t="shared" si="452"/>
        <v>-</v>
      </c>
      <c r="M5382" s="59">
        <f t="shared" si="450"/>
        <v>0</v>
      </c>
      <c r="N5382" s="59">
        <f t="shared" si="453"/>
        <v>0</v>
      </c>
      <c r="O5382" s="59">
        <f t="shared" si="451"/>
        <v>0</v>
      </c>
      <c r="P5382" s="59">
        <f t="shared" si="454"/>
        <v>0</v>
      </c>
    </row>
    <row r="5383" spans="12:16" ht="15" hidden="1" customHeight="1">
      <c r="L5383" s="58" t="str">
        <f t="shared" si="452"/>
        <v>-</v>
      </c>
      <c r="M5383" s="59">
        <f t="shared" si="450"/>
        <v>0</v>
      </c>
      <c r="N5383" s="59">
        <f t="shared" si="453"/>
        <v>0</v>
      </c>
      <c r="O5383" s="59">
        <f t="shared" si="451"/>
        <v>0</v>
      </c>
      <c r="P5383" s="59">
        <f t="shared" si="454"/>
        <v>0</v>
      </c>
    </row>
    <row r="5384" spans="12:16" ht="15" hidden="1" customHeight="1">
      <c r="L5384" s="58" t="str">
        <f t="shared" si="452"/>
        <v>-</v>
      </c>
      <c r="M5384" s="59">
        <f t="shared" si="450"/>
        <v>0</v>
      </c>
      <c r="N5384" s="59">
        <f t="shared" si="453"/>
        <v>0</v>
      </c>
      <c r="O5384" s="59">
        <f t="shared" si="451"/>
        <v>0</v>
      </c>
      <c r="P5384" s="59">
        <f t="shared" si="454"/>
        <v>0</v>
      </c>
    </row>
    <row r="5385" spans="12:16" ht="15" hidden="1" customHeight="1">
      <c r="L5385" s="58" t="str">
        <f t="shared" si="452"/>
        <v>-</v>
      </c>
      <c r="M5385" s="59">
        <f t="shared" si="450"/>
        <v>0</v>
      </c>
      <c r="N5385" s="59">
        <f t="shared" si="453"/>
        <v>0</v>
      </c>
      <c r="O5385" s="59">
        <f t="shared" si="451"/>
        <v>0</v>
      </c>
      <c r="P5385" s="59">
        <f t="shared" si="454"/>
        <v>0</v>
      </c>
    </row>
    <row r="5386" spans="12:16" ht="15" hidden="1" customHeight="1">
      <c r="L5386" s="58" t="str">
        <f t="shared" si="452"/>
        <v>-</v>
      </c>
      <c r="M5386" s="59">
        <f t="shared" si="450"/>
        <v>0</v>
      </c>
      <c r="N5386" s="59">
        <f t="shared" si="453"/>
        <v>0</v>
      </c>
      <c r="O5386" s="59">
        <f t="shared" si="451"/>
        <v>0</v>
      </c>
      <c r="P5386" s="59">
        <f t="shared" si="454"/>
        <v>0</v>
      </c>
    </row>
    <row r="5387" spans="12:16" ht="15" hidden="1" customHeight="1">
      <c r="L5387" s="58" t="str">
        <f t="shared" si="452"/>
        <v>-</v>
      </c>
      <c r="M5387" s="59">
        <f t="shared" si="450"/>
        <v>0</v>
      </c>
      <c r="N5387" s="59">
        <f t="shared" si="453"/>
        <v>0</v>
      </c>
      <c r="O5387" s="59">
        <f t="shared" si="451"/>
        <v>0</v>
      </c>
      <c r="P5387" s="59">
        <f t="shared" si="454"/>
        <v>0</v>
      </c>
    </row>
    <row r="5388" spans="12:16" ht="15" hidden="1" customHeight="1">
      <c r="L5388" s="58" t="str">
        <f t="shared" si="452"/>
        <v>-</v>
      </c>
      <c r="M5388" s="59">
        <f t="shared" si="450"/>
        <v>0</v>
      </c>
      <c r="N5388" s="59">
        <f t="shared" si="453"/>
        <v>0</v>
      </c>
      <c r="O5388" s="59">
        <f t="shared" si="451"/>
        <v>0</v>
      </c>
      <c r="P5388" s="59">
        <f t="shared" si="454"/>
        <v>0</v>
      </c>
    </row>
    <row r="5389" spans="12:16" ht="15" hidden="1" customHeight="1">
      <c r="L5389" s="58" t="str">
        <f t="shared" si="452"/>
        <v>-</v>
      </c>
      <c r="M5389" s="59">
        <f t="shared" si="450"/>
        <v>0</v>
      </c>
      <c r="N5389" s="59">
        <f t="shared" si="453"/>
        <v>0</v>
      </c>
      <c r="O5389" s="59">
        <f t="shared" si="451"/>
        <v>0</v>
      </c>
      <c r="P5389" s="59">
        <f t="shared" si="454"/>
        <v>0</v>
      </c>
    </row>
    <row r="5390" spans="12:16" ht="15" hidden="1" customHeight="1">
      <c r="L5390" s="58" t="str">
        <f t="shared" si="452"/>
        <v>-</v>
      </c>
      <c r="M5390" s="59">
        <f t="shared" si="450"/>
        <v>0</v>
      </c>
      <c r="N5390" s="59">
        <f t="shared" si="453"/>
        <v>0</v>
      </c>
      <c r="O5390" s="59">
        <f t="shared" si="451"/>
        <v>0</v>
      </c>
      <c r="P5390" s="59">
        <f t="shared" si="454"/>
        <v>0</v>
      </c>
    </row>
    <row r="5391" spans="12:16" ht="15" hidden="1" customHeight="1">
      <c r="L5391" s="58" t="str">
        <f t="shared" si="452"/>
        <v>-</v>
      </c>
      <c r="M5391" s="59">
        <f t="shared" si="450"/>
        <v>0</v>
      </c>
      <c r="N5391" s="59">
        <f t="shared" si="453"/>
        <v>0</v>
      </c>
      <c r="O5391" s="59">
        <f t="shared" si="451"/>
        <v>0</v>
      </c>
      <c r="P5391" s="59">
        <f t="shared" si="454"/>
        <v>0</v>
      </c>
    </row>
    <row r="5392" spans="12:16" ht="15" hidden="1" customHeight="1">
      <c r="L5392" s="58" t="str">
        <f t="shared" si="452"/>
        <v>-</v>
      </c>
      <c r="M5392" s="59">
        <f t="shared" si="450"/>
        <v>0</v>
      </c>
      <c r="N5392" s="59">
        <f t="shared" si="453"/>
        <v>0</v>
      </c>
      <c r="O5392" s="59">
        <f t="shared" si="451"/>
        <v>0</v>
      </c>
      <c r="P5392" s="59">
        <f t="shared" si="454"/>
        <v>0</v>
      </c>
    </row>
    <row r="5393" spans="12:16" ht="15" hidden="1" customHeight="1">
      <c r="L5393" s="58" t="str">
        <f t="shared" si="452"/>
        <v>-</v>
      </c>
      <c r="M5393" s="59">
        <f t="shared" si="450"/>
        <v>0</v>
      </c>
      <c r="N5393" s="59">
        <f t="shared" si="453"/>
        <v>0</v>
      </c>
      <c r="O5393" s="59">
        <f t="shared" si="451"/>
        <v>0</v>
      </c>
      <c r="P5393" s="59">
        <f t="shared" si="454"/>
        <v>0</v>
      </c>
    </row>
    <row r="5394" spans="12:16" ht="15" hidden="1" customHeight="1">
      <c r="L5394" s="58" t="str">
        <f t="shared" si="452"/>
        <v>-</v>
      </c>
      <c r="M5394" s="59">
        <f t="shared" si="450"/>
        <v>0</v>
      </c>
      <c r="N5394" s="59">
        <f t="shared" si="453"/>
        <v>0</v>
      </c>
      <c r="O5394" s="59">
        <f t="shared" si="451"/>
        <v>0</v>
      </c>
      <c r="P5394" s="59">
        <f t="shared" si="454"/>
        <v>0</v>
      </c>
    </row>
    <row r="5395" spans="12:16" ht="15" hidden="1" customHeight="1">
      <c r="L5395" s="58" t="str">
        <f t="shared" si="452"/>
        <v>-</v>
      </c>
      <c r="M5395" s="59">
        <f t="shared" ref="M5395:M5458" si="455">IFERROR(VLOOKUP(L5395,$B$19:$E$80,4,FALSE),0)</f>
        <v>0</v>
      </c>
      <c r="N5395" s="59">
        <f t="shared" si="453"/>
        <v>0</v>
      </c>
      <c r="O5395" s="59">
        <f t="shared" ref="O5395:O5458" si="456">IFERROR(IF(ISNUMBER(N5394),N5394,$E$8)*IF(L5395&gt;=$J$8,$E$12,$E$12)/IF(MOD(YEAR(L5395),4),365,366)*IF(ISBLANK(L5394),L5395-$F$5,L5395-L5394),0)</f>
        <v>0</v>
      </c>
      <c r="P5395" s="59">
        <f t="shared" si="454"/>
        <v>0</v>
      </c>
    </row>
    <row r="5396" spans="12:16" ht="15" hidden="1" customHeight="1">
      <c r="L5396" s="58" t="str">
        <f t="shared" si="452"/>
        <v>-</v>
      </c>
      <c r="M5396" s="59">
        <f t="shared" si="455"/>
        <v>0</v>
      </c>
      <c r="N5396" s="59">
        <f t="shared" si="453"/>
        <v>0</v>
      </c>
      <c r="O5396" s="59">
        <f t="shared" si="456"/>
        <v>0</v>
      </c>
      <c r="P5396" s="59">
        <f t="shared" si="454"/>
        <v>0</v>
      </c>
    </row>
    <row r="5397" spans="12:16" ht="15" hidden="1" customHeight="1">
      <c r="L5397" s="58" t="str">
        <f t="shared" si="452"/>
        <v>-</v>
      </c>
      <c r="M5397" s="59">
        <f t="shared" si="455"/>
        <v>0</v>
      </c>
      <c r="N5397" s="59">
        <f t="shared" si="453"/>
        <v>0</v>
      </c>
      <c r="O5397" s="59">
        <f t="shared" si="456"/>
        <v>0</v>
      </c>
      <c r="P5397" s="59">
        <f t="shared" si="454"/>
        <v>0</v>
      </c>
    </row>
    <row r="5398" spans="12:16" ht="15" hidden="1" customHeight="1">
      <c r="L5398" s="58" t="str">
        <f t="shared" si="452"/>
        <v>-</v>
      </c>
      <c r="M5398" s="59">
        <f t="shared" si="455"/>
        <v>0</v>
      </c>
      <c r="N5398" s="59">
        <f t="shared" si="453"/>
        <v>0</v>
      </c>
      <c r="O5398" s="59">
        <f t="shared" si="456"/>
        <v>0</v>
      </c>
      <c r="P5398" s="59">
        <f t="shared" si="454"/>
        <v>0</v>
      </c>
    </row>
    <row r="5399" spans="12:16" ht="15" hidden="1" customHeight="1">
      <c r="L5399" s="58" t="str">
        <f t="shared" si="452"/>
        <v>-</v>
      </c>
      <c r="M5399" s="59">
        <f t="shared" si="455"/>
        <v>0</v>
      </c>
      <c r="N5399" s="59">
        <f t="shared" si="453"/>
        <v>0</v>
      </c>
      <c r="O5399" s="59">
        <f t="shared" si="456"/>
        <v>0</v>
      </c>
      <c r="P5399" s="59">
        <f t="shared" si="454"/>
        <v>0</v>
      </c>
    </row>
    <row r="5400" spans="12:16" ht="15" hidden="1" customHeight="1">
      <c r="L5400" s="58" t="str">
        <f t="shared" si="452"/>
        <v>-</v>
      </c>
      <c r="M5400" s="59">
        <f t="shared" si="455"/>
        <v>0</v>
      </c>
      <c r="N5400" s="59">
        <f t="shared" si="453"/>
        <v>0</v>
      </c>
      <c r="O5400" s="59">
        <f t="shared" si="456"/>
        <v>0</v>
      </c>
      <c r="P5400" s="59">
        <f t="shared" si="454"/>
        <v>0</v>
      </c>
    </row>
    <row r="5401" spans="12:16" ht="15" hidden="1" customHeight="1">
      <c r="L5401" s="58" t="str">
        <f t="shared" si="452"/>
        <v>-</v>
      </c>
      <c r="M5401" s="59">
        <f t="shared" si="455"/>
        <v>0</v>
      </c>
      <c r="N5401" s="59">
        <f t="shared" si="453"/>
        <v>0</v>
      </c>
      <c r="O5401" s="59">
        <f t="shared" si="456"/>
        <v>0</v>
      </c>
      <c r="P5401" s="59">
        <f t="shared" si="454"/>
        <v>0</v>
      </c>
    </row>
    <row r="5402" spans="12:16" ht="15" hidden="1" customHeight="1">
      <c r="L5402" s="58" t="str">
        <f t="shared" si="452"/>
        <v>-</v>
      </c>
      <c r="M5402" s="59">
        <f t="shared" si="455"/>
        <v>0</v>
      </c>
      <c r="N5402" s="59">
        <f t="shared" si="453"/>
        <v>0</v>
      </c>
      <c r="O5402" s="59">
        <f t="shared" si="456"/>
        <v>0</v>
      </c>
      <c r="P5402" s="59">
        <f t="shared" si="454"/>
        <v>0</v>
      </c>
    </row>
    <row r="5403" spans="12:16" ht="15" hidden="1" customHeight="1">
      <c r="L5403" s="58" t="str">
        <f t="shared" si="452"/>
        <v>-</v>
      </c>
      <c r="M5403" s="59">
        <f t="shared" si="455"/>
        <v>0</v>
      </c>
      <c r="N5403" s="59">
        <f t="shared" si="453"/>
        <v>0</v>
      </c>
      <c r="O5403" s="59">
        <f t="shared" si="456"/>
        <v>0</v>
      </c>
      <c r="P5403" s="59">
        <f t="shared" si="454"/>
        <v>0</v>
      </c>
    </row>
    <row r="5404" spans="12:16" ht="15" hidden="1" customHeight="1">
      <c r="L5404" s="58" t="str">
        <f t="shared" si="452"/>
        <v>-</v>
      </c>
      <c r="M5404" s="59">
        <f t="shared" si="455"/>
        <v>0</v>
      </c>
      <c r="N5404" s="59">
        <f t="shared" si="453"/>
        <v>0</v>
      </c>
      <c r="O5404" s="59">
        <f t="shared" si="456"/>
        <v>0</v>
      </c>
      <c r="P5404" s="59">
        <f t="shared" si="454"/>
        <v>0</v>
      </c>
    </row>
    <row r="5405" spans="12:16" ht="15" hidden="1" customHeight="1">
      <c r="L5405" s="58" t="str">
        <f t="shared" si="452"/>
        <v>-</v>
      </c>
      <c r="M5405" s="59">
        <f t="shared" si="455"/>
        <v>0</v>
      </c>
      <c r="N5405" s="59">
        <f t="shared" si="453"/>
        <v>0</v>
      </c>
      <c r="O5405" s="59">
        <f t="shared" si="456"/>
        <v>0</v>
      </c>
      <c r="P5405" s="59">
        <f t="shared" si="454"/>
        <v>0</v>
      </c>
    </row>
    <row r="5406" spans="12:16" ht="15" hidden="1" customHeight="1">
      <c r="L5406" s="58" t="str">
        <f t="shared" si="452"/>
        <v>-</v>
      </c>
      <c r="M5406" s="59">
        <f t="shared" si="455"/>
        <v>0</v>
      </c>
      <c r="N5406" s="59">
        <f t="shared" si="453"/>
        <v>0</v>
      </c>
      <c r="O5406" s="59">
        <f t="shared" si="456"/>
        <v>0</v>
      </c>
      <c r="P5406" s="59">
        <f t="shared" si="454"/>
        <v>0</v>
      </c>
    </row>
    <row r="5407" spans="12:16" ht="15" hidden="1" customHeight="1">
      <c r="L5407" s="58" t="str">
        <f t="shared" si="452"/>
        <v>-</v>
      </c>
      <c r="M5407" s="59">
        <f t="shared" si="455"/>
        <v>0</v>
      </c>
      <c r="N5407" s="59">
        <f t="shared" si="453"/>
        <v>0</v>
      </c>
      <c r="O5407" s="59">
        <f t="shared" si="456"/>
        <v>0</v>
      </c>
      <c r="P5407" s="59">
        <f t="shared" si="454"/>
        <v>0</v>
      </c>
    </row>
    <row r="5408" spans="12:16" ht="15" hidden="1" customHeight="1">
      <c r="L5408" s="58" t="str">
        <f t="shared" si="452"/>
        <v>-</v>
      </c>
      <c r="M5408" s="59">
        <f t="shared" si="455"/>
        <v>0</v>
      </c>
      <c r="N5408" s="59">
        <f t="shared" si="453"/>
        <v>0</v>
      </c>
      <c r="O5408" s="59">
        <f t="shared" si="456"/>
        <v>0</v>
      </c>
      <c r="P5408" s="59">
        <f t="shared" si="454"/>
        <v>0</v>
      </c>
    </row>
    <row r="5409" spans="12:16" ht="15" hidden="1" customHeight="1">
      <c r="L5409" s="58" t="str">
        <f t="shared" ref="L5409:L5472" si="457">IFERROR(IF(MAX(L5408+1,$F$5+1)&gt;Дата_погашения_Займа,"-",MAX(L5408+1,$F$5+1)),"-")</f>
        <v>-</v>
      </c>
      <c r="M5409" s="59">
        <f t="shared" si="455"/>
        <v>0</v>
      </c>
      <c r="N5409" s="59">
        <f t="shared" si="453"/>
        <v>0</v>
      </c>
      <c r="O5409" s="59">
        <f t="shared" si="456"/>
        <v>0</v>
      </c>
      <c r="P5409" s="59">
        <f t="shared" si="454"/>
        <v>0</v>
      </c>
    </row>
    <row r="5410" spans="12:16" ht="15" hidden="1" customHeight="1">
      <c r="L5410" s="58" t="str">
        <f t="shared" si="457"/>
        <v>-</v>
      </c>
      <c r="M5410" s="59">
        <f t="shared" si="455"/>
        <v>0</v>
      </c>
      <c r="N5410" s="59">
        <f t="shared" si="453"/>
        <v>0</v>
      </c>
      <c r="O5410" s="59">
        <f t="shared" si="456"/>
        <v>0</v>
      </c>
      <c r="P5410" s="59">
        <f t="shared" si="454"/>
        <v>0</v>
      </c>
    </row>
    <row r="5411" spans="12:16" ht="15" hidden="1" customHeight="1">
      <c r="L5411" s="58" t="str">
        <f t="shared" si="457"/>
        <v>-</v>
      </c>
      <c r="M5411" s="59">
        <f t="shared" si="455"/>
        <v>0</v>
      </c>
      <c r="N5411" s="59">
        <f t="shared" si="453"/>
        <v>0</v>
      </c>
      <c r="O5411" s="59">
        <f t="shared" si="456"/>
        <v>0</v>
      </c>
      <c r="P5411" s="59">
        <f t="shared" si="454"/>
        <v>0</v>
      </c>
    </row>
    <row r="5412" spans="12:16" ht="15" hidden="1" customHeight="1">
      <c r="L5412" s="58" t="str">
        <f t="shared" si="457"/>
        <v>-</v>
      </c>
      <c r="M5412" s="59">
        <f t="shared" si="455"/>
        <v>0</v>
      </c>
      <c r="N5412" s="59">
        <f t="shared" si="453"/>
        <v>0</v>
      </c>
      <c r="O5412" s="59">
        <f t="shared" si="456"/>
        <v>0</v>
      </c>
      <c r="P5412" s="59">
        <f t="shared" si="454"/>
        <v>0</v>
      </c>
    </row>
    <row r="5413" spans="12:16" ht="15" hidden="1" customHeight="1">
      <c r="L5413" s="58" t="str">
        <f t="shared" si="457"/>
        <v>-</v>
      </c>
      <c r="M5413" s="59">
        <f t="shared" si="455"/>
        <v>0</v>
      </c>
      <c r="N5413" s="59">
        <f t="shared" si="453"/>
        <v>0</v>
      </c>
      <c r="O5413" s="59">
        <f t="shared" si="456"/>
        <v>0</v>
      </c>
      <c r="P5413" s="59">
        <f t="shared" si="454"/>
        <v>0</v>
      </c>
    </row>
    <row r="5414" spans="12:16" ht="15" hidden="1" customHeight="1">
      <c r="L5414" s="58" t="str">
        <f t="shared" si="457"/>
        <v>-</v>
      </c>
      <c r="M5414" s="59">
        <f t="shared" si="455"/>
        <v>0</v>
      </c>
      <c r="N5414" s="59">
        <f t="shared" si="453"/>
        <v>0</v>
      </c>
      <c r="O5414" s="59">
        <f t="shared" si="456"/>
        <v>0</v>
      </c>
      <c r="P5414" s="59">
        <f t="shared" si="454"/>
        <v>0</v>
      </c>
    </row>
    <row r="5415" spans="12:16" ht="15" hidden="1" customHeight="1">
      <c r="L5415" s="58" t="str">
        <f t="shared" si="457"/>
        <v>-</v>
      </c>
      <c r="M5415" s="59">
        <f t="shared" si="455"/>
        <v>0</v>
      </c>
      <c r="N5415" s="59">
        <f t="shared" si="453"/>
        <v>0</v>
      </c>
      <c r="O5415" s="59">
        <f t="shared" si="456"/>
        <v>0</v>
      </c>
      <c r="P5415" s="59">
        <f t="shared" si="454"/>
        <v>0</v>
      </c>
    </row>
    <row r="5416" spans="12:16" ht="15" hidden="1" customHeight="1">
      <c r="L5416" s="58" t="str">
        <f t="shared" si="457"/>
        <v>-</v>
      </c>
      <c r="M5416" s="59">
        <f t="shared" si="455"/>
        <v>0</v>
      </c>
      <c r="N5416" s="59">
        <f t="shared" si="453"/>
        <v>0</v>
      </c>
      <c r="O5416" s="59">
        <f t="shared" si="456"/>
        <v>0</v>
      </c>
      <c r="P5416" s="59">
        <f t="shared" si="454"/>
        <v>0</v>
      </c>
    </row>
    <row r="5417" spans="12:16" ht="15" hidden="1" customHeight="1">
      <c r="L5417" s="58" t="str">
        <f t="shared" si="457"/>
        <v>-</v>
      </c>
      <c r="M5417" s="59">
        <f t="shared" si="455"/>
        <v>0</v>
      </c>
      <c r="N5417" s="59">
        <f t="shared" ref="N5417:N5480" si="458">IF(ISNUMBER(N5416),N5416-M5417,$E$8)</f>
        <v>0</v>
      </c>
      <c r="O5417" s="59">
        <f t="shared" si="456"/>
        <v>0</v>
      </c>
      <c r="P5417" s="59">
        <f t="shared" ref="P5417:P5480" si="459">IFERROR(IF(ISNUMBER(N5416),N5416,$E$8)*3%/IF(MOD(YEAR(L5417),4),365,366)*IF(ISBLANK(L5416),(L5417-$F$5),L5417-L5416),0)</f>
        <v>0</v>
      </c>
    </row>
    <row r="5418" spans="12:16" ht="15" hidden="1" customHeight="1">
      <c r="L5418" s="58" t="str">
        <f t="shared" si="457"/>
        <v>-</v>
      </c>
      <c r="M5418" s="59">
        <f t="shared" si="455"/>
        <v>0</v>
      </c>
      <c r="N5418" s="59">
        <f t="shared" si="458"/>
        <v>0</v>
      </c>
      <c r="O5418" s="59">
        <f t="shared" si="456"/>
        <v>0</v>
      </c>
      <c r="P5418" s="59">
        <f t="shared" si="459"/>
        <v>0</v>
      </c>
    </row>
    <row r="5419" spans="12:16" ht="15" hidden="1" customHeight="1">
      <c r="L5419" s="58" t="str">
        <f t="shared" si="457"/>
        <v>-</v>
      </c>
      <c r="M5419" s="59">
        <f t="shared" si="455"/>
        <v>0</v>
      </c>
      <c r="N5419" s="59">
        <f t="shared" si="458"/>
        <v>0</v>
      </c>
      <c r="O5419" s="59">
        <f t="shared" si="456"/>
        <v>0</v>
      </c>
      <c r="P5419" s="59">
        <f t="shared" si="459"/>
        <v>0</v>
      </c>
    </row>
    <row r="5420" spans="12:16" ht="15" hidden="1" customHeight="1">
      <c r="L5420" s="58" t="str">
        <f t="shared" si="457"/>
        <v>-</v>
      </c>
      <c r="M5420" s="59">
        <f t="shared" si="455"/>
        <v>0</v>
      </c>
      <c r="N5420" s="59">
        <f t="shared" si="458"/>
        <v>0</v>
      </c>
      <c r="O5420" s="59">
        <f t="shared" si="456"/>
        <v>0</v>
      </c>
      <c r="P5420" s="59">
        <f t="shared" si="459"/>
        <v>0</v>
      </c>
    </row>
    <row r="5421" spans="12:16" ht="15" hidden="1" customHeight="1">
      <c r="L5421" s="58" t="str">
        <f t="shared" si="457"/>
        <v>-</v>
      </c>
      <c r="M5421" s="59">
        <f t="shared" si="455"/>
        <v>0</v>
      </c>
      <c r="N5421" s="59">
        <f t="shared" si="458"/>
        <v>0</v>
      </c>
      <c r="O5421" s="59">
        <f t="shared" si="456"/>
        <v>0</v>
      </c>
      <c r="P5421" s="59">
        <f t="shared" si="459"/>
        <v>0</v>
      </c>
    </row>
    <row r="5422" spans="12:16" ht="15" hidden="1" customHeight="1">
      <c r="L5422" s="58" t="str">
        <f t="shared" si="457"/>
        <v>-</v>
      </c>
      <c r="M5422" s="59">
        <f t="shared" si="455"/>
        <v>0</v>
      </c>
      <c r="N5422" s="59">
        <f t="shared" si="458"/>
        <v>0</v>
      </c>
      <c r="O5422" s="59">
        <f t="shared" si="456"/>
        <v>0</v>
      </c>
      <c r="P5422" s="59">
        <f t="shared" si="459"/>
        <v>0</v>
      </c>
    </row>
    <row r="5423" spans="12:16" ht="15" hidden="1" customHeight="1">
      <c r="L5423" s="58" t="str">
        <f t="shared" si="457"/>
        <v>-</v>
      </c>
      <c r="M5423" s="59">
        <f t="shared" si="455"/>
        <v>0</v>
      </c>
      <c r="N5423" s="59">
        <f t="shared" si="458"/>
        <v>0</v>
      </c>
      <c r="O5423" s="59">
        <f t="shared" si="456"/>
        <v>0</v>
      </c>
      <c r="P5423" s="59">
        <f t="shared" si="459"/>
        <v>0</v>
      </c>
    </row>
    <row r="5424" spans="12:16" ht="15" hidden="1" customHeight="1">
      <c r="L5424" s="58" t="str">
        <f t="shared" si="457"/>
        <v>-</v>
      </c>
      <c r="M5424" s="59">
        <f t="shared" si="455"/>
        <v>0</v>
      </c>
      <c r="N5424" s="59">
        <f t="shared" si="458"/>
        <v>0</v>
      </c>
      <c r="O5424" s="59">
        <f t="shared" si="456"/>
        <v>0</v>
      </c>
      <c r="P5424" s="59">
        <f t="shared" si="459"/>
        <v>0</v>
      </c>
    </row>
    <row r="5425" spans="12:16" ht="15" hidden="1" customHeight="1">
      <c r="L5425" s="58" t="str">
        <f t="shared" si="457"/>
        <v>-</v>
      </c>
      <c r="M5425" s="59">
        <f t="shared" si="455"/>
        <v>0</v>
      </c>
      <c r="N5425" s="59">
        <f t="shared" si="458"/>
        <v>0</v>
      </c>
      <c r="O5425" s="59">
        <f t="shared" si="456"/>
        <v>0</v>
      </c>
      <c r="P5425" s="59">
        <f t="shared" si="459"/>
        <v>0</v>
      </c>
    </row>
    <row r="5426" spans="12:16" ht="15" hidden="1" customHeight="1">
      <c r="L5426" s="58" t="str">
        <f t="shared" si="457"/>
        <v>-</v>
      </c>
      <c r="M5426" s="59">
        <f t="shared" si="455"/>
        <v>0</v>
      </c>
      <c r="N5426" s="59">
        <f t="shared" si="458"/>
        <v>0</v>
      </c>
      <c r="O5426" s="59">
        <f t="shared" si="456"/>
        <v>0</v>
      </c>
      <c r="P5426" s="59">
        <f t="shared" si="459"/>
        <v>0</v>
      </c>
    </row>
    <row r="5427" spans="12:16" ht="15" hidden="1" customHeight="1">
      <c r="L5427" s="58" t="str">
        <f t="shared" si="457"/>
        <v>-</v>
      </c>
      <c r="M5427" s="59">
        <f t="shared" si="455"/>
        <v>0</v>
      </c>
      <c r="N5427" s="59">
        <f t="shared" si="458"/>
        <v>0</v>
      </c>
      <c r="O5427" s="59">
        <f t="shared" si="456"/>
        <v>0</v>
      </c>
      <c r="P5427" s="59">
        <f t="shared" si="459"/>
        <v>0</v>
      </c>
    </row>
    <row r="5428" spans="12:16" ht="15" hidden="1" customHeight="1">
      <c r="L5428" s="58" t="str">
        <f t="shared" si="457"/>
        <v>-</v>
      </c>
      <c r="M5428" s="59">
        <f t="shared" si="455"/>
        <v>0</v>
      </c>
      <c r="N5428" s="59">
        <f t="shared" si="458"/>
        <v>0</v>
      </c>
      <c r="O5428" s="59">
        <f t="shared" si="456"/>
        <v>0</v>
      </c>
      <c r="P5428" s="59">
        <f t="shared" si="459"/>
        <v>0</v>
      </c>
    </row>
    <row r="5429" spans="12:16" ht="15" hidden="1" customHeight="1">
      <c r="L5429" s="58" t="str">
        <f t="shared" si="457"/>
        <v>-</v>
      </c>
      <c r="M5429" s="59">
        <f t="shared" si="455"/>
        <v>0</v>
      </c>
      <c r="N5429" s="59">
        <f t="shared" si="458"/>
        <v>0</v>
      </c>
      <c r="O5429" s="59">
        <f t="shared" si="456"/>
        <v>0</v>
      </c>
      <c r="P5429" s="59">
        <f t="shared" si="459"/>
        <v>0</v>
      </c>
    </row>
    <row r="5430" spans="12:16" ht="15" hidden="1" customHeight="1">
      <c r="L5430" s="58" t="str">
        <f t="shared" si="457"/>
        <v>-</v>
      </c>
      <c r="M5430" s="59">
        <f t="shared" si="455"/>
        <v>0</v>
      </c>
      <c r="N5430" s="59">
        <f t="shared" si="458"/>
        <v>0</v>
      </c>
      <c r="O5430" s="59">
        <f t="shared" si="456"/>
        <v>0</v>
      </c>
      <c r="P5430" s="59">
        <f t="shared" si="459"/>
        <v>0</v>
      </c>
    </row>
    <row r="5431" spans="12:16" ht="15" hidden="1" customHeight="1">
      <c r="L5431" s="58" t="str">
        <f t="shared" si="457"/>
        <v>-</v>
      </c>
      <c r="M5431" s="59">
        <f t="shared" si="455"/>
        <v>0</v>
      </c>
      <c r="N5431" s="59">
        <f t="shared" si="458"/>
        <v>0</v>
      </c>
      <c r="O5431" s="59">
        <f t="shared" si="456"/>
        <v>0</v>
      </c>
      <c r="P5431" s="59">
        <f t="shared" si="459"/>
        <v>0</v>
      </c>
    </row>
    <row r="5432" spans="12:16" ht="15" hidden="1" customHeight="1">
      <c r="L5432" s="58" t="str">
        <f t="shared" si="457"/>
        <v>-</v>
      </c>
      <c r="M5432" s="59">
        <f t="shared" si="455"/>
        <v>0</v>
      </c>
      <c r="N5432" s="59">
        <f t="shared" si="458"/>
        <v>0</v>
      </c>
      <c r="O5432" s="59">
        <f t="shared" si="456"/>
        <v>0</v>
      </c>
      <c r="P5432" s="59">
        <f t="shared" si="459"/>
        <v>0</v>
      </c>
    </row>
    <row r="5433" spans="12:16" ht="15" hidden="1" customHeight="1">
      <c r="L5433" s="58" t="str">
        <f t="shared" si="457"/>
        <v>-</v>
      </c>
      <c r="M5433" s="59">
        <f t="shared" si="455"/>
        <v>0</v>
      </c>
      <c r="N5433" s="59">
        <f t="shared" si="458"/>
        <v>0</v>
      </c>
      <c r="O5433" s="59">
        <f t="shared" si="456"/>
        <v>0</v>
      </c>
      <c r="P5433" s="59">
        <f t="shared" si="459"/>
        <v>0</v>
      </c>
    </row>
    <row r="5434" spans="12:16" ht="15" hidden="1" customHeight="1">
      <c r="L5434" s="58" t="str">
        <f t="shared" si="457"/>
        <v>-</v>
      </c>
      <c r="M5434" s="59">
        <f t="shared" si="455"/>
        <v>0</v>
      </c>
      <c r="N5434" s="59">
        <f t="shared" si="458"/>
        <v>0</v>
      </c>
      <c r="O5434" s="59">
        <f t="shared" si="456"/>
        <v>0</v>
      </c>
      <c r="P5434" s="59">
        <f t="shared" si="459"/>
        <v>0</v>
      </c>
    </row>
    <row r="5435" spans="12:16" ht="15" hidden="1" customHeight="1">
      <c r="L5435" s="58" t="str">
        <f t="shared" si="457"/>
        <v>-</v>
      </c>
      <c r="M5435" s="59">
        <f t="shared" si="455"/>
        <v>0</v>
      </c>
      <c r="N5435" s="59">
        <f t="shared" si="458"/>
        <v>0</v>
      </c>
      <c r="O5435" s="59">
        <f t="shared" si="456"/>
        <v>0</v>
      </c>
      <c r="P5435" s="59">
        <f t="shared" si="459"/>
        <v>0</v>
      </c>
    </row>
    <row r="5436" spans="12:16" ht="15" hidden="1" customHeight="1">
      <c r="L5436" s="58" t="str">
        <f t="shared" si="457"/>
        <v>-</v>
      </c>
      <c r="M5436" s="59">
        <f t="shared" si="455"/>
        <v>0</v>
      </c>
      <c r="N5436" s="59">
        <f t="shared" si="458"/>
        <v>0</v>
      </c>
      <c r="O5436" s="59">
        <f t="shared" si="456"/>
        <v>0</v>
      </c>
      <c r="P5436" s="59">
        <f t="shared" si="459"/>
        <v>0</v>
      </c>
    </row>
    <row r="5437" spans="12:16" ht="15" hidden="1" customHeight="1">
      <c r="L5437" s="58" t="str">
        <f t="shared" si="457"/>
        <v>-</v>
      </c>
      <c r="M5437" s="59">
        <f t="shared" si="455"/>
        <v>0</v>
      </c>
      <c r="N5437" s="59">
        <f t="shared" si="458"/>
        <v>0</v>
      </c>
      <c r="O5437" s="59">
        <f t="shared" si="456"/>
        <v>0</v>
      </c>
      <c r="P5437" s="59">
        <f t="shared" si="459"/>
        <v>0</v>
      </c>
    </row>
    <row r="5438" spans="12:16" ht="15" hidden="1" customHeight="1">
      <c r="L5438" s="58" t="str">
        <f t="shared" si="457"/>
        <v>-</v>
      </c>
      <c r="M5438" s="59">
        <f t="shared" si="455"/>
        <v>0</v>
      </c>
      <c r="N5438" s="59">
        <f t="shared" si="458"/>
        <v>0</v>
      </c>
      <c r="O5438" s="59">
        <f t="shared" si="456"/>
        <v>0</v>
      </c>
      <c r="P5438" s="59">
        <f t="shared" si="459"/>
        <v>0</v>
      </c>
    </row>
    <row r="5439" spans="12:16" ht="15" hidden="1" customHeight="1">
      <c r="L5439" s="58" t="str">
        <f t="shared" si="457"/>
        <v>-</v>
      </c>
      <c r="M5439" s="59">
        <f t="shared" si="455"/>
        <v>0</v>
      </c>
      <c r="N5439" s="59">
        <f t="shared" si="458"/>
        <v>0</v>
      </c>
      <c r="O5439" s="59">
        <f t="shared" si="456"/>
        <v>0</v>
      </c>
      <c r="P5439" s="59">
        <f t="shared" si="459"/>
        <v>0</v>
      </c>
    </row>
    <row r="5440" spans="12:16" ht="15" hidden="1" customHeight="1">
      <c r="L5440" s="58" t="str">
        <f t="shared" si="457"/>
        <v>-</v>
      </c>
      <c r="M5440" s="59">
        <f t="shared" si="455"/>
        <v>0</v>
      </c>
      <c r="N5440" s="59">
        <f t="shared" si="458"/>
        <v>0</v>
      </c>
      <c r="O5440" s="59">
        <f t="shared" si="456"/>
        <v>0</v>
      </c>
      <c r="P5440" s="59">
        <f t="shared" si="459"/>
        <v>0</v>
      </c>
    </row>
    <row r="5441" spans="12:16" ht="15" hidden="1" customHeight="1">
      <c r="L5441" s="58" t="str">
        <f t="shared" si="457"/>
        <v>-</v>
      </c>
      <c r="M5441" s="59">
        <f t="shared" si="455"/>
        <v>0</v>
      </c>
      <c r="N5441" s="59">
        <f t="shared" si="458"/>
        <v>0</v>
      </c>
      <c r="O5441" s="59">
        <f t="shared" si="456"/>
        <v>0</v>
      </c>
      <c r="P5441" s="59">
        <f t="shared" si="459"/>
        <v>0</v>
      </c>
    </row>
    <row r="5442" spans="12:16" ht="15" hidden="1" customHeight="1">
      <c r="L5442" s="58" t="str">
        <f t="shared" si="457"/>
        <v>-</v>
      </c>
      <c r="M5442" s="59">
        <f t="shared" si="455"/>
        <v>0</v>
      </c>
      <c r="N5442" s="59">
        <f t="shared" si="458"/>
        <v>0</v>
      </c>
      <c r="O5442" s="59">
        <f t="shared" si="456"/>
        <v>0</v>
      </c>
      <c r="P5442" s="59">
        <f t="shared" si="459"/>
        <v>0</v>
      </c>
    </row>
    <row r="5443" spans="12:16" ht="15" hidden="1" customHeight="1">
      <c r="L5443" s="58" t="str">
        <f t="shared" si="457"/>
        <v>-</v>
      </c>
      <c r="M5443" s="59">
        <f t="shared" si="455"/>
        <v>0</v>
      </c>
      <c r="N5443" s="59">
        <f t="shared" si="458"/>
        <v>0</v>
      </c>
      <c r="O5443" s="59">
        <f t="shared" si="456"/>
        <v>0</v>
      </c>
      <c r="P5443" s="59">
        <f t="shared" si="459"/>
        <v>0</v>
      </c>
    </row>
    <row r="5444" spans="12:16" ht="15" hidden="1" customHeight="1">
      <c r="L5444" s="58" t="str">
        <f t="shared" si="457"/>
        <v>-</v>
      </c>
      <c r="M5444" s="59">
        <f t="shared" si="455"/>
        <v>0</v>
      </c>
      <c r="N5444" s="59">
        <f t="shared" si="458"/>
        <v>0</v>
      </c>
      <c r="O5444" s="59">
        <f t="shared" si="456"/>
        <v>0</v>
      </c>
      <c r="P5444" s="59">
        <f t="shared" si="459"/>
        <v>0</v>
      </c>
    </row>
    <row r="5445" spans="12:16" ht="15" hidden="1" customHeight="1">
      <c r="L5445" s="58" t="str">
        <f t="shared" si="457"/>
        <v>-</v>
      </c>
      <c r="M5445" s="59">
        <f t="shared" si="455"/>
        <v>0</v>
      </c>
      <c r="N5445" s="59">
        <f t="shared" si="458"/>
        <v>0</v>
      </c>
      <c r="O5445" s="59">
        <f t="shared" si="456"/>
        <v>0</v>
      </c>
      <c r="P5445" s="59">
        <f t="shared" si="459"/>
        <v>0</v>
      </c>
    </row>
    <row r="5446" spans="12:16" ht="15" hidden="1" customHeight="1">
      <c r="L5446" s="58" t="str">
        <f t="shared" si="457"/>
        <v>-</v>
      </c>
      <c r="M5446" s="59">
        <f t="shared" si="455"/>
        <v>0</v>
      </c>
      <c r="N5446" s="59">
        <f t="shared" si="458"/>
        <v>0</v>
      </c>
      <c r="O5446" s="59">
        <f t="shared" si="456"/>
        <v>0</v>
      </c>
      <c r="P5446" s="59">
        <f t="shared" si="459"/>
        <v>0</v>
      </c>
    </row>
    <row r="5447" spans="12:16" ht="15" hidden="1" customHeight="1">
      <c r="L5447" s="58" t="str">
        <f t="shared" si="457"/>
        <v>-</v>
      </c>
      <c r="M5447" s="59">
        <f t="shared" si="455"/>
        <v>0</v>
      </c>
      <c r="N5447" s="59">
        <f t="shared" si="458"/>
        <v>0</v>
      </c>
      <c r="O5447" s="59">
        <f t="shared" si="456"/>
        <v>0</v>
      </c>
      <c r="P5447" s="59">
        <f t="shared" si="459"/>
        <v>0</v>
      </c>
    </row>
    <row r="5448" spans="12:16" ht="15" hidden="1" customHeight="1">
      <c r="L5448" s="58" t="str">
        <f t="shared" si="457"/>
        <v>-</v>
      </c>
      <c r="M5448" s="59">
        <f t="shared" si="455"/>
        <v>0</v>
      </c>
      <c r="N5448" s="59">
        <f t="shared" si="458"/>
        <v>0</v>
      </c>
      <c r="O5448" s="59">
        <f t="shared" si="456"/>
        <v>0</v>
      </c>
      <c r="P5448" s="59">
        <f t="shared" si="459"/>
        <v>0</v>
      </c>
    </row>
    <row r="5449" spans="12:16" ht="15" hidden="1" customHeight="1">
      <c r="L5449" s="58" t="str">
        <f t="shared" si="457"/>
        <v>-</v>
      </c>
      <c r="M5449" s="59">
        <f t="shared" si="455"/>
        <v>0</v>
      </c>
      <c r="N5449" s="59">
        <f t="shared" si="458"/>
        <v>0</v>
      </c>
      <c r="O5449" s="59">
        <f t="shared" si="456"/>
        <v>0</v>
      </c>
      <c r="P5449" s="59">
        <f t="shared" si="459"/>
        <v>0</v>
      </c>
    </row>
    <row r="5450" spans="12:16" ht="15" hidden="1" customHeight="1">
      <c r="L5450" s="58" t="str">
        <f t="shared" si="457"/>
        <v>-</v>
      </c>
      <c r="M5450" s="59">
        <f t="shared" si="455"/>
        <v>0</v>
      </c>
      <c r="N5450" s="59">
        <f t="shared" si="458"/>
        <v>0</v>
      </c>
      <c r="O5450" s="59">
        <f t="shared" si="456"/>
        <v>0</v>
      </c>
      <c r="P5450" s="59">
        <f t="shared" si="459"/>
        <v>0</v>
      </c>
    </row>
    <row r="5451" spans="12:16" ht="15" hidden="1" customHeight="1">
      <c r="L5451" s="58" t="str">
        <f t="shared" si="457"/>
        <v>-</v>
      </c>
      <c r="M5451" s="59">
        <f t="shared" si="455"/>
        <v>0</v>
      </c>
      <c r="N5451" s="59">
        <f t="shared" si="458"/>
        <v>0</v>
      </c>
      <c r="O5451" s="59">
        <f t="shared" si="456"/>
        <v>0</v>
      </c>
      <c r="P5451" s="59">
        <f t="shared" si="459"/>
        <v>0</v>
      </c>
    </row>
    <row r="5452" spans="12:16" ht="15" hidden="1" customHeight="1">
      <c r="L5452" s="58" t="str">
        <f t="shared" si="457"/>
        <v>-</v>
      </c>
      <c r="M5452" s="59">
        <f t="shared" si="455"/>
        <v>0</v>
      </c>
      <c r="N5452" s="59">
        <f t="shared" si="458"/>
        <v>0</v>
      </c>
      <c r="O5452" s="59">
        <f t="shared" si="456"/>
        <v>0</v>
      </c>
      <c r="P5452" s="59">
        <f t="shared" si="459"/>
        <v>0</v>
      </c>
    </row>
    <row r="5453" spans="12:16" ht="15" hidden="1" customHeight="1">
      <c r="L5453" s="58" t="str">
        <f t="shared" si="457"/>
        <v>-</v>
      </c>
      <c r="M5453" s="59">
        <f t="shared" si="455"/>
        <v>0</v>
      </c>
      <c r="N5453" s="59">
        <f t="shared" si="458"/>
        <v>0</v>
      </c>
      <c r="O5453" s="59">
        <f t="shared" si="456"/>
        <v>0</v>
      </c>
      <c r="P5453" s="59">
        <f t="shared" si="459"/>
        <v>0</v>
      </c>
    </row>
    <row r="5454" spans="12:16" ht="15" hidden="1" customHeight="1">
      <c r="L5454" s="58" t="str">
        <f t="shared" si="457"/>
        <v>-</v>
      </c>
      <c r="M5454" s="59">
        <f t="shared" si="455"/>
        <v>0</v>
      </c>
      <c r="N5454" s="59">
        <f t="shared" si="458"/>
        <v>0</v>
      </c>
      <c r="O5454" s="59">
        <f t="shared" si="456"/>
        <v>0</v>
      </c>
      <c r="P5454" s="59">
        <f t="shared" si="459"/>
        <v>0</v>
      </c>
    </row>
    <row r="5455" spans="12:16" ht="15" hidden="1" customHeight="1">
      <c r="L5455" s="58" t="str">
        <f t="shared" si="457"/>
        <v>-</v>
      </c>
      <c r="M5455" s="59">
        <f t="shared" si="455"/>
        <v>0</v>
      </c>
      <c r="N5455" s="59">
        <f t="shared" si="458"/>
        <v>0</v>
      </c>
      <c r="O5455" s="59">
        <f t="shared" si="456"/>
        <v>0</v>
      </c>
      <c r="P5455" s="59">
        <f t="shared" si="459"/>
        <v>0</v>
      </c>
    </row>
    <row r="5456" spans="12:16" ht="15" hidden="1" customHeight="1">
      <c r="L5456" s="58" t="str">
        <f t="shared" si="457"/>
        <v>-</v>
      </c>
      <c r="M5456" s="59">
        <f t="shared" si="455"/>
        <v>0</v>
      </c>
      <c r="N5456" s="59">
        <f t="shared" si="458"/>
        <v>0</v>
      </c>
      <c r="O5456" s="59">
        <f t="shared" si="456"/>
        <v>0</v>
      </c>
      <c r="P5456" s="59">
        <f t="shared" si="459"/>
        <v>0</v>
      </c>
    </row>
    <row r="5457" spans="12:16" ht="15" hidden="1" customHeight="1">
      <c r="L5457" s="58" t="str">
        <f t="shared" si="457"/>
        <v>-</v>
      </c>
      <c r="M5457" s="59">
        <f t="shared" si="455"/>
        <v>0</v>
      </c>
      <c r="N5457" s="59">
        <f t="shared" si="458"/>
        <v>0</v>
      </c>
      <c r="O5457" s="59">
        <f t="shared" si="456"/>
        <v>0</v>
      </c>
      <c r="P5457" s="59">
        <f t="shared" si="459"/>
        <v>0</v>
      </c>
    </row>
    <row r="5458" spans="12:16" ht="15" hidden="1" customHeight="1">
      <c r="L5458" s="58" t="str">
        <f t="shared" si="457"/>
        <v>-</v>
      </c>
      <c r="M5458" s="59">
        <f t="shared" si="455"/>
        <v>0</v>
      </c>
      <c r="N5458" s="59">
        <f t="shared" si="458"/>
        <v>0</v>
      </c>
      <c r="O5458" s="59">
        <f t="shared" si="456"/>
        <v>0</v>
      </c>
      <c r="P5458" s="59">
        <f t="shared" si="459"/>
        <v>0</v>
      </c>
    </row>
    <row r="5459" spans="12:16" ht="15" hidden="1" customHeight="1">
      <c r="L5459" s="58" t="str">
        <f t="shared" si="457"/>
        <v>-</v>
      </c>
      <c r="M5459" s="59">
        <f t="shared" ref="M5459:M5497" si="460">IFERROR(VLOOKUP(L5459,$B$19:$E$80,4,FALSE),0)</f>
        <v>0</v>
      </c>
      <c r="N5459" s="59">
        <f t="shared" si="458"/>
        <v>0</v>
      </c>
      <c r="O5459" s="59">
        <f t="shared" ref="O5459:O5497" si="461">IFERROR(IF(ISNUMBER(N5458),N5458,$E$8)*IF(L5459&gt;=$J$8,$E$12,$E$12)/IF(MOD(YEAR(L5459),4),365,366)*IF(ISBLANK(L5458),L5459-$F$5,L5459-L5458),0)</f>
        <v>0</v>
      </c>
      <c r="P5459" s="59">
        <f t="shared" si="459"/>
        <v>0</v>
      </c>
    </row>
    <row r="5460" spans="12:16" ht="15" hidden="1" customHeight="1">
      <c r="L5460" s="58" t="str">
        <f t="shared" si="457"/>
        <v>-</v>
      </c>
      <c r="M5460" s="59">
        <f t="shared" si="460"/>
        <v>0</v>
      </c>
      <c r="N5460" s="59">
        <f t="shared" si="458"/>
        <v>0</v>
      </c>
      <c r="O5460" s="59">
        <f t="shared" si="461"/>
        <v>0</v>
      </c>
      <c r="P5460" s="59">
        <f t="shared" si="459"/>
        <v>0</v>
      </c>
    </row>
    <row r="5461" spans="12:16" ht="15" hidden="1" customHeight="1">
      <c r="L5461" s="58" t="str">
        <f t="shared" si="457"/>
        <v>-</v>
      </c>
      <c r="M5461" s="59">
        <f t="shared" si="460"/>
        <v>0</v>
      </c>
      <c r="N5461" s="59">
        <f t="shared" si="458"/>
        <v>0</v>
      </c>
      <c r="O5461" s="59">
        <f t="shared" si="461"/>
        <v>0</v>
      </c>
      <c r="P5461" s="59">
        <f t="shared" si="459"/>
        <v>0</v>
      </c>
    </row>
    <row r="5462" spans="12:16" ht="15" hidden="1" customHeight="1">
      <c r="L5462" s="58" t="str">
        <f t="shared" si="457"/>
        <v>-</v>
      </c>
      <c r="M5462" s="59">
        <f t="shared" si="460"/>
        <v>0</v>
      </c>
      <c r="N5462" s="59">
        <f t="shared" si="458"/>
        <v>0</v>
      </c>
      <c r="O5462" s="59">
        <f t="shared" si="461"/>
        <v>0</v>
      </c>
      <c r="P5462" s="59">
        <f t="shared" si="459"/>
        <v>0</v>
      </c>
    </row>
    <row r="5463" spans="12:16" ht="15" hidden="1" customHeight="1">
      <c r="L5463" s="58" t="str">
        <f t="shared" si="457"/>
        <v>-</v>
      </c>
      <c r="M5463" s="59">
        <f t="shared" si="460"/>
        <v>0</v>
      </c>
      <c r="N5463" s="59">
        <f t="shared" si="458"/>
        <v>0</v>
      </c>
      <c r="O5463" s="59">
        <f t="shared" si="461"/>
        <v>0</v>
      </c>
      <c r="P5463" s="59">
        <f t="shared" si="459"/>
        <v>0</v>
      </c>
    </row>
    <row r="5464" spans="12:16" ht="15" hidden="1" customHeight="1">
      <c r="L5464" s="58" t="str">
        <f t="shared" si="457"/>
        <v>-</v>
      </c>
      <c r="M5464" s="59">
        <f t="shared" si="460"/>
        <v>0</v>
      </c>
      <c r="N5464" s="59">
        <f t="shared" si="458"/>
        <v>0</v>
      </c>
      <c r="O5464" s="59">
        <f t="shared" si="461"/>
        <v>0</v>
      </c>
      <c r="P5464" s="59">
        <f t="shared" si="459"/>
        <v>0</v>
      </c>
    </row>
    <row r="5465" spans="12:16" ht="15" hidden="1" customHeight="1">
      <c r="L5465" s="58" t="str">
        <f t="shared" si="457"/>
        <v>-</v>
      </c>
      <c r="M5465" s="59">
        <f t="shared" si="460"/>
        <v>0</v>
      </c>
      <c r="N5465" s="59">
        <f t="shared" si="458"/>
        <v>0</v>
      </c>
      <c r="O5465" s="59">
        <f t="shared" si="461"/>
        <v>0</v>
      </c>
      <c r="P5465" s="59">
        <f t="shared" si="459"/>
        <v>0</v>
      </c>
    </row>
    <row r="5466" spans="12:16" ht="15" hidden="1" customHeight="1">
      <c r="L5466" s="58" t="str">
        <f t="shared" si="457"/>
        <v>-</v>
      </c>
      <c r="M5466" s="59">
        <f t="shared" si="460"/>
        <v>0</v>
      </c>
      <c r="N5466" s="59">
        <f t="shared" si="458"/>
        <v>0</v>
      </c>
      <c r="O5466" s="59">
        <f t="shared" si="461"/>
        <v>0</v>
      </c>
      <c r="P5466" s="59">
        <f t="shared" si="459"/>
        <v>0</v>
      </c>
    </row>
    <row r="5467" spans="12:16" ht="15" hidden="1" customHeight="1">
      <c r="L5467" s="58" t="str">
        <f t="shared" si="457"/>
        <v>-</v>
      </c>
      <c r="M5467" s="59">
        <f t="shared" si="460"/>
        <v>0</v>
      </c>
      <c r="N5467" s="59">
        <f t="shared" si="458"/>
        <v>0</v>
      </c>
      <c r="O5467" s="59">
        <f t="shared" si="461"/>
        <v>0</v>
      </c>
      <c r="P5467" s="59">
        <f t="shared" si="459"/>
        <v>0</v>
      </c>
    </row>
    <row r="5468" spans="12:16" ht="15" hidden="1" customHeight="1">
      <c r="L5468" s="58" t="str">
        <f t="shared" si="457"/>
        <v>-</v>
      </c>
      <c r="M5468" s="59">
        <f t="shared" si="460"/>
        <v>0</v>
      </c>
      <c r="N5468" s="59">
        <f t="shared" si="458"/>
        <v>0</v>
      </c>
      <c r="O5468" s="59">
        <f t="shared" si="461"/>
        <v>0</v>
      </c>
      <c r="P5468" s="59">
        <f t="shared" si="459"/>
        <v>0</v>
      </c>
    </row>
    <row r="5469" spans="12:16" ht="15" hidden="1" customHeight="1">
      <c r="L5469" s="58" t="str">
        <f t="shared" si="457"/>
        <v>-</v>
      </c>
      <c r="M5469" s="59">
        <f t="shared" si="460"/>
        <v>0</v>
      </c>
      <c r="N5469" s="59">
        <f t="shared" si="458"/>
        <v>0</v>
      </c>
      <c r="O5469" s="59">
        <f t="shared" si="461"/>
        <v>0</v>
      </c>
      <c r="P5469" s="59">
        <f t="shared" si="459"/>
        <v>0</v>
      </c>
    </row>
    <row r="5470" spans="12:16" ht="15" hidden="1" customHeight="1">
      <c r="L5470" s="58" t="str">
        <f t="shared" si="457"/>
        <v>-</v>
      </c>
      <c r="M5470" s="59">
        <f t="shared" si="460"/>
        <v>0</v>
      </c>
      <c r="N5470" s="59">
        <f t="shared" si="458"/>
        <v>0</v>
      </c>
      <c r="O5470" s="59">
        <f t="shared" si="461"/>
        <v>0</v>
      </c>
      <c r="P5470" s="59">
        <f t="shared" si="459"/>
        <v>0</v>
      </c>
    </row>
    <row r="5471" spans="12:16" ht="15" hidden="1" customHeight="1">
      <c r="L5471" s="58" t="str">
        <f t="shared" si="457"/>
        <v>-</v>
      </c>
      <c r="M5471" s="59">
        <f t="shared" si="460"/>
        <v>0</v>
      </c>
      <c r="N5471" s="59">
        <f t="shared" si="458"/>
        <v>0</v>
      </c>
      <c r="O5471" s="59">
        <f t="shared" si="461"/>
        <v>0</v>
      </c>
      <c r="P5471" s="59">
        <f t="shared" si="459"/>
        <v>0</v>
      </c>
    </row>
    <row r="5472" spans="12:16" ht="15" hidden="1" customHeight="1">
      <c r="L5472" s="58" t="str">
        <f t="shared" si="457"/>
        <v>-</v>
      </c>
      <c r="M5472" s="59">
        <f t="shared" si="460"/>
        <v>0</v>
      </c>
      <c r="N5472" s="59">
        <f t="shared" si="458"/>
        <v>0</v>
      </c>
      <c r="O5472" s="59">
        <f t="shared" si="461"/>
        <v>0</v>
      </c>
      <c r="P5472" s="59">
        <f t="shared" si="459"/>
        <v>0</v>
      </c>
    </row>
    <row r="5473" spans="12:16" ht="15" hidden="1" customHeight="1">
      <c r="L5473" s="58" t="str">
        <f t="shared" ref="L5473:L5497" si="462">IFERROR(IF(MAX(L5472+1,$F$5+1)&gt;Дата_погашения_Займа,"-",MAX(L5472+1,$F$5+1)),"-")</f>
        <v>-</v>
      </c>
      <c r="M5473" s="59">
        <f t="shared" si="460"/>
        <v>0</v>
      </c>
      <c r="N5473" s="59">
        <f t="shared" si="458"/>
        <v>0</v>
      </c>
      <c r="O5473" s="59">
        <f t="shared" si="461"/>
        <v>0</v>
      </c>
      <c r="P5473" s="59">
        <f t="shared" si="459"/>
        <v>0</v>
      </c>
    </row>
    <row r="5474" spans="12:16" ht="15" hidden="1" customHeight="1">
      <c r="L5474" s="58" t="str">
        <f t="shared" si="462"/>
        <v>-</v>
      </c>
      <c r="M5474" s="59">
        <f t="shared" si="460"/>
        <v>0</v>
      </c>
      <c r="N5474" s="59">
        <f t="shared" si="458"/>
        <v>0</v>
      </c>
      <c r="O5474" s="59">
        <f t="shared" si="461"/>
        <v>0</v>
      </c>
      <c r="P5474" s="59">
        <f t="shared" si="459"/>
        <v>0</v>
      </c>
    </row>
    <row r="5475" spans="12:16" ht="15" hidden="1" customHeight="1">
      <c r="L5475" s="58" t="str">
        <f t="shared" si="462"/>
        <v>-</v>
      </c>
      <c r="M5475" s="59">
        <f t="shared" si="460"/>
        <v>0</v>
      </c>
      <c r="N5475" s="59">
        <f t="shared" si="458"/>
        <v>0</v>
      </c>
      <c r="O5475" s="59">
        <f t="shared" si="461"/>
        <v>0</v>
      </c>
      <c r="P5475" s="59">
        <f t="shared" si="459"/>
        <v>0</v>
      </c>
    </row>
    <row r="5476" spans="12:16" ht="15" hidden="1" customHeight="1">
      <c r="L5476" s="58" t="str">
        <f t="shared" si="462"/>
        <v>-</v>
      </c>
      <c r="M5476" s="59">
        <f t="shared" si="460"/>
        <v>0</v>
      </c>
      <c r="N5476" s="59">
        <f t="shared" si="458"/>
        <v>0</v>
      </c>
      <c r="O5476" s="59">
        <f t="shared" si="461"/>
        <v>0</v>
      </c>
      <c r="P5476" s="59">
        <f t="shared" si="459"/>
        <v>0</v>
      </c>
    </row>
    <row r="5477" spans="12:16" ht="15" hidden="1" customHeight="1">
      <c r="L5477" s="58" t="str">
        <f t="shared" si="462"/>
        <v>-</v>
      </c>
      <c r="M5477" s="59">
        <f t="shared" si="460"/>
        <v>0</v>
      </c>
      <c r="N5477" s="59">
        <f t="shared" si="458"/>
        <v>0</v>
      </c>
      <c r="O5477" s="59">
        <f t="shared" si="461"/>
        <v>0</v>
      </c>
      <c r="P5477" s="59">
        <f t="shared" si="459"/>
        <v>0</v>
      </c>
    </row>
    <row r="5478" spans="12:16" ht="15" hidden="1" customHeight="1">
      <c r="L5478" s="58" t="str">
        <f t="shared" si="462"/>
        <v>-</v>
      </c>
      <c r="M5478" s="59">
        <f t="shared" si="460"/>
        <v>0</v>
      </c>
      <c r="N5478" s="59">
        <f t="shared" si="458"/>
        <v>0</v>
      </c>
      <c r="O5478" s="59">
        <f t="shared" si="461"/>
        <v>0</v>
      </c>
      <c r="P5478" s="59">
        <f t="shared" si="459"/>
        <v>0</v>
      </c>
    </row>
    <row r="5479" spans="12:16" ht="15" hidden="1" customHeight="1">
      <c r="L5479" s="58" t="str">
        <f t="shared" si="462"/>
        <v>-</v>
      </c>
      <c r="M5479" s="59">
        <f t="shared" si="460"/>
        <v>0</v>
      </c>
      <c r="N5479" s="59">
        <f t="shared" si="458"/>
        <v>0</v>
      </c>
      <c r="O5479" s="59">
        <f t="shared" si="461"/>
        <v>0</v>
      </c>
      <c r="P5479" s="59">
        <f t="shared" si="459"/>
        <v>0</v>
      </c>
    </row>
    <row r="5480" spans="12:16" ht="15" hidden="1" customHeight="1">
      <c r="L5480" s="58" t="str">
        <f t="shared" si="462"/>
        <v>-</v>
      </c>
      <c r="M5480" s="59">
        <f t="shared" si="460"/>
        <v>0</v>
      </c>
      <c r="N5480" s="59">
        <f t="shared" si="458"/>
        <v>0</v>
      </c>
      <c r="O5480" s="59">
        <f t="shared" si="461"/>
        <v>0</v>
      </c>
      <c r="P5480" s="59">
        <f t="shared" si="459"/>
        <v>0</v>
      </c>
    </row>
    <row r="5481" spans="12:16" ht="15" hidden="1" customHeight="1">
      <c r="L5481" s="58" t="str">
        <f t="shared" si="462"/>
        <v>-</v>
      </c>
      <c r="M5481" s="59">
        <f t="shared" si="460"/>
        <v>0</v>
      </c>
      <c r="N5481" s="59">
        <f t="shared" ref="N5481:N5497" si="463">IF(ISNUMBER(N5480),N5480-M5481,$E$8)</f>
        <v>0</v>
      </c>
      <c r="O5481" s="59">
        <f t="shared" si="461"/>
        <v>0</v>
      </c>
      <c r="P5481" s="59">
        <f t="shared" ref="P5481:P5497" si="464">IFERROR(IF(ISNUMBER(N5480),N5480,$E$8)*3%/IF(MOD(YEAR(L5481),4),365,366)*IF(ISBLANK(L5480),(L5481-$F$5),L5481-L5480),0)</f>
        <v>0</v>
      </c>
    </row>
    <row r="5482" spans="12:16" ht="15" hidden="1" customHeight="1">
      <c r="L5482" s="58" t="str">
        <f t="shared" si="462"/>
        <v>-</v>
      </c>
      <c r="M5482" s="59">
        <f t="shared" si="460"/>
        <v>0</v>
      </c>
      <c r="N5482" s="59">
        <f t="shared" si="463"/>
        <v>0</v>
      </c>
      <c r="O5482" s="59">
        <f t="shared" si="461"/>
        <v>0</v>
      </c>
      <c r="P5482" s="59">
        <f t="shared" si="464"/>
        <v>0</v>
      </c>
    </row>
    <row r="5483" spans="12:16" ht="15" hidden="1" customHeight="1">
      <c r="L5483" s="58" t="str">
        <f t="shared" si="462"/>
        <v>-</v>
      </c>
      <c r="M5483" s="59">
        <f t="shared" si="460"/>
        <v>0</v>
      </c>
      <c r="N5483" s="59">
        <f t="shared" si="463"/>
        <v>0</v>
      </c>
      <c r="O5483" s="59">
        <f t="shared" si="461"/>
        <v>0</v>
      </c>
      <c r="P5483" s="59">
        <f t="shared" si="464"/>
        <v>0</v>
      </c>
    </row>
    <row r="5484" spans="12:16" ht="15" hidden="1" customHeight="1">
      <c r="L5484" s="58" t="str">
        <f t="shared" si="462"/>
        <v>-</v>
      </c>
      <c r="M5484" s="59">
        <f t="shared" si="460"/>
        <v>0</v>
      </c>
      <c r="N5484" s="59">
        <f t="shared" si="463"/>
        <v>0</v>
      </c>
      <c r="O5484" s="59">
        <f t="shared" si="461"/>
        <v>0</v>
      </c>
      <c r="P5484" s="59">
        <f t="shared" si="464"/>
        <v>0</v>
      </c>
    </row>
    <row r="5485" spans="12:16" ht="15" hidden="1" customHeight="1">
      <c r="L5485" s="58" t="str">
        <f t="shared" si="462"/>
        <v>-</v>
      </c>
      <c r="M5485" s="59">
        <f t="shared" si="460"/>
        <v>0</v>
      </c>
      <c r="N5485" s="59">
        <f t="shared" si="463"/>
        <v>0</v>
      </c>
      <c r="O5485" s="59">
        <f t="shared" si="461"/>
        <v>0</v>
      </c>
      <c r="P5485" s="59">
        <f t="shared" si="464"/>
        <v>0</v>
      </c>
    </row>
    <row r="5486" spans="12:16" ht="15" hidden="1" customHeight="1">
      <c r="L5486" s="58" t="str">
        <f t="shared" si="462"/>
        <v>-</v>
      </c>
      <c r="M5486" s="59">
        <f t="shared" si="460"/>
        <v>0</v>
      </c>
      <c r="N5486" s="59">
        <f t="shared" si="463"/>
        <v>0</v>
      </c>
      <c r="O5486" s="59">
        <f t="shared" si="461"/>
        <v>0</v>
      </c>
      <c r="P5486" s="59">
        <f t="shared" si="464"/>
        <v>0</v>
      </c>
    </row>
    <row r="5487" spans="12:16" ht="15" hidden="1" customHeight="1">
      <c r="L5487" s="58" t="str">
        <f t="shared" si="462"/>
        <v>-</v>
      </c>
      <c r="M5487" s="59">
        <f t="shared" si="460"/>
        <v>0</v>
      </c>
      <c r="N5487" s="59">
        <f t="shared" si="463"/>
        <v>0</v>
      </c>
      <c r="O5487" s="59">
        <f t="shared" si="461"/>
        <v>0</v>
      </c>
      <c r="P5487" s="59">
        <f t="shared" si="464"/>
        <v>0</v>
      </c>
    </row>
    <row r="5488" spans="12:16" ht="15" hidden="1" customHeight="1">
      <c r="L5488" s="58" t="str">
        <f t="shared" si="462"/>
        <v>-</v>
      </c>
      <c r="M5488" s="59">
        <f t="shared" si="460"/>
        <v>0</v>
      </c>
      <c r="N5488" s="59">
        <f t="shared" si="463"/>
        <v>0</v>
      </c>
      <c r="O5488" s="59">
        <f t="shared" si="461"/>
        <v>0</v>
      </c>
      <c r="P5488" s="59">
        <f t="shared" si="464"/>
        <v>0</v>
      </c>
    </row>
    <row r="5489" spans="12:16" ht="15" hidden="1" customHeight="1">
      <c r="L5489" s="58" t="str">
        <f t="shared" si="462"/>
        <v>-</v>
      </c>
      <c r="M5489" s="59">
        <f t="shared" si="460"/>
        <v>0</v>
      </c>
      <c r="N5489" s="59">
        <f t="shared" si="463"/>
        <v>0</v>
      </c>
      <c r="O5489" s="59">
        <f t="shared" si="461"/>
        <v>0</v>
      </c>
      <c r="P5489" s="59">
        <f t="shared" si="464"/>
        <v>0</v>
      </c>
    </row>
    <row r="5490" spans="12:16" ht="15" hidden="1" customHeight="1">
      <c r="L5490" s="58" t="str">
        <f t="shared" si="462"/>
        <v>-</v>
      </c>
      <c r="M5490" s="59">
        <f t="shared" si="460"/>
        <v>0</v>
      </c>
      <c r="N5490" s="59">
        <f t="shared" si="463"/>
        <v>0</v>
      </c>
      <c r="O5490" s="59">
        <f t="shared" si="461"/>
        <v>0</v>
      </c>
      <c r="P5490" s="59">
        <f t="shared" si="464"/>
        <v>0</v>
      </c>
    </row>
    <row r="5491" spans="12:16" ht="15" hidden="1" customHeight="1">
      <c r="L5491" s="58" t="str">
        <f t="shared" si="462"/>
        <v>-</v>
      </c>
      <c r="M5491" s="59">
        <f t="shared" si="460"/>
        <v>0</v>
      </c>
      <c r="N5491" s="59">
        <f t="shared" si="463"/>
        <v>0</v>
      </c>
      <c r="O5491" s="59">
        <f t="shared" si="461"/>
        <v>0</v>
      </c>
      <c r="P5491" s="59">
        <f t="shared" si="464"/>
        <v>0</v>
      </c>
    </row>
    <row r="5492" spans="12:16" ht="15" hidden="1" customHeight="1">
      <c r="L5492" s="58" t="str">
        <f t="shared" si="462"/>
        <v>-</v>
      </c>
      <c r="M5492" s="59">
        <f t="shared" si="460"/>
        <v>0</v>
      </c>
      <c r="N5492" s="59">
        <f t="shared" si="463"/>
        <v>0</v>
      </c>
      <c r="O5492" s="59">
        <f t="shared" si="461"/>
        <v>0</v>
      </c>
      <c r="P5492" s="59">
        <f t="shared" si="464"/>
        <v>0</v>
      </c>
    </row>
    <row r="5493" spans="12:16" ht="15" hidden="1" customHeight="1">
      <c r="L5493" s="58" t="str">
        <f t="shared" si="462"/>
        <v>-</v>
      </c>
      <c r="M5493" s="59">
        <f t="shared" si="460"/>
        <v>0</v>
      </c>
      <c r="N5493" s="59">
        <f t="shared" si="463"/>
        <v>0</v>
      </c>
      <c r="O5493" s="59">
        <f t="shared" si="461"/>
        <v>0</v>
      </c>
      <c r="P5493" s="59">
        <f t="shared" si="464"/>
        <v>0</v>
      </c>
    </row>
    <row r="5494" spans="12:16" ht="15" hidden="1" customHeight="1">
      <c r="L5494" s="58" t="str">
        <f t="shared" si="462"/>
        <v>-</v>
      </c>
      <c r="M5494" s="59">
        <f t="shared" si="460"/>
        <v>0</v>
      </c>
      <c r="N5494" s="59">
        <f t="shared" si="463"/>
        <v>0</v>
      </c>
      <c r="O5494" s="59">
        <f t="shared" si="461"/>
        <v>0</v>
      </c>
      <c r="P5494" s="59">
        <f t="shared" si="464"/>
        <v>0</v>
      </c>
    </row>
    <row r="5495" spans="12:16" ht="15" hidden="1" customHeight="1">
      <c r="L5495" s="58" t="str">
        <f t="shared" si="462"/>
        <v>-</v>
      </c>
      <c r="M5495" s="59">
        <f t="shared" si="460"/>
        <v>0</v>
      </c>
      <c r="N5495" s="59">
        <f t="shared" si="463"/>
        <v>0</v>
      </c>
      <c r="O5495" s="59">
        <f t="shared" si="461"/>
        <v>0</v>
      </c>
      <c r="P5495" s="59">
        <f t="shared" si="464"/>
        <v>0</v>
      </c>
    </row>
    <row r="5496" spans="12:16" ht="15" hidden="1" customHeight="1">
      <c r="L5496" s="58" t="str">
        <f t="shared" si="462"/>
        <v>-</v>
      </c>
      <c r="M5496" s="59">
        <f t="shared" si="460"/>
        <v>0</v>
      </c>
      <c r="N5496" s="59">
        <f t="shared" si="463"/>
        <v>0</v>
      </c>
      <c r="O5496" s="59">
        <f t="shared" si="461"/>
        <v>0</v>
      </c>
      <c r="P5496" s="59">
        <f t="shared" si="464"/>
        <v>0</v>
      </c>
    </row>
    <row r="5497" spans="12:16" ht="15" hidden="1" customHeight="1">
      <c r="L5497" s="58" t="str">
        <f t="shared" si="462"/>
        <v>-</v>
      </c>
      <c r="M5497" s="59">
        <f t="shared" si="460"/>
        <v>0</v>
      </c>
      <c r="N5497" s="59">
        <f t="shared" si="463"/>
        <v>0</v>
      </c>
      <c r="O5497" s="59">
        <f t="shared" si="461"/>
        <v>0</v>
      </c>
      <c r="P5497" s="59">
        <f t="shared" si="464"/>
        <v>0</v>
      </c>
    </row>
    <row r="5498" spans="12:16" ht="15" hidden="1" customHeight="1">
      <c r="L5498" s="58"/>
      <c r="M5498" s="60">
        <f>SUM(M19:M5497)</f>
        <v>100000</v>
      </c>
      <c r="O5498" s="60">
        <f>SUM(O19:O5497)</f>
        <v>21214.041095890771</v>
      </c>
      <c r="P5498" s="60">
        <f>SUM(P19:P5497)</f>
        <v>12728.424657534537</v>
      </c>
    </row>
    <row r="5499" spans="12:16" ht="15" hidden="1" customHeight="1"/>
    <row r="5500" spans="12:16" ht="15" hidden="1" customHeight="1"/>
    <row r="5501" spans="12:16" ht="15" hidden="1" customHeight="1"/>
    <row r="5502" spans="12:16" ht="15" hidden="1" customHeight="1"/>
    <row r="5503" spans="12:16" ht="15" hidden="1" customHeight="1"/>
    <row r="5504" spans="12:16" ht="15" hidden="1" customHeight="1"/>
    <row r="5505" ht="15" hidden="1" customHeight="1"/>
    <row r="5506" ht="15" hidden="1" customHeight="1"/>
    <row r="5507" ht="15" hidden="1" customHeight="1"/>
    <row r="5508" ht="15" hidden="1" customHeight="1"/>
    <row r="5509" ht="15" hidden="1" customHeight="1"/>
    <row r="5510" ht="15" hidden="1" customHeight="1"/>
    <row r="5511" ht="15" hidden="1" customHeight="1"/>
    <row r="5512" ht="15" hidden="1" customHeight="1"/>
    <row r="5513" ht="15" hidden="1" customHeight="1"/>
    <row r="5514" ht="15" hidden="1" customHeight="1"/>
    <row r="5515" ht="15" hidden="1" customHeight="1"/>
    <row r="5516" ht="15" hidden="1" customHeight="1"/>
    <row r="5517" ht="15" hidden="1" customHeight="1"/>
    <row r="5518" ht="15" hidden="1" customHeight="1"/>
    <row r="5519" ht="15" hidden="1" customHeight="1"/>
    <row r="5520" ht="15" hidden="1" customHeight="1"/>
    <row r="5521" ht="15" hidden="1" customHeight="1"/>
    <row r="5522" ht="15" hidden="1" customHeight="1"/>
    <row r="5523" ht="15" hidden="1" customHeight="1"/>
    <row r="5524" ht="15" hidden="1" customHeight="1"/>
    <row r="5525" ht="15" hidden="1" customHeight="1"/>
    <row r="5526" ht="15" hidden="1" customHeight="1"/>
    <row r="5527" ht="15" hidden="1" customHeight="1"/>
    <row r="5528" ht="15" hidden="1" customHeight="1"/>
    <row r="5529" ht="15" hidden="1" customHeight="1"/>
    <row r="5530" ht="15" hidden="1" customHeight="1"/>
    <row r="5531" ht="15" hidden="1" customHeight="1"/>
    <row r="5532" ht="15" hidden="1" customHeight="1"/>
    <row r="5533" ht="15" hidden="1" customHeight="1"/>
    <row r="5534" ht="15" hidden="1" customHeight="1"/>
    <row r="5535" ht="15" hidden="1" customHeight="1"/>
    <row r="5536" ht="15" hidden="1" customHeight="1"/>
    <row r="5537" ht="15" hidden="1" customHeight="1"/>
    <row r="5538" ht="15" hidden="1" customHeight="1"/>
    <row r="5539" ht="15" hidden="1" customHeight="1"/>
    <row r="5540" ht="15" hidden="1" customHeight="1"/>
    <row r="5541" ht="15" hidden="1" customHeight="1"/>
    <row r="5542" ht="15" hidden="1" customHeight="1"/>
    <row r="5543" ht="15" hidden="1" customHeight="1"/>
    <row r="5544" ht="15" hidden="1" customHeight="1"/>
    <row r="5545" ht="15" hidden="1" customHeight="1"/>
    <row r="5546" ht="15" hidden="1" customHeight="1"/>
    <row r="5547" ht="15" hidden="1" customHeight="1"/>
    <row r="5548" ht="15" hidden="1" customHeight="1"/>
    <row r="5549" ht="15" hidden="1" customHeight="1"/>
    <row r="5550" ht="15" hidden="1" customHeight="1"/>
    <row r="5551" ht="15" hidden="1" customHeight="1"/>
    <row r="5552" ht="15" hidden="1" customHeight="1"/>
    <row r="5553" ht="15" hidden="1" customHeight="1"/>
    <row r="5554" ht="15" hidden="1" customHeight="1"/>
    <row r="5555" ht="15" hidden="1" customHeight="1"/>
    <row r="5556" ht="15" hidden="1" customHeight="1"/>
    <row r="5557" ht="15" hidden="1" customHeight="1"/>
    <row r="5558" ht="15" hidden="1" customHeight="1"/>
    <row r="5559" ht="15" hidden="1" customHeight="1"/>
    <row r="5560" ht="15" hidden="1" customHeight="1"/>
    <row r="5561" ht="15" hidden="1" customHeight="1"/>
    <row r="5562" ht="15" hidden="1" customHeight="1"/>
    <row r="5563" ht="15" hidden="1" customHeight="1"/>
    <row r="5564" ht="15" hidden="1" customHeight="1"/>
    <row r="5565" ht="15" hidden="1" customHeight="1"/>
    <row r="5566" ht="15" hidden="1" customHeight="1"/>
    <row r="5567" ht="15" hidden="1" customHeight="1"/>
    <row r="5568" ht="15" hidden="1" customHeight="1"/>
    <row r="5569" ht="15" hidden="1" customHeight="1"/>
    <row r="5570" ht="15" hidden="1" customHeight="1"/>
    <row r="5571" ht="15" hidden="1" customHeight="1"/>
    <row r="5572" ht="15" hidden="1" customHeight="1"/>
    <row r="5573" ht="15" hidden="1" customHeight="1"/>
    <row r="5574" ht="15" hidden="1" customHeight="1"/>
    <row r="5575" ht="15" hidden="1" customHeight="1"/>
    <row r="5576" ht="15" hidden="1" customHeight="1"/>
    <row r="5577" ht="15" hidden="1" customHeight="1"/>
    <row r="5578" ht="15" hidden="1" customHeight="1"/>
    <row r="5579" ht="15" hidden="1" customHeight="1"/>
    <row r="5580" ht="15" hidden="1" customHeight="1"/>
    <row r="5581" ht="15" hidden="1" customHeight="1"/>
    <row r="5582" ht="15" hidden="1" customHeight="1"/>
    <row r="5583" ht="15" hidden="1" customHeight="1"/>
    <row r="5584" ht="15" hidden="1" customHeight="1"/>
    <row r="5585" ht="15" hidden="1" customHeight="1"/>
    <row r="5586" ht="15" hidden="1" customHeight="1"/>
    <row r="5587" ht="15" hidden="1" customHeight="1"/>
    <row r="5588" ht="15" hidden="1" customHeight="1"/>
    <row r="5589" ht="15" hidden="1" customHeight="1"/>
    <row r="5590" ht="15" hidden="1" customHeight="1"/>
    <row r="5591" ht="15" hidden="1" customHeight="1"/>
    <row r="5592" ht="15" hidden="1" customHeight="1"/>
    <row r="5593" ht="15" hidden="1" customHeight="1"/>
    <row r="5594" ht="15" hidden="1" customHeight="1"/>
    <row r="5595" ht="15" hidden="1" customHeight="1"/>
    <row r="5596" ht="15" hidden="1" customHeight="1"/>
    <row r="5597" ht="15" hidden="1" customHeight="1"/>
    <row r="5598" ht="15" hidden="1" customHeight="1"/>
    <row r="5599" ht="15" hidden="1" customHeight="1"/>
    <row r="5600" ht="15" hidden="1" customHeight="1"/>
    <row r="5601" ht="15" hidden="1" customHeight="1"/>
    <row r="5602" ht="15" hidden="1" customHeight="1"/>
    <row r="5603" ht="15" hidden="1" customHeight="1"/>
    <row r="5604" ht="15" hidden="1" customHeight="1"/>
    <row r="5605" ht="15" hidden="1" customHeight="1"/>
    <row r="5606" ht="15" hidden="1" customHeight="1"/>
    <row r="5607" ht="15" hidden="1" customHeight="1"/>
    <row r="5608" ht="15" hidden="1" customHeight="1"/>
    <row r="5609" ht="15" hidden="1" customHeight="1"/>
    <row r="5610" ht="15" hidden="1" customHeight="1"/>
    <row r="5611" ht="15" hidden="1" customHeight="1"/>
    <row r="5612" ht="15" hidden="1" customHeight="1"/>
    <row r="5613" ht="15" hidden="1" customHeight="1"/>
    <row r="5614" ht="15" hidden="1" customHeight="1"/>
    <row r="5615" ht="15" hidden="1" customHeight="1"/>
    <row r="5616" ht="15" hidden="1" customHeight="1"/>
    <row r="5617" ht="15" hidden="1" customHeight="1"/>
    <row r="5618" ht="15" hidden="1" customHeight="1"/>
    <row r="5619" ht="15" hidden="1" customHeight="1"/>
    <row r="5620" ht="15" hidden="1" customHeight="1"/>
    <row r="5621" ht="15" hidden="1" customHeight="1"/>
    <row r="5622" ht="15" hidden="1" customHeight="1"/>
    <row r="5623" ht="15" hidden="1" customHeight="1"/>
    <row r="5624" ht="15" hidden="1" customHeight="1"/>
    <row r="5625" ht="15" hidden="1" customHeight="1"/>
    <row r="5626" ht="15" hidden="1" customHeight="1"/>
    <row r="5627" ht="15" hidden="1" customHeight="1"/>
    <row r="5628" ht="15" hidden="1" customHeight="1"/>
    <row r="5629" ht="15" hidden="1" customHeight="1"/>
    <row r="5630" ht="15" hidden="1" customHeight="1"/>
    <row r="5631" ht="15" hidden="1" customHeight="1"/>
    <row r="5632" ht="15" hidden="1" customHeight="1"/>
    <row r="5633" ht="15" hidden="1" customHeight="1"/>
    <row r="5634" ht="15" hidden="1" customHeight="1"/>
    <row r="5635" ht="15" hidden="1" customHeight="1"/>
    <row r="5636" ht="15" hidden="1" customHeight="1"/>
    <row r="5637" ht="15" hidden="1" customHeight="1"/>
    <row r="5638" ht="15" hidden="1" customHeight="1"/>
    <row r="5639" ht="15" hidden="1" customHeight="1"/>
    <row r="5640" ht="15" hidden="1" customHeight="1"/>
    <row r="5641" ht="15" hidden="1" customHeight="1"/>
    <row r="5642" ht="15" hidden="1" customHeight="1"/>
    <row r="5643" ht="15" hidden="1" customHeight="1"/>
    <row r="5644" ht="15" hidden="1" customHeight="1"/>
    <row r="5645" ht="15" hidden="1" customHeight="1"/>
    <row r="5646" ht="15" hidden="1" customHeight="1"/>
    <row r="5647" ht="15" hidden="1" customHeight="1"/>
    <row r="5648" ht="15" hidden="1" customHeight="1"/>
    <row r="5649" ht="15" hidden="1" customHeight="1"/>
    <row r="5650" ht="15" hidden="1" customHeight="1"/>
    <row r="5651" ht="15" hidden="1" customHeight="1"/>
    <row r="5652" ht="15" hidden="1" customHeight="1"/>
    <row r="5653" ht="15" hidden="1" customHeight="1"/>
    <row r="5654" ht="15" hidden="1" customHeight="1"/>
    <row r="5655" ht="15" hidden="1" customHeight="1"/>
    <row r="5656" ht="15" hidden="1" customHeight="1"/>
    <row r="5657" ht="15" hidden="1" customHeight="1"/>
    <row r="5658" ht="15" hidden="1" customHeight="1"/>
    <row r="5659" ht="15" hidden="1" customHeight="1"/>
    <row r="5660" ht="15" hidden="1" customHeight="1"/>
    <row r="5661" ht="15" hidden="1" customHeight="1"/>
    <row r="5662" ht="15" hidden="1" customHeight="1"/>
    <row r="5663" ht="15" hidden="1" customHeight="1"/>
    <row r="5664" ht="15" hidden="1" customHeight="1"/>
    <row r="5665" ht="15" hidden="1" customHeight="1"/>
    <row r="5666" ht="15" hidden="1" customHeight="1"/>
    <row r="5667" ht="15" hidden="1" customHeight="1"/>
    <row r="5668" ht="15" hidden="1" customHeight="1"/>
    <row r="5669" ht="15" hidden="1" customHeight="1"/>
    <row r="5670" ht="15" hidden="1" customHeight="1"/>
    <row r="5671" ht="15" hidden="1" customHeight="1"/>
    <row r="5672" ht="15" hidden="1" customHeight="1"/>
    <row r="5673" ht="15" hidden="1" customHeight="1"/>
    <row r="5674" ht="15" hidden="1" customHeight="1"/>
    <row r="5675" ht="15" hidden="1" customHeight="1"/>
    <row r="5676" ht="15" hidden="1" customHeight="1"/>
    <row r="5677" ht="15" hidden="1" customHeight="1"/>
    <row r="5678" ht="15" hidden="1" customHeight="1"/>
    <row r="5679" ht="15" hidden="1" customHeight="1"/>
    <row r="5680" ht="15" hidden="1" customHeight="1"/>
    <row r="5681" ht="15" hidden="1" customHeight="1"/>
    <row r="5682" ht="15" hidden="1" customHeight="1"/>
    <row r="5683" ht="15" hidden="1" customHeight="1"/>
    <row r="5684" ht="15" hidden="1" customHeight="1"/>
    <row r="5685" ht="15" hidden="1" customHeight="1"/>
    <row r="5686" ht="15" hidden="1" customHeight="1"/>
    <row r="5687" ht="15" hidden="1" customHeight="1"/>
    <row r="5688" ht="15" hidden="1" customHeight="1"/>
    <row r="5689" ht="15" hidden="1" customHeight="1"/>
    <row r="5690" ht="15" hidden="1" customHeight="1"/>
    <row r="5691" ht="15" hidden="1" customHeight="1"/>
    <row r="5692" ht="15" hidden="1" customHeight="1"/>
    <row r="5693" ht="15" hidden="1" customHeight="1"/>
    <row r="5694" ht="15" hidden="1" customHeight="1"/>
    <row r="5695" ht="15" hidden="1" customHeight="1"/>
    <row r="5696" ht="15" hidden="1" customHeight="1"/>
    <row r="5697" ht="15" hidden="1" customHeight="1"/>
    <row r="5698" ht="15" hidden="1" customHeight="1"/>
    <row r="5699" ht="15" hidden="1" customHeight="1"/>
    <row r="5700" ht="15" hidden="1" customHeight="1"/>
    <row r="5701" ht="15" hidden="1" customHeight="1"/>
    <row r="5702" ht="15" hidden="1" customHeight="1"/>
    <row r="5703" ht="15" hidden="1" customHeight="1"/>
    <row r="5704" ht="15" hidden="1" customHeight="1"/>
    <row r="5705" ht="15" hidden="1" customHeight="1"/>
    <row r="5706" ht="15" hidden="1" customHeight="1"/>
    <row r="5707" ht="15" hidden="1" customHeight="1"/>
    <row r="5708" ht="15" hidden="1" customHeight="1"/>
    <row r="5709" ht="15" hidden="1" customHeight="1"/>
    <row r="5710" ht="15" hidden="1" customHeight="1"/>
    <row r="5711" ht="15" hidden="1" customHeight="1"/>
    <row r="5712" ht="15" hidden="1" customHeight="1"/>
    <row r="5713" ht="15" hidden="1" customHeight="1"/>
    <row r="5714" ht="15" hidden="1" customHeight="1"/>
    <row r="5715" ht="15" hidden="1" customHeight="1"/>
    <row r="5716" ht="15" hidden="1" customHeight="1"/>
    <row r="5717" ht="15" hidden="1" customHeight="1"/>
    <row r="5718" ht="15" hidden="1" customHeight="1"/>
    <row r="5719" ht="15" hidden="1" customHeight="1"/>
    <row r="5720" ht="15" hidden="1" customHeight="1"/>
    <row r="5721" ht="15" hidden="1" customHeight="1"/>
    <row r="5722" ht="15" hidden="1" customHeight="1"/>
    <row r="5723" ht="15" hidden="1" customHeight="1"/>
    <row r="5724" ht="15" hidden="1" customHeight="1"/>
    <row r="5725" ht="15" hidden="1" customHeight="1"/>
    <row r="5726" ht="15" hidden="1" customHeight="1"/>
    <row r="5727" ht="15" hidden="1" customHeight="1"/>
    <row r="5728" ht="15" hidden="1" customHeight="1"/>
    <row r="5729" ht="15" hidden="1" customHeight="1"/>
    <row r="5730" ht="15" hidden="1" customHeight="1"/>
    <row r="5731" ht="15" hidden="1" customHeight="1"/>
    <row r="5732" ht="15" hidden="1" customHeight="1"/>
    <row r="5733" ht="15" hidden="1" customHeight="1"/>
    <row r="5734" ht="15" hidden="1" customHeight="1"/>
    <row r="5735" ht="15" hidden="1" customHeight="1"/>
    <row r="5736" ht="15" hidden="1" customHeight="1"/>
    <row r="5737" ht="15" hidden="1" customHeight="1"/>
    <row r="5738" ht="15" hidden="1" customHeight="1"/>
    <row r="5739" ht="15" hidden="1" customHeight="1"/>
    <row r="5740" ht="15" hidden="1" customHeight="1"/>
    <row r="5741" ht="15" hidden="1" customHeight="1"/>
    <row r="5742" ht="15" hidden="1" customHeight="1"/>
    <row r="5743" ht="15" hidden="1" customHeight="1"/>
    <row r="5744" ht="15" hidden="1" customHeight="1"/>
    <row r="5745" ht="15" hidden="1" customHeight="1"/>
    <row r="5746" ht="15" hidden="1" customHeight="1"/>
    <row r="5747" ht="15" hidden="1" customHeight="1"/>
    <row r="5748" ht="15" hidden="1" customHeight="1"/>
    <row r="5749" ht="15" hidden="1" customHeight="1"/>
    <row r="5750" ht="15" hidden="1" customHeight="1"/>
    <row r="5751" ht="15" hidden="1" customHeight="1"/>
    <row r="5752" ht="15" hidden="1" customHeight="1"/>
    <row r="5753" ht="15" hidden="1" customHeight="1"/>
    <row r="5754" ht="15" hidden="1" customHeight="1"/>
    <row r="5755" ht="15" hidden="1" customHeight="1"/>
    <row r="5756" ht="15" hidden="1" customHeight="1"/>
    <row r="5757" ht="15" hidden="1" customHeight="1"/>
    <row r="5758" ht="15" hidden="1" customHeight="1"/>
    <row r="5759" ht="15" hidden="1" customHeight="1"/>
    <row r="5760" ht="15" hidden="1" customHeight="1"/>
    <row r="5761" ht="15" hidden="1" customHeight="1"/>
    <row r="5762" ht="15" hidden="1" customHeight="1"/>
    <row r="5763" ht="15" hidden="1" customHeight="1"/>
    <row r="5764" ht="15" hidden="1" customHeight="1"/>
    <row r="5765" ht="15" hidden="1" customHeight="1"/>
    <row r="5766" ht="15" hidden="1" customHeight="1"/>
    <row r="5767" ht="15" hidden="1" customHeight="1"/>
    <row r="5768" ht="15" hidden="1" customHeight="1"/>
    <row r="5769" ht="15" hidden="1" customHeight="1"/>
    <row r="5770" ht="15" hidden="1" customHeight="1"/>
    <row r="5771" ht="15" hidden="1" customHeight="1"/>
    <row r="5772" ht="15" hidden="1" customHeight="1"/>
    <row r="5773" ht="15" hidden="1" customHeight="1"/>
    <row r="5774" ht="15" hidden="1" customHeight="1"/>
    <row r="5775" ht="15" hidden="1" customHeight="1"/>
    <row r="5776" ht="15" hidden="1" customHeight="1"/>
    <row r="5777" ht="15" hidden="1" customHeight="1"/>
    <row r="5778" ht="15" hidden="1" customHeight="1"/>
    <row r="5779" ht="15" hidden="1" customHeight="1"/>
    <row r="5780" ht="15" hidden="1" customHeight="1"/>
    <row r="5781" ht="15" hidden="1" customHeight="1"/>
    <row r="5782" ht="15" hidden="1" customHeight="1"/>
    <row r="5783" ht="15" hidden="1" customHeight="1"/>
    <row r="5784" ht="15" hidden="1" customHeight="1"/>
    <row r="5785" ht="15" hidden="1" customHeight="1"/>
    <row r="5786" ht="15" hidden="1" customHeight="1"/>
    <row r="5787" ht="15" hidden="1" customHeight="1"/>
    <row r="5788" ht="15" hidden="1" customHeight="1"/>
    <row r="5789" ht="15" hidden="1" customHeight="1"/>
    <row r="5790" ht="15" hidden="1" customHeight="1"/>
    <row r="5791" ht="15" hidden="1" customHeight="1"/>
    <row r="5792" ht="15" hidden="1" customHeight="1"/>
    <row r="5793" ht="15" hidden="1" customHeight="1"/>
    <row r="5794" ht="15" hidden="1" customHeight="1"/>
    <row r="5795" ht="15" hidden="1" customHeight="1"/>
    <row r="5796" ht="15" hidden="1" customHeight="1"/>
    <row r="5797" ht="15" hidden="1" customHeight="1"/>
    <row r="5798" ht="15" hidden="1" customHeight="1"/>
    <row r="5799" ht="15" hidden="1" customHeight="1"/>
    <row r="5800" ht="15" hidden="1" customHeight="1"/>
    <row r="5801" ht="15" hidden="1" customHeight="1"/>
    <row r="5802" ht="15" hidden="1" customHeight="1"/>
    <row r="5803" ht="15" hidden="1" customHeight="1"/>
    <row r="5804" ht="15" hidden="1" customHeight="1"/>
    <row r="5805" ht="15" hidden="1" customHeight="1"/>
    <row r="5806" ht="15" hidden="1" customHeight="1"/>
    <row r="5807" ht="15" hidden="1" customHeight="1"/>
    <row r="5808" ht="15" hidden="1" customHeight="1"/>
    <row r="5809" ht="15" hidden="1" customHeight="1"/>
    <row r="5810" ht="15" hidden="1" customHeight="1"/>
    <row r="5811" ht="15" hidden="1" customHeight="1"/>
    <row r="5812" ht="15" hidden="1" customHeight="1"/>
    <row r="5813" ht="15" hidden="1" customHeight="1"/>
    <row r="5814" ht="15" hidden="1" customHeight="1"/>
    <row r="5815" ht="15" hidden="1" customHeight="1"/>
    <row r="5816" ht="15" hidden="1" customHeight="1"/>
    <row r="5817" ht="15" hidden="1" customHeight="1"/>
    <row r="5818" ht="15" hidden="1" customHeight="1"/>
    <row r="5819" ht="15" hidden="1" customHeight="1"/>
    <row r="5820" ht="15" hidden="1" customHeight="1"/>
    <row r="5821" ht="15" hidden="1" customHeight="1"/>
    <row r="5822" ht="15" hidden="1" customHeight="1"/>
    <row r="5823" ht="15" hidden="1" customHeight="1"/>
    <row r="5824" ht="15" hidden="1" customHeight="1"/>
    <row r="5825" ht="15" hidden="1" customHeight="1"/>
    <row r="5826" ht="15" hidden="1" customHeight="1"/>
    <row r="5827" ht="15" hidden="1" customHeight="1"/>
    <row r="5828" ht="15" hidden="1" customHeight="1"/>
    <row r="5829" ht="15" hidden="1" customHeight="1"/>
    <row r="5830" ht="15" hidden="1" customHeight="1"/>
    <row r="5831" ht="15" hidden="1" customHeight="1"/>
    <row r="5832" ht="15" hidden="1" customHeight="1"/>
    <row r="5833" ht="15" hidden="1" customHeight="1"/>
    <row r="5834" ht="15" hidden="1" customHeight="1"/>
    <row r="5835" ht="15" hidden="1" customHeight="1"/>
    <row r="5836" ht="15" hidden="1" customHeight="1"/>
    <row r="5837" ht="15" hidden="1" customHeight="1"/>
    <row r="5838" ht="15" hidden="1" customHeight="1"/>
    <row r="5839" ht="15" hidden="1" customHeight="1"/>
    <row r="5840" ht="15" hidden="1" customHeight="1"/>
    <row r="5841" ht="15" hidden="1" customHeight="1"/>
    <row r="5842" ht="15" hidden="1" customHeight="1"/>
    <row r="5843" ht="15" hidden="1" customHeight="1"/>
    <row r="5844" ht="15" hidden="1" customHeight="1"/>
    <row r="5845" ht="15" hidden="1" customHeight="1"/>
    <row r="5846" ht="15" hidden="1" customHeight="1"/>
    <row r="5847" ht="15" hidden="1" customHeight="1"/>
    <row r="5848" ht="15" hidden="1" customHeight="1"/>
    <row r="5849" ht="15" hidden="1" customHeight="1"/>
    <row r="5850" ht="15" hidden="1" customHeight="1"/>
    <row r="5851" ht="15" hidden="1" customHeight="1"/>
    <row r="5852" ht="15" hidden="1" customHeight="1"/>
    <row r="5853" ht="15" hidden="1" customHeight="1"/>
    <row r="5854" ht="15" hidden="1" customHeight="1"/>
    <row r="5855" ht="15" hidden="1" customHeight="1"/>
    <row r="5856" ht="15" hidden="1" customHeight="1"/>
    <row r="5857" ht="15" hidden="1" customHeight="1"/>
    <row r="5858" ht="15" hidden="1" customHeight="1"/>
    <row r="5859" ht="15" hidden="1" customHeight="1"/>
    <row r="5860" ht="15" hidden="1" customHeight="1"/>
    <row r="5861" ht="15" hidden="1" customHeight="1"/>
    <row r="5862" ht="15" hidden="1" customHeight="1"/>
    <row r="5863" ht="15" hidden="1" customHeight="1"/>
    <row r="5864" ht="15" hidden="1" customHeight="1"/>
    <row r="5865" ht="15" hidden="1" customHeight="1"/>
    <row r="5866" ht="15" hidden="1" customHeight="1"/>
    <row r="5867" ht="15" hidden="1" customHeight="1"/>
    <row r="5868" ht="15" hidden="1" customHeight="1"/>
    <row r="5869" ht="15" hidden="1" customHeight="1"/>
    <row r="5870" ht="15" hidden="1" customHeight="1"/>
    <row r="5871" ht="15" hidden="1" customHeight="1"/>
    <row r="5872" ht="15" hidden="1" customHeight="1"/>
    <row r="5873" ht="15" hidden="1" customHeight="1"/>
    <row r="5874" ht="15" hidden="1" customHeight="1"/>
    <row r="5875" ht="15" hidden="1" customHeight="1"/>
    <row r="5876" ht="15" hidden="1" customHeight="1"/>
    <row r="5877" ht="15" hidden="1" customHeight="1"/>
    <row r="5878" ht="15" hidden="1" customHeight="1"/>
    <row r="5879" ht="15" hidden="1" customHeight="1"/>
    <row r="5880" ht="15" hidden="1" customHeight="1"/>
    <row r="5881" ht="15" hidden="1" customHeight="1"/>
    <row r="5882" ht="15" hidden="1" customHeight="1"/>
    <row r="5883" ht="15" hidden="1" customHeight="1"/>
    <row r="5884" ht="15" hidden="1" customHeight="1"/>
    <row r="5885" ht="15" hidden="1" customHeight="1"/>
    <row r="5886" ht="15" hidden="1" customHeight="1"/>
    <row r="5887" ht="15" hidden="1" customHeight="1"/>
    <row r="5888" ht="15" hidden="1" customHeight="1"/>
    <row r="5889" ht="15" hidden="1" customHeight="1"/>
    <row r="5890" ht="15" hidden="1" customHeight="1"/>
    <row r="5891" ht="15" hidden="1" customHeight="1"/>
    <row r="5892" ht="15" hidden="1" customHeight="1"/>
    <row r="5893" ht="15" hidden="1" customHeight="1"/>
    <row r="5894" ht="15" hidden="1" customHeight="1"/>
    <row r="5895" ht="15" hidden="1" customHeight="1"/>
    <row r="5896" ht="15" hidden="1" customHeight="1"/>
    <row r="5897" ht="15" hidden="1" customHeight="1"/>
    <row r="5898" ht="15" hidden="1" customHeight="1"/>
    <row r="5899" ht="15" hidden="1" customHeight="1"/>
    <row r="5900" ht="15" hidden="1" customHeight="1"/>
    <row r="5901" ht="15" hidden="1" customHeight="1"/>
    <row r="5902" ht="15" hidden="1" customHeight="1"/>
    <row r="5903" ht="15" hidden="1" customHeight="1"/>
    <row r="5904" ht="15" hidden="1" customHeight="1"/>
    <row r="5905" ht="15" hidden="1" customHeight="1"/>
    <row r="5906" ht="15" hidden="1" customHeight="1"/>
    <row r="5907" ht="15" hidden="1" customHeight="1"/>
    <row r="5908" ht="15" hidden="1" customHeight="1"/>
    <row r="5909" ht="15" hidden="1" customHeight="1"/>
    <row r="5910" ht="15" hidden="1" customHeight="1"/>
    <row r="5911" ht="15" hidden="1" customHeight="1"/>
    <row r="5912" ht="15" hidden="1" customHeight="1"/>
    <row r="5913" ht="15" hidden="1" customHeight="1"/>
    <row r="5914" ht="15" hidden="1" customHeight="1"/>
    <row r="5915" ht="15" hidden="1" customHeight="1"/>
    <row r="5916" ht="15" hidden="1" customHeight="1"/>
    <row r="5917" ht="15" hidden="1" customHeight="1"/>
    <row r="5918" ht="15" hidden="1" customHeight="1"/>
    <row r="5919" ht="15" hidden="1" customHeight="1"/>
    <row r="5920" ht="15" hidden="1" customHeight="1"/>
    <row r="5921" ht="15" hidden="1" customHeight="1"/>
    <row r="5922" ht="15" hidden="1" customHeight="1"/>
    <row r="5923" ht="15" hidden="1" customHeight="1"/>
    <row r="5924" ht="15" hidden="1" customHeight="1"/>
    <row r="5925" ht="15" hidden="1" customHeight="1"/>
    <row r="5926" ht="15" hidden="1" customHeight="1"/>
    <row r="5927" ht="15" hidden="1" customHeight="1"/>
    <row r="5928" ht="15" hidden="1" customHeight="1"/>
    <row r="5929" ht="15" hidden="1" customHeight="1"/>
    <row r="5930" ht="15" hidden="1" customHeight="1"/>
    <row r="5931" ht="15" hidden="1" customHeight="1"/>
    <row r="5932" ht="15" hidden="1" customHeight="1"/>
    <row r="5933" ht="15" hidden="1" customHeight="1"/>
    <row r="5934" ht="15" hidden="1" customHeight="1"/>
    <row r="5935" ht="15" hidden="1" customHeight="1"/>
    <row r="5936" ht="15" hidden="1" customHeight="1"/>
    <row r="5937" ht="15" hidden="1" customHeight="1"/>
    <row r="5938" ht="15" hidden="1" customHeight="1"/>
    <row r="5939" ht="15" hidden="1" customHeight="1"/>
    <row r="5940" ht="15" hidden="1" customHeight="1"/>
    <row r="5941" ht="15" hidden="1" customHeight="1"/>
    <row r="5942" ht="15" hidden="1" customHeight="1"/>
    <row r="5943" ht="15" hidden="1" customHeight="1"/>
    <row r="5944" ht="15" hidden="1" customHeight="1"/>
    <row r="5945" ht="15" hidden="1" customHeight="1"/>
    <row r="5946" ht="15" hidden="1" customHeight="1"/>
    <row r="5947" ht="15" hidden="1" customHeight="1"/>
    <row r="5948" ht="15" hidden="1" customHeight="1"/>
    <row r="5949" ht="15" hidden="1" customHeight="1"/>
    <row r="5950" ht="15" hidden="1" customHeight="1"/>
    <row r="5951" ht="15" hidden="1" customHeight="1"/>
    <row r="5952" ht="15" hidden="1" customHeight="1"/>
    <row r="5953" ht="15" hidden="1" customHeight="1"/>
    <row r="5954" ht="15" hidden="1" customHeight="1"/>
    <row r="5955" ht="15" hidden="1" customHeight="1"/>
    <row r="5956" ht="15" hidden="1" customHeight="1"/>
    <row r="5957" ht="15" hidden="1" customHeight="1"/>
    <row r="5958" ht="15" hidden="1" customHeight="1"/>
    <row r="5959" ht="15" hidden="1" customHeight="1"/>
    <row r="5960" ht="15" hidden="1" customHeight="1"/>
    <row r="5961" ht="15" hidden="1" customHeight="1"/>
    <row r="5962" ht="15" hidden="1" customHeight="1"/>
    <row r="5963" ht="15" hidden="1" customHeight="1"/>
    <row r="5964" ht="15" hidden="1" customHeight="1"/>
    <row r="5965" ht="15" hidden="1" customHeight="1"/>
    <row r="5966" ht="15" hidden="1" customHeight="1"/>
    <row r="5967" ht="15" hidden="1" customHeight="1"/>
    <row r="5968" ht="15" hidden="1" customHeight="1"/>
    <row r="5969" ht="15" hidden="1" customHeight="1"/>
    <row r="5970" ht="15" hidden="1" customHeight="1"/>
    <row r="5971" ht="15" hidden="1" customHeight="1"/>
    <row r="5972" ht="15" hidden="1" customHeight="1"/>
    <row r="5973" ht="15" hidden="1" customHeight="1"/>
    <row r="5974" ht="15" hidden="1" customHeight="1"/>
    <row r="5975" ht="15" hidden="1" customHeight="1"/>
    <row r="5976" ht="15" hidden="1" customHeight="1"/>
    <row r="5977" ht="15" hidden="1" customHeight="1"/>
    <row r="5978" ht="15" hidden="1" customHeight="1"/>
    <row r="5979" ht="15" hidden="1" customHeight="1"/>
    <row r="5980" ht="15" hidden="1" customHeight="1"/>
    <row r="5981" ht="15" hidden="1" customHeight="1"/>
    <row r="5982" ht="15" hidden="1" customHeight="1"/>
    <row r="5983" ht="15" hidden="1" customHeight="1"/>
    <row r="5984" ht="15" hidden="1" customHeight="1"/>
    <row r="5985" ht="15" hidden="1" customHeight="1"/>
    <row r="5986" ht="15" hidden="1" customHeight="1"/>
    <row r="5987" ht="15" hidden="1" customHeight="1"/>
    <row r="5988" ht="15" hidden="1" customHeight="1"/>
    <row r="5989" ht="15" hidden="1" customHeight="1"/>
    <row r="5990" ht="15" hidden="1" customHeight="1"/>
    <row r="5991" ht="15" hidden="1" customHeight="1"/>
    <row r="5992" ht="15" hidden="1" customHeight="1"/>
    <row r="5993" ht="15" hidden="1" customHeight="1"/>
    <row r="5994" ht="15" hidden="1" customHeight="1"/>
    <row r="5995" ht="15" hidden="1" customHeight="1"/>
    <row r="5996" ht="15" hidden="1" customHeight="1"/>
    <row r="5997" ht="15" hidden="1" customHeight="1"/>
    <row r="5998" ht="15" hidden="1" customHeight="1"/>
    <row r="5999" ht="15" hidden="1" customHeight="1"/>
    <row r="6000" ht="15" hidden="1" customHeight="1"/>
    <row r="6001" ht="15" hidden="1" customHeight="1"/>
    <row r="6002" ht="15" hidden="1" customHeight="1"/>
    <row r="6003" ht="15" hidden="1" customHeight="1"/>
    <row r="6004" ht="15" hidden="1" customHeight="1"/>
    <row r="6005" ht="15" hidden="1" customHeight="1"/>
    <row r="6006" ht="15" hidden="1" customHeight="1"/>
    <row r="6007" ht="15" hidden="1" customHeight="1"/>
    <row r="6008" ht="15" hidden="1" customHeight="1"/>
    <row r="6009" ht="15" hidden="1" customHeight="1"/>
    <row r="6010" ht="15" hidden="1" customHeight="1"/>
    <row r="6011" ht="15" hidden="1" customHeight="1"/>
    <row r="6012" ht="15" hidden="1" customHeight="1"/>
    <row r="6013" ht="15" hidden="1" customHeight="1"/>
    <row r="6014" ht="15" hidden="1" customHeight="1"/>
    <row r="6015" ht="15" hidden="1" customHeight="1"/>
    <row r="6016" ht="15" hidden="1" customHeight="1"/>
    <row r="6017" ht="15" hidden="1" customHeight="1"/>
    <row r="6018" ht="15" hidden="1" customHeight="1"/>
    <row r="6019" ht="15" hidden="1" customHeight="1"/>
    <row r="6020" ht="15" hidden="1" customHeight="1"/>
    <row r="6021" ht="15" hidden="1" customHeight="1"/>
    <row r="6022" ht="15" hidden="1" customHeight="1"/>
    <row r="6023" ht="15" hidden="1" customHeight="1"/>
    <row r="6024" ht="15" hidden="1" customHeight="1"/>
    <row r="6025" ht="15" hidden="1" customHeight="1"/>
    <row r="6026" ht="15" hidden="1" customHeight="1"/>
    <row r="6027" ht="15" hidden="1" customHeight="1"/>
    <row r="6028" ht="15" hidden="1" customHeight="1"/>
    <row r="6029" ht="15" hidden="1" customHeight="1"/>
    <row r="6030" ht="15" hidden="1" customHeight="1"/>
    <row r="6031" ht="15" hidden="1" customHeight="1"/>
    <row r="6032" ht="15" hidden="1" customHeight="1"/>
    <row r="6033" ht="15" hidden="1" customHeight="1"/>
    <row r="6034" ht="15" hidden="1" customHeight="1"/>
    <row r="6035" ht="15" hidden="1" customHeight="1"/>
    <row r="6036" ht="15" hidden="1" customHeight="1"/>
    <row r="6037" ht="15" hidden="1" customHeight="1"/>
    <row r="6038" ht="15" hidden="1" customHeight="1"/>
    <row r="6039" ht="15" hidden="1" customHeight="1"/>
    <row r="6040" ht="15" hidden="1" customHeight="1"/>
    <row r="6041" ht="15" hidden="1" customHeight="1"/>
    <row r="6042" ht="15" hidden="1" customHeight="1"/>
    <row r="6043" ht="15" hidden="1" customHeight="1"/>
    <row r="6044" ht="15" hidden="1" customHeight="1"/>
    <row r="6045" ht="15" hidden="1" customHeight="1"/>
    <row r="6046" ht="15" hidden="1" customHeight="1"/>
    <row r="6047" ht="15" hidden="1" customHeight="1"/>
    <row r="6048" ht="15" hidden="1" customHeight="1"/>
    <row r="6049" ht="15" hidden="1" customHeight="1"/>
    <row r="6050" ht="15" hidden="1" customHeight="1"/>
    <row r="6051" ht="15" hidden="1" customHeight="1"/>
    <row r="6052" ht="15" hidden="1" customHeight="1"/>
    <row r="6053" ht="15" hidden="1" customHeight="1"/>
    <row r="6054" ht="15" hidden="1" customHeight="1"/>
    <row r="6055" ht="15" hidden="1" customHeight="1"/>
    <row r="6056" ht="15" hidden="1" customHeight="1"/>
    <row r="6057" ht="15" hidden="1" customHeight="1"/>
    <row r="6058" ht="15" hidden="1" customHeight="1"/>
    <row r="6059" ht="15" hidden="1" customHeight="1"/>
    <row r="6060" ht="15" hidden="1" customHeight="1"/>
    <row r="6061" ht="15" hidden="1" customHeight="1"/>
    <row r="6062" ht="15" hidden="1" customHeight="1"/>
    <row r="6063" ht="15" hidden="1" customHeight="1"/>
    <row r="6064" ht="15" hidden="1" customHeight="1"/>
    <row r="6065" ht="15" hidden="1" customHeight="1"/>
    <row r="6066" ht="15" hidden="1" customHeight="1"/>
    <row r="6067" ht="15" hidden="1" customHeight="1"/>
    <row r="6068" ht="15" hidden="1" customHeight="1"/>
    <row r="6069" ht="15" hidden="1" customHeight="1"/>
    <row r="6070" ht="15" hidden="1" customHeight="1"/>
    <row r="6071" ht="15" hidden="1" customHeight="1"/>
    <row r="6072" ht="15" hidden="1" customHeight="1"/>
    <row r="6073" ht="15" hidden="1" customHeight="1"/>
    <row r="6074" ht="15" hidden="1" customHeight="1"/>
    <row r="6075" ht="15" hidden="1" customHeight="1"/>
    <row r="6076" ht="15" hidden="1" customHeight="1"/>
    <row r="6077" ht="15" hidden="1" customHeight="1"/>
    <row r="6078" ht="15" hidden="1" customHeight="1"/>
    <row r="6079" ht="15" hidden="1" customHeight="1"/>
    <row r="6080" ht="15" hidden="1" customHeight="1"/>
    <row r="6081" ht="15" hidden="1" customHeight="1"/>
    <row r="6082" ht="15" hidden="1" customHeight="1"/>
    <row r="6083" ht="15" hidden="1" customHeight="1"/>
    <row r="6084" ht="15" hidden="1" customHeight="1"/>
    <row r="6085" ht="15" hidden="1" customHeight="1"/>
    <row r="6086" ht="15" hidden="1" customHeight="1"/>
    <row r="6087" ht="15" hidden="1" customHeight="1"/>
    <row r="6088" ht="15" hidden="1" customHeight="1"/>
    <row r="6089" ht="15" hidden="1" customHeight="1"/>
    <row r="6090" ht="15" hidden="1" customHeight="1"/>
    <row r="6091" ht="15" hidden="1" customHeight="1"/>
    <row r="6092" ht="15" hidden="1" customHeight="1"/>
    <row r="6093" ht="15" hidden="1" customHeight="1"/>
    <row r="6094" ht="15" hidden="1" customHeight="1"/>
    <row r="6095" ht="15" hidden="1" customHeight="1"/>
    <row r="6096" ht="15" hidden="1" customHeight="1"/>
    <row r="6097" ht="15" hidden="1" customHeight="1"/>
    <row r="6098" ht="15" hidden="1" customHeight="1"/>
    <row r="6099" ht="15" hidden="1" customHeight="1"/>
    <row r="6100" ht="15" hidden="1" customHeight="1"/>
    <row r="6101" ht="15" hidden="1" customHeight="1"/>
    <row r="6102" ht="15" hidden="1" customHeight="1"/>
    <row r="6103" ht="15" hidden="1" customHeight="1"/>
    <row r="6104" ht="15" hidden="1" customHeight="1"/>
    <row r="6105" ht="15" hidden="1" customHeight="1"/>
    <row r="6106" ht="15" hidden="1" customHeight="1"/>
    <row r="6107" ht="15" hidden="1" customHeight="1"/>
    <row r="6108" ht="15" hidden="1" customHeight="1"/>
    <row r="6109" ht="15" hidden="1" customHeight="1"/>
    <row r="6110" ht="15" hidden="1" customHeight="1"/>
    <row r="6111" ht="15" hidden="1" customHeight="1"/>
    <row r="6112" ht="15" hidden="1" customHeight="1"/>
    <row r="6113" ht="15" hidden="1" customHeight="1"/>
    <row r="6114" ht="15" hidden="1" customHeight="1"/>
    <row r="6115" ht="15" hidden="1" customHeight="1"/>
    <row r="6116" ht="15" hidden="1" customHeight="1"/>
    <row r="6117" ht="15" hidden="1" customHeight="1"/>
    <row r="6118" ht="15" hidden="1" customHeight="1"/>
    <row r="6119" ht="15" hidden="1" customHeight="1"/>
    <row r="6120" ht="15" hidden="1" customHeight="1"/>
    <row r="6121" ht="15" hidden="1" customHeight="1"/>
    <row r="6122" ht="15" hidden="1" customHeight="1"/>
    <row r="6123" ht="15" hidden="1" customHeight="1"/>
    <row r="6124" ht="15" hidden="1" customHeight="1"/>
    <row r="6125" ht="15" hidden="1" customHeight="1"/>
    <row r="6126" ht="15" hidden="1" customHeight="1"/>
    <row r="6127" ht="15" hidden="1" customHeight="1"/>
    <row r="6128" ht="15" hidden="1" customHeight="1"/>
    <row r="6129" ht="15" hidden="1" customHeight="1"/>
    <row r="6130" ht="15" hidden="1" customHeight="1"/>
    <row r="6131" ht="15" hidden="1" customHeight="1"/>
    <row r="6132" ht="15" hidden="1" customHeight="1"/>
    <row r="6133" ht="15" hidden="1" customHeight="1"/>
    <row r="6134" ht="15" hidden="1" customHeight="1"/>
    <row r="6135" ht="15" hidden="1" customHeight="1"/>
    <row r="6136" ht="15" hidden="1" customHeight="1"/>
    <row r="6137" ht="15" hidden="1" customHeight="1"/>
    <row r="6138" ht="15" hidden="1" customHeight="1"/>
    <row r="6139" ht="15" hidden="1" customHeight="1"/>
    <row r="6140" ht="15" hidden="1" customHeight="1"/>
    <row r="6141" ht="15" hidden="1" customHeight="1"/>
    <row r="6142" ht="15" hidden="1" customHeight="1"/>
    <row r="6143" ht="15" hidden="1" customHeight="1"/>
    <row r="6144" ht="15" hidden="1" customHeight="1"/>
    <row r="6145" ht="15" hidden="1" customHeight="1"/>
    <row r="6146" ht="15" hidden="1" customHeight="1"/>
    <row r="6147" ht="15" hidden="1" customHeight="1"/>
    <row r="6148" ht="15" hidden="1" customHeight="1"/>
    <row r="6149" ht="15" hidden="1" customHeight="1"/>
    <row r="6150" ht="15" hidden="1" customHeight="1"/>
    <row r="6151" ht="15" hidden="1" customHeight="1"/>
    <row r="6152" ht="15" hidden="1" customHeight="1"/>
    <row r="6153" ht="15" hidden="1" customHeight="1"/>
    <row r="6154" ht="15" hidden="1" customHeight="1"/>
    <row r="6155" ht="15" hidden="1" customHeight="1"/>
    <row r="6156" ht="15" hidden="1" customHeight="1"/>
    <row r="6157" ht="15" hidden="1" customHeight="1"/>
    <row r="6158" ht="15" hidden="1" customHeight="1"/>
    <row r="6159" ht="15" hidden="1" customHeight="1"/>
    <row r="6160" ht="15" hidden="1" customHeight="1"/>
    <row r="6161" ht="15" hidden="1" customHeight="1"/>
    <row r="6162" ht="15" hidden="1" customHeight="1"/>
    <row r="6163" ht="15" hidden="1" customHeight="1"/>
    <row r="6164" ht="15" hidden="1" customHeight="1"/>
    <row r="6165" ht="15" hidden="1" customHeight="1"/>
    <row r="6166" ht="15" hidden="1" customHeight="1"/>
    <row r="6167" ht="15" hidden="1" customHeight="1"/>
    <row r="6168" ht="15" hidden="1" customHeight="1"/>
    <row r="6169" ht="15" hidden="1" customHeight="1"/>
    <row r="6170" ht="15" hidden="1" customHeight="1"/>
    <row r="6171" ht="15" hidden="1" customHeight="1"/>
    <row r="6172" ht="15" hidden="1" customHeight="1"/>
    <row r="6173" ht="15" hidden="1" customHeight="1"/>
    <row r="6174" ht="15" hidden="1" customHeight="1"/>
    <row r="6175" ht="15" hidden="1" customHeight="1"/>
    <row r="6176" ht="15" hidden="1" customHeight="1"/>
    <row r="6177" ht="15" hidden="1" customHeight="1"/>
    <row r="6178" ht="15" hidden="1" customHeight="1"/>
    <row r="6179" ht="15" hidden="1" customHeight="1"/>
    <row r="6180" ht="15" hidden="1" customHeight="1"/>
    <row r="6181" ht="15" hidden="1" customHeight="1"/>
    <row r="6182" ht="15" hidden="1" customHeight="1"/>
    <row r="6183" ht="15" hidden="1" customHeight="1"/>
    <row r="6184" ht="15" hidden="1" customHeight="1"/>
    <row r="6185" ht="15" hidden="1" customHeight="1"/>
    <row r="6186" ht="15" hidden="1" customHeight="1"/>
    <row r="6187" ht="15" hidden="1" customHeight="1"/>
    <row r="6188" ht="15" hidden="1" customHeight="1"/>
    <row r="6189" ht="15" hidden="1" customHeight="1"/>
    <row r="6190" ht="15" hidden="1" customHeight="1"/>
    <row r="6191" ht="15" hidden="1" customHeight="1"/>
    <row r="6192" ht="15" hidden="1" customHeight="1"/>
    <row r="6193" ht="15" hidden="1" customHeight="1"/>
    <row r="6194" ht="15" hidden="1" customHeight="1"/>
    <row r="6195" ht="15" hidden="1" customHeight="1"/>
    <row r="6196" ht="15" hidden="1" customHeight="1"/>
    <row r="6197" ht="15" hidden="1" customHeight="1"/>
    <row r="6198" ht="15" hidden="1" customHeight="1"/>
    <row r="6199" ht="15" hidden="1" customHeight="1"/>
    <row r="6200" ht="15" hidden="1" customHeight="1"/>
    <row r="6201" ht="15" hidden="1" customHeight="1"/>
    <row r="6202" ht="15" hidden="1" customHeight="1"/>
    <row r="6203" ht="15" hidden="1" customHeight="1"/>
    <row r="6204" ht="15" hidden="1" customHeight="1"/>
    <row r="6205" ht="15" hidden="1" customHeight="1"/>
    <row r="6206" ht="15" hidden="1" customHeight="1"/>
    <row r="6207" ht="15" hidden="1" customHeight="1"/>
    <row r="6208" ht="15" hidden="1" customHeight="1"/>
    <row r="6209" ht="15" hidden="1" customHeight="1"/>
    <row r="6210" ht="15" hidden="1" customHeight="1"/>
    <row r="6211" ht="15" hidden="1" customHeight="1"/>
    <row r="6212" ht="15" hidden="1" customHeight="1"/>
    <row r="6213" ht="15" hidden="1" customHeight="1"/>
    <row r="6214" ht="15" hidden="1" customHeight="1"/>
    <row r="6215" ht="15" hidden="1" customHeight="1"/>
    <row r="6216" ht="15" hidden="1" customHeight="1"/>
    <row r="6217" ht="15" hidden="1" customHeight="1"/>
    <row r="6218" ht="15" hidden="1" customHeight="1"/>
    <row r="6219" ht="15" hidden="1" customHeight="1"/>
    <row r="6220" ht="15" hidden="1" customHeight="1"/>
    <row r="6221" ht="15" hidden="1" customHeight="1"/>
    <row r="6222" ht="15" hidden="1" customHeight="1"/>
    <row r="6223" ht="15" hidden="1" customHeight="1"/>
    <row r="6224" ht="15" hidden="1" customHeight="1"/>
    <row r="6225" ht="15" hidden="1" customHeight="1"/>
    <row r="6226" ht="15" hidden="1" customHeight="1"/>
    <row r="6227" ht="15" hidden="1" customHeight="1"/>
    <row r="6228" ht="15" hidden="1" customHeight="1"/>
    <row r="6229" ht="15" hidden="1" customHeight="1"/>
    <row r="6230" ht="15" hidden="1" customHeight="1"/>
    <row r="6231" ht="15" hidden="1" customHeight="1"/>
    <row r="6232" ht="15" hidden="1" customHeight="1"/>
    <row r="6233" ht="15" hidden="1" customHeight="1"/>
    <row r="6234" ht="15" hidden="1" customHeight="1"/>
    <row r="6235" ht="15" hidden="1" customHeight="1"/>
    <row r="6236" ht="15" hidden="1" customHeight="1"/>
    <row r="6237" ht="15" hidden="1" customHeight="1"/>
    <row r="6238" ht="15" hidden="1" customHeight="1"/>
    <row r="6239" ht="15" hidden="1" customHeight="1"/>
    <row r="6240" ht="15" hidden="1" customHeight="1"/>
    <row r="6241" ht="15" hidden="1" customHeight="1"/>
    <row r="6242" ht="15" hidden="1" customHeight="1"/>
    <row r="6243" ht="15" hidden="1" customHeight="1"/>
    <row r="6244" ht="15" hidden="1" customHeight="1"/>
    <row r="6245" ht="15" hidden="1" customHeight="1"/>
    <row r="6246" ht="15" hidden="1" customHeight="1"/>
    <row r="6247" ht="15" hidden="1" customHeight="1"/>
    <row r="6248" ht="15" hidden="1" customHeight="1"/>
    <row r="6249" ht="15" hidden="1" customHeight="1"/>
    <row r="6250" ht="15" hidden="1" customHeight="1"/>
    <row r="6251" ht="15" hidden="1" customHeight="1"/>
    <row r="6252" ht="15" hidden="1" customHeight="1"/>
    <row r="6253" ht="15" hidden="1" customHeight="1"/>
    <row r="6254" ht="15" hidden="1" customHeight="1"/>
    <row r="6255" ht="15" hidden="1" customHeight="1"/>
    <row r="6256" ht="15" hidden="1" customHeight="1"/>
    <row r="6257" ht="15" hidden="1" customHeight="1"/>
    <row r="6258" ht="15" hidden="1" customHeight="1"/>
    <row r="6259" ht="15" hidden="1" customHeight="1"/>
    <row r="6260" ht="15" hidden="1" customHeight="1"/>
    <row r="6261" ht="15" hidden="1" customHeight="1"/>
    <row r="6262" ht="15" hidden="1" customHeight="1"/>
    <row r="6263" ht="15" hidden="1" customHeight="1"/>
    <row r="6264" ht="15" hidden="1" customHeight="1"/>
    <row r="6265" ht="15" hidden="1" customHeight="1"/>
    <row r="6266" ht="15" hidden="1" customHeight="1"/>
    <row r="6267" ht="15" hidden="1" customHeight="1"/>
    <row r="6268" ht="15" hidden="1" customHeight="1"/>
    <row r="6269" ht="15" hidden="1" customHeight="1"/>
    <row r="6270" ht="15" hidden="1" customHeight="1"/>
    <row r="6271" ht="15" hidden="1" customHeight="1"/>
    <row r="6272" ht="15" hidden="1" customHeight="1"/>
    <row r="6273" ht="15" hidden="1" customHeight="1"/>
    <row r="6274" ht="15" hidden="1" customHeight="1"/>
    <row r="6275" ht="15" hidden="1" customHeight="1"/>
    <row r="6276" ht="15" hidden="1" customHeight="1"/>
    <row r="6277" ht="15" hidden="1" customHeight="1"/>
    <row r="6278" ht="15" hidden="1" customHeight="1"/>
    <row r="6279" ht="15" hidden="1" customHeight="1"/>
    <row r="6280" ht="15" hidden="1" customHeight="1"/>
    <row r="6281" ht="15" hidden="1" customHeight="1"/>
    <row r="6282" ht="15" hidden="1" customHeight="1"/>
    <row r="6283" ht="15" hidden="1" customHeight="1"/>
    <row r="6284" ht="15" hidden="1" customHeight="1"/>
    <row r="6285" ht="15" hidden="1" customHeight="1"/>
    <row r="6286" ht="15" hidden="1" customHeight="1"/>
    <row r="6287" ht="15" hidden="1" customHeight="1"/>
    <row r="6288" ht="15" hidden="1" customHeight="1"/>
    <row r="6289" ht="15" hidden="1" customHeight="1"/>
    <row r="6290" ht="15" hidden="1" customHeight="1"/>
    <row r="6291" ht="15" hidden="1" customHeight="1"/>
    <row r="6292" ht="15" hidden="1" customHeight="1"/>
    <row r="6293" ht="15" hidden="1" customHeight="1"/>
    <row r="6294" ht="15" hidden="1" customHeight="1"/>
    <row r="6295" ht="15" hidden="1" customHeight="1"/>
    <row r="6296" ht="15" hidden="1" customHeight="1"/>
    <row r="6297" ht="15" hidden="1" customHeight="1"/>
    <row r="6298" ht="15" hidden="1" customHeight="1"/>
    <row r="6299" ht="15" hidden="1" customHeight="1"/>
    <row r="6300" ht="15" hidden="1" customHeight="1"/>
    <row r="6301" ht="15" hidden="1" customHeight="1"/>
    <row r="6302" ht="15" hidden="1" customHeight="1"/>
    <row r="6303" ht="15" hidden="1" customHeight="1"/>
    <row r="6304" ht="15" hidden="1" customHeight="1"/>
    <row r="6305" ht="15" hidden="1" customHeight="1"/>
    <row r="6306" ht="15" hidden="1" customHeight="1"/>
    <row r="6307" ht="15" hidden="1" customHeight="1"/>
    <row r="6308" ht="15" hidden="1" customHeight="1"/>
    <row r="6309" ht="15" hidden="1" customHeight="1"/>
    <row r="6310" ht="15" hidden="1" customHeight="1"/>
    <row r="6311" ht="15" hidden="1" customHeight="1"/>
    <row r="6312" ht="15" hidden="1" customHeight="1"/>
    <row r="6313" ht="15" hidden="1" customHeight="1"/>
    <row r="6314" ht="15" hidden="1" customHeight="1"/>
    <row r="6315" ht="15" hidden="1" customHeight="1"/>
    <row r="6316" ht="15" hidden="1" customHeight="1"/>
    <row r="6317" ht="15" hidden="1" customHeight="1"/>
    <row r="6318" ht="15" hidden="1" customHeight="1"/>
    <row r="6319" ht="15" hidden="1" customHeight="1"/>
    <row r="6320" ht="15" hidden="1" customHeight="1"/>
    <row r="6321" ht="15" hidden="1" customHeight="1"/>
    <row r="6322" ht="15" hidden="1" customHeight="1"/>
    <row r="6323" ht="15" hidden="1" customHeight="1"/>
    <row r="6324" ht="15" hidden="1" customHeight="1"/>
    <row r="6325" ht="15" hidden="1" customHeight="1"/>
    <row r="6326" ht="15" hidden="1" customHeight="1"/>
    <row r="6327" ht="15" hidden="1" customHeight="1"/>
    <row r="6328" ht="15" hidden="1" customHeight="1"/>
    <row r="6329" ht="15" hidden="1" customHeight="1"/>
    <row r="6330" ht="15" hidden="1" customHeight="1"/>
    <row r="6331" ht="15" hidden="1" customHeight="1"/>
    <row r="6332" ht="15" hidden="1" customHeight="1"/>
    <row r="6333" ht="15" hidden="1" customHeight="1"/>
    <row r="6334" ht="15" hidden="1" customHeight="1"/>
    <row r="6335" ht="15" hidden="1" customHeight="1"/>
    <row r="6336" ht="15" hidden="1" customHeight="1"/>
    <row r="6337" ht="15" hidden="1" customHeight="1"/>
    <row r="6338" ht="15" hidden="1" customHeight="1"/>
    <row r="6339" ht="15" hidden="1" customHeight="1"/>
    <row r="6340" ht="15" hidden="1" customHeight="1"/>
    <row r="6341" ht="15" hidden="1" customHeight="1"/>
    <row r="6342" ht="15" hidden="1" customHeight="1"/>
    <row r="6343" ht="15" hidden="1" customHeight="1"/>
    <row r="6344" ht="15" hidden="1" customHeight="1"/>
    <row r="6345" ht="15" hidden="1" customHeight="1"/>
    <row r="6346" ht="15" hidden="1" customHeight="1"/>
    <row r="6347" ht="15" hidden="1" customHeight="1"/>
    <row r="6348" ht="15" hidden="1" customHeight="1"/>
    <row r="6349" ht="15" hidden="1" customHeight="1"/>
    <row r="6350" ht="15" hidden="1" customHeight="1"/>
    <row r="6351" ht="15" hidden="1" customHeight="1"/>
    <row r="6352" ht="15" hidden="1" customHeight="1"/>
    <row r="6353" ht="15" hidden="1" customHeight="1"/>
    <row r="6354" ht="15" hidden="1" customHeight="1"/>
    <row r="6355" ht="15" hidden="1" customHeight="1"/>
    <row r="6356" ht="15" hidden="1" customHeight="1"/>
    <row r="6357" ht="15" hidden="1" customHeight="1"/>
    <row r="6358" ht="15" hidden="1" customHeight="1"/>
    <row r="6359" ht="15" hidden="1" customHeight="1"/>
    <row r="6360" ht="15" hidden="1" customHeight="1"/>
    <row r="6361" ht="15" hidden="1" customHeight="1"/>
    <row r="6362" ht="15" hidden="1" customHeight="1"/>
    <row r="6363" ht="15" hidden="1" customHeight="1"/>
    <row r="6364" ht="15" hidden="1" customHeight="1"/>
    <row r="6365" ht="15" hidden="1" customHeight="1"/>
    <row r="6366" ht="15" hidden="1" customHeight="1"/>
    <row r="6367" ht="15" hidden="1" customHeight="1"/>
    <row r="6368" ht="15" hidden="1" customHeight="1"/>
    <row r="6369" ht="15" hidden="1" customHeight="1"/>
    <row r="6370" ht="15" hidden="1" customHeight="1"/>
    <row r="6371" ht="15" hidden="1" customHeight="1"/>
    <row r="6372" ht="15" hidden="1" customHeight="1"/>
    <row r="6373" ht="15" hidden="1" customHeight="1"/>
    <row r="6374" ht="15" hidden="1" customHeight="1"/>
    <row r="6375" ht="15" hidden="1" customHeight="1"/>
    <row r="6376" ht="15" hidden="1" customHeight="1"/>
    <row r="6377" ht="15" hidden="1" customHeight="1"/>
    <row r="6378" ht="15" hidden="1" customHeight="1"/>
    <row r="6379" ht="15" hidden="1" customHeight="1"/>
    <row r="6380" ht="15" hidden="1" customHeight="1"/>
    <row r="6381" ht="15" hidden="1" customHeight="1"/>
    <row r="6382" ht="15" hidden="1" customHeight="1"/>
    <row r="6383" ht="15" hidden="1" customHeight="1"/>
    <row r="6384" ht="15" hidden="1" customHeight="1"/>
    <row r="6385" ht="15" hidden="1" customHeight="1"/>
    <row r="6386" ht="15" hidden="1" customHeight="1"/>
    <row r="6387" ht="15" hidden="1" customHeight="1"/>
    <row r="6388" ht="15" hidden="1" customHeight="1"/>
    <row r="6389" ht="15" hidden="1" customHeight="1"/>
    <row r="6390" ht="15" hidden="1" customHeight="1"/>
    <row r="6391" ht="15" hidden="1" customHeight="1"/>
    <row r="6392" ht="15" hidden="1" customHeight="1"/>
    <row r="6393" ht="15" hidden="1" customHeight="1"/>
    <row r="6394" ht="15" hidden="1" customHeight="1"/>
    <row r="6395" ht="15" hidden="1" customHeight="1"/>
    <row r="6396" ht="15" hidden="1" customHeight="1"/>
    <row r="6397" ht="15" hidden="1" customHeight="1"/>
    <row r="6398" ht="15" hidden="1" customHeight="1"/>
    <row r="6399" ht="15" hidden="1" customHeight="1"/>
    <row r="6400" ht="15" hidden="1" customHeight="1"/>
    <row r="6401" ht="15" hidden="1" customHeight="1"/>
    <row r="6402" ht="15" hidden="1" customHeight="1"/>
    <row r="6403" ht="15" hidden="1" customHeight="1"/>
    <row r="6404" ht="15" hidden="1" customHeight="1"/>
    <row r="6405" ht="15" hidden="1" customHeight="1"/>
    <row r="6406" ht="15" hidden="1" customHeight="1"/>
    <row r="6407" ht="15" hidden="1" customHeight="1"/>
    <row r="6408" ht="15" hidden="1" customHeight="1"/>
    <row r="6409" ht="15" hidden="1" customHeight="1"/>
    <row r="6410" ht="15" hidden="1" customHeight="1"/>
    <row r="6411" ht="15" hidden="1" customHeight="1"/>
    <row r="6412" ht="15" hidden="1" customHeight="1"/>
    <row r="6413" ht="15" hidden="1" customHeight="1"/>
    <row r="6414" ht="15" hidden="1" customHeight="1"/>
    <row r="6415" ht="15" hidden="1" customHeight="1"/>
    <row r="6416" ht="15" hidden="1" customHeight="1"/>
    <row r="6417" ht="15" hidden="1" customHeight="1"/>
    <row r="6418" ht="15" hidden="1" customHeight="1"/>
    <row r="6419" ht="15" hidden="1" customHeight="1"/>
    <row r="6420" ht="15" hidden="1" customHeight="1"/>
    <row r="6421" ht="15" hidden="1" customHeight="1"/>
    <row r="6422" ht="15" hidden="1" customHeight="1"/>
    <row r="6423" ht="15" hidden="1" customHeight="1"/>
    <row r="6424" ht="15" hidden="1" customHeight="1"/>
    <row r="6425" ht="15" hidden="1" customHeight="1"/>
    <row r="6426" ht="15" hidden="1" customHeight="1"/>
    <row r="6427" ht="15" hidden="1" customHeight="1"/>
    <row r="6428" ht="15" hidden="1" customHeight="1"/>
    <row r="6429" ht="15" hidden="1" customHeight="1"/>
    <row r="6430" ht="15" hidden="1" customHeight="1"/>
    <row r="6431" ht="15" hidden="1" customHeight="1"/>
    <row r="6432" ht="15" hidden="1" customHeight="1"/>
    <row r="6433" ht="15" hidden="1" customHeight="1"/>
    <row r="6434" ht="15" hidden="1" customHeight="1"/>
    <row r="6435" ht="15" hidden="1" customHeight="1"/>
    <row r="6436" ht="15" hidden="1" customHeight="1"/>
    <row r="6437" ht="15" hidden="1" customHeight="1"/>
    <row r="6438" ht="15" hidden="1" customHeight="1"/>
    <row r="6439" ht="15" hidden="1" customHeight="1"/>
    <row r="6440" ht="15" hidden="1" customHeight="1"/>
    <row r="6441" ht="15" hidden="1" customHeight="1"/>
    <row r="6442" ht="15" hidden="1" customHeight="1"/>
    <row r="6443" ht="15" hidden="1" customHeight="1"/>
    <row r="6444" ht="15" hidden="1" customHeight="1"/>
    <row r="6445" ht="15" hidden="1" customHeight="1"/>
    <row r="6446" ht="15" hidden="1" customHeight="1"/>
    <row r="6447" ht="15" hidden="1" customHeight="1"/>
    <row r="6448" ht="15" hidden="1" customHeight="1"/>
    <row r="6449" ht="15" hidden="1" customHeight="1"/>
    <row r="6450" ht="15" hidden="1" customHeight="1"/>
    <row r="6451" ht="15" hidden="1" customHeight="1"/>
    <row r="6452" ht="15" hidden="1" customHeight="1"/>
    <row r="6453" ht="15" hidden="1" customHeight="1"/>
    <row r="6454" ht="15" hidden="1" customHeight="1"/>
    <row r="6455" ht="15" hidden="1" customHeight="1"/>
    <row r="6456" ht="15" hidden="1" customHeight="1"/>
    <row r="6457" ht="15" hidden="1" customHeight="1"/>
    <row r="6458" ht="15" hidden="1" customHeight="1"/>
    <row r="6459" ht="15" hidden="1" customHeight="1"/>
    <row r="6460" ht="15" hidden="1" customHeight="1"/>
    <row r="6461" ht="15" hidden="1" customHeight="1"/>
    <row r="6462" ht="15" hidden="1" customHeight="1"/>
    <row r="6463" ht="15" hidden="1" customHeight="1"/>
    <row r="6464" ht="15" hidden="1" customHeight="1"/>
    <row r="6465" ht="15" hidden="1" customHeight="1"/>
    <row r="6466" ht="15" hidden="1" customHeight="1"/>
    <row r="6467" ht="15" hidden="1" customHeight="1"/>
    <row r="6468" ht="15" hidden="1" customHeight="1"/>
    <row r="6469" ht="15" hidden="1" customHeight="1"/>
    <row r="6470" ht="15" hidden="1" customHeight="1"/>
    <row r="6471" ht="15" hidden="1" customHeight="1"/>
    <row r="6472" ht="15" hidden="1" customHeight="1"/>
    <row r="6473" ht="15" hidden="1" customHeight="1"/>
    <row r="6474" ht="15" hidden="1" customHeight="1"/>
    <row r="6475" ht="15" hidden="1" customHeight="1"/>
    <row r="6476" ht="15" hidden="1" customHeight="1"/>
    <row r="6477" ht="15" hidden="1" customHeight="1"/>
    <row r="6478" ht="15" hidden="1" customHeight="1"/>
    <row r="6479" ht="15" hidden="1" customHeight="1"/>
    <row r="6480" ht="15" hidden="1" customHeight="1"/>
    <row r="6481" ht="15" hidden="1" customHeight="1"/>
    <row r="6482" ht="15" hidden="1" customHeight="1"/>
    <row r="6483" ht="15" hidden="1" customHeight="1"/>
    <row r="6484" ht="15" hidden="1" customHeight="1"/>
    <row r="6485" ht="15" hidden="1" customHeight="1"/>
    <row r="6486" ht="15" hidden="1" customHeight="1"/>
    <row r="6487" ht="15" hidden="1" customHeight="1"/>
    <row r="6488" ht="15" hidden="1" customHeight="1"/>
    <row r="6489" ht="15" hidden="1" customHeight="1"/>
    <row r="6490" ht="15" hidden="1" customHeight="1"/>
    <row r="6491" ht="15" hidden="1" customHeight="1"/>
    <row r="6492" ht="15" hidden="1" customHeight="1"/>
    <row r="6493" ht="15" hidden="1" customHeight="1"/>
    <row r="6494" ht="15" hidden="1" customHeight="1"/>
    <row r="6495" ht="15" hidden="1" customHeight="1"/>
    <row r="6496" ht="15" hidden="1" customHeight="1"/>
    <row r="6497" ht="15" hidden="1" customHeight="1"/>
    <row r="6498" ht="15" hidden="1" customHeight="1"/>
    <row r="6499" ht="15" hidden="1" customHeight="1"/>
    <row r="6500" ht="15" hidden="1" customHeight="1"/>
    <row r="6501" ht="15" hidden="1" customHeight="1"/>
    <row r="6502" ht="15" hidden="1" customHeight="1"/>
    <row r="6503" ht="15" hidden="1" customHeight="1"/>
    <row r="6504" ht="15" hidden="1" customHeight="1"/>
    <row r="6505" ht="15" hidden="1" customHeight="1"/>
    <row r="6506" ht="15" hidden="1" customHeight="1"/>
    <row r="6507" ht="15" hidden="1" customHeight="1"/>
    <row r="6508" ht="15" hidden="1" customHeight="1"/>
    <row r="6509" ht="15" hidden="1" customHeight="1"/>
    <row r="6510" ht="15" hidden="1" customHeight="1"/>
    <row r="6511" ht="15" hidden="1" customHeight="1"/>
    <row r="6512" ht="15" hidden="1" customHeight="1"/>
    <row r="6513" ht="15" hidden="1" customHeight="1"/>
    <row r="6514" ht="15" hidden="1" customHeight="1"/>
    <row r="6515" ht="15" hidden="1" customHeight="1"/>
    <row r="6516" ht="15" hidden="1" customHeight="1"/>
    <row r="6517" ht="15" hidden="1" customHeight="1"/>
    <row r="6518" ht="15" hidden="1" customHeight="1"/>
    <row r="6519" ht="15" hidden="1" customHeight="1"/>
    <row r="6520" ht="15" hidden="1" customHeight="1"/>
    <row r="6521" ht="15" hidden="1" customHeight="1"/>
    <row r="6522" ht="15" hidden="1" customHeight="1"/>
    <row r="6523" ht="15" hidden="1" customHeight="1"/>
    <row r="6524" ht="15" hidden="1" customHeight="1"/>
    <row r="6525" ht="15" hidden="1" customHeight="1"/>
    <row r="6526" ht="15" hidden="1" customHeight="1"/>
    <row r="6527" ht="15" hidden="1" customHeight="1"/>
    <row r="6528" ht="15" hidden="1" customHeight="1"/>
    <row r="6529" ht="15" hidden="1" customHeight="1"/>
    <row r="6530" ht="15" hidden="1" customHeight="1"/>
    <row r="6531" ht="15" hidden="1" customHeight="1"/>
    <row r="6532" ht="15" hidden="1" customHeight="1"/>
    <row r="6533" ht="15" hidden="1" customHeight="1"/>
    <row r="6534" ht="15" hidden="1" customHeight="1"/>
    <row r="6535" ht="15" hidden="1" customHeight="1"/>
    <row r="6536" ht="15" hidden="1" customHeight="1"/>
    <row r="6537" ht="15" hidden="1" customHeight="1"/>
    <row r="6538" ht="15" hidden="1" customHeight="1"/>
    <row r="6539" ht="15" hidden="1" customHeight="1"/>
    <row r="6540" ht="15" hidden="1" customHeight="1"/>
    <row r="6541" ht="15" hidden="1" customHeight="1"/>
    <row r="6542" ht="15" hidden="1" customHeight="1"/>
    <row r="6543" ht="15" hidden="1" customHeight="1"/>
    <row r="6544" ht="15" hidden="1" customHeight="1"/>
    <row r="6545" ht="15" hidden="1" customHeight="1"/>
    <row r="6546" ht="15" hidden="1" customHeight="1"/>
    <row r="6547" ht="15" hidden="1" customHeight="1"/>
    <row r="6548" ht="15" hidden="1" customHeight="1"/>
    <row r="6549" ht="15" hidden="1" customHeight="1"/>
    <row r="6550" ht="15" hidden="1" customHeight="1"/>
    <row r="6551" ht="15" hidden="1" customHeight="1"/>
    <row r="6552" ht="15" hidden="1" customHeight="1"/>
    <row r="6553" ht="15" hidden="1" customHeight="1"/>
    <row r="6554" ht="15" hidden="1" customHeight="1"/>
    <row r="6555" ht="15" hidden="1" customHeight="1"/>
    <row r="6556" ht="15" hidden="1" customHeight="1"/>
    <row r="6557" ht="15" hidden="1" customHeight="1"/>
    <row r="6558" ht="15" hidden="1" customHeight="1"/>
    <row r="6559" ht="15" hidden="1" customHeight="1"/>
    <row r="6560" ht="15" hidden="1" customHeight="1"/>
    <row r="6561" ht="15" hidden="1" customHeight="1"/>
    <row r="6562" ht="15" hidden="1" customHeight="1"/>
    <row r="6563" ht="15" hidden="1" customHeight="1"/>
    <row r="6564" ht="15" hidden="1" customHeight="1"/>
    <row r="6565" ht="15" hidden="1" customHeight="1"/>
    <row r="6566" ht="15" hidden="1" customHeight="1"/>
    <row r="6567" ht="15" hidden="1" customHeight="1"/>
    <row r="6568" ht="15" hidden="1" customHeight="1"/>
    <row r="6569" ht="15" hidden="1" customHeight="1"/>
    <row r="6570" ht="15" hidden="1" customHeight="1"/>
    <row r="6571" ht="15" hidden="1" customHeight="1"/>
    <row r="6572" ht="15" hidden="1" customHeight="1"/>
    <row r="6573" ht="15" hidden="1" customHeight="1"/>
    <row r="6574" ht="15" hidden="1" customHeight="1"/>
    <row r="6575" ht="15" hidden="1" customHeight="1"/>
    <row r="6576" ht="15" hidden="1" customHeight="1"/>
    <row r="6577" ht="15" hidden="1" customHeight="1"/>
    <row r="6578" ht="15" hidden="1" customHeight="1"/>
    <row r="6579" ht="15" hidden="1" customHeight="1"/>
    <row r="6580" ht="15" hidden="1" customHeight="1"/>
    <row r="6581" ht="15" hidden="1" customHeight="1"/>
    <row r="6582" ht="15" hidden="1" customHeight="1"/>
    <row r="6583" ht="15" hidden="1" customHeight="1"/>
    <row r="6584" ht="15" hidden="1" customHeight="1"/>
    <row r="6585" ht="15" hidden="1" customHeight="1"/>
    <row r="6586" ht="15" hidden="1" customHeight="1"/>
    <row r="6587" ht="15" hidden="1" customHeight="1"/>
    <row r="6588" ht="15" hidden="1" customHeight="1"/>
    <row r="6589" ht="15" hidden="1" customHeight="1"/>
    <row r="6590" ht="15" hidden="1" customHeight="1"/>
    <row r="6591" ht="15" hidden="1" customHeight="1"/>
    <row r="6592" ht="15" hidden="1" customHeight="1"/>
    <row r="6593" ht="15" hidden="1" customHeight="1"/>
    <row r="6594" ht="15" hidden="1" customHeight="1"/>
    <row r="6595" ht="15" hidden="1" customHeight="1"/>
    <row r="6596" ht="15" hidden="1" customHeight="1"/>
    <row r="6597" ht="15" hidden="1" customHeight="1"/>
    <row r="6598" ht="15" hidden="1" customHeight="1"/>
    <row r="6599" ht="15" hidden="1" customHeight="1"/>
    <row r="6600" ht="15" hidden="1" customHeight="1"/>
    <row r="6601" ht="15" hidden="1" customHeight="1"/>
    <row r="6602" ht="15" hidden="1" customHeight="1"/>
    <row r="6603" ht="15" hidden="1" customHeight="1"/>
    <row r="6604" ht="15" hidden="1" customHeight="1"/>
    <row r="6605" ht="15" hidden="1" customHeight="1"/>
    <row r="6606" ht="15" hidden="1" customHeight="1"/>
    <row r="6607" ht="15" hidden="1" customHeight="1"/>
    <row r="6608" ht="15" hidden="1" customHeight="1"/>
    <row r="6609" ht="15" hidden="1" customHeight="1"/>
    <row r="6610" ht="15" hidden="1" customHeight="1"/>
    <row r="6611" ht="15" hidden="1" customHeight="1"/>
    <row r="6612" ht="15" hidden="1" customHeight="1"/>
    <row r="6613" ht="15" hidden="1" customHeight="1"/>
    <row r="6614" ht="15" hidden="1" customHeight="1"/>
    <row r="6615" ht="15" hidden="1" customHeight="1"/>
    <row r="6616" ht="15" hidden="1" customHeight="1"/>
    <row r="6617" ht="15" hidden="1" customHeight="1"/>
    <row r="6618" ht="15" hidden="1" customHeight="1"/>
    <row r="6619" ht="15" hidden="1" customHeight="1"/>
    <row r="6620" ht="15" hidden="1" customHeight="1"/>
    <row r="6621" ht="15" hidden="1" customHeight="1"/>
    <row r="6622" ht="15" hidden="1" customHeight="1"/>
    <row r="6623" ht="15" hidden="1" customHeight="1"/>
    <row r="6624" ht="15" hidden="1" customHeight="1"/>
    <row r="6625" ht="15" hidden="1" customHeight="1"/>
    <row r="6626" ht="15" hidden="1" customHeight="1"/>
    <row r="6627" ht="15" hidden="1" customHeight="1"/>
    <row r="6628" ht="15" hidden="1" customHeight="1"/>
    <row r="6629" ht="15" hidden="1" customHeight="1"/>
    <row r="6630" ht="15" hidden="1" customHeight="1"/>
    <row r="6631" ht="15" hidden="1" customHeight="1"/>
    <row r="6632" ht="15" hidden="1" customHeight="1"/>
    <row r="6633" ht="15" hidden="1" customHeight="1"/>
    <row r="6634" ht="15" hidden="1" customHeight="1"/>
    <row r="6635" ht="15" hidden="1" customHeight="1"/>
    <row r="6636" ht="15" hidden="1" customHeight="1"/>
    <row r="6637" ht="15" hidden="1" customHeight="1"/>
    <row r="6638" ht="15" hidden="1" customHeight="1"/>
    <row r="6639" ht="15" hidden="1" customHeight="1"/>
    <row r="6640" ht="15" hidden="1" customHeight="1"/>
    <row r="6641" ht="15" hidden="1" customHeight="1"/>
    <row r="6642" ht="15" hidden="1" customHeight="1"/>
    <row r="6643" ht="15" hidden="1" customHeight="1"/>
    <row r="6644" ht="15" hidden="1" customHeight="1"/>
    <row r="6645" ht="15" hidden="1" customHeight="1"/>
    <row r="6646" ht="15" hidden="1" customHeight="1"/>
    <row r="6647" ht="15" hidden="1" customHeight="1"/>
    <row r="6648" ht="15" hidden="1" customHeight="1"/>
    <row r="6649" ht="15" hidden="1" customHeight="1"/>
    <row r="6650" ht="15" hidden="1" customHeight="1"/>
    <row r="6651" ht="15" hidden="1" customHeight="1"/>
    <row r="6652" ht="15" hidden="1" customHeight="1"/>
    <row r="6653" ht="15" hidden="1" customHeight="1"/>
    <row r="6654" ht="15" hidden="1" customHeight="1"/>
    <row r="6655" ht="15" hidden="1" customHeight="1"/>
    <row r="6656" ht="15" hidden="1" customHeight="1"/>
    <row r="6657" ht="15" hidden="1" customHeight="1"/>
    <row r="6658" ht="15" hidden="1" customHeight="1"/>
    <row r="6659" ht="15" hidden="1" customHeight="1"/>
    <row r="6660" ht="15" hidden="1" customHeight="1"/>
    <row r="6661" ht="15" hidden="1" customHeight="1"/>
    <row r="6662" ht="15" hidden="1" customHeight="1"/>
    <row r="6663" ht="15" hidden="1" customHeight="1"/>
    <row r="6664" ht="15" hidden="1" customHeight="1"/>
    <row r="6665" ht="15" hidden="1" customHeight="1"/>
    <row r="6666" ht="15" hidden="1" customHeight="1"/>
    <row r="6667" ht="15" hidden="1" customHeight="1"/>
    <row r="6668" ht="15" hidden="1" customHeight="1"/>
    <row r="6669" ht="15" hidden="1" customHeight="1"/>
    <row r="6670" ht="15" hidden="1" customHeight="1"/>
    <row r="6671" ht="15" hidden="1" customHeight="1"/>
    <row r="6672" ht="15" hidden="1" customHeight="1"/>
    <row r="6673" ht="15" hidden="1" customHeight="1"/>
    <row r="6674" ht="15" hidden="1" customHeight="1"/>
    <row r="6675" ht="15" hidden="1" customHeight="1"/>
    <row r="6676" ht="15" hidden="1" customHeight="1"/>
    <row r="6677" ht="15" hidden="1" customHeight="1"/>
    <row r="6678" ht="15" hidden="1" customHeight="1"/>
    <row r="6679" ht="15" hidden="1" customHeight="1"/>
    <row r="6680" ht="15" hidden="1" customHeight="1"/>
    <row r="6681" ht="15" hidden="1" customHeight="1"/>
    <row r="6682" ht="15" hidden="1" customHeight="1"/>
    <row r="6683" ht="15" hidden="1" customHeight="1"/>
    <row r="6684" ht="15" hidden="1" customHeight="1"/>
    <row r="6685" ht="15" hidden="1" customHeight="1"/>
    <row r="6686" ht="15" hidden="1" customHeight="1"/>
    <row r="6687" ht="15" hidden="1" customHeight="1"/>
    <row r="6688" ht="15" hidden="1" customHeight="1"/>
    <row r="6689" ht="15" hidden="1" customHeight="1"/>
    <row r="6690" ht="15" hidden="1" customHeight="1"/>
    <row r="6691" ht="15" hidden="1" customHeight="1"/>
    <row r="6692" ht="15" hidden="1" customHeight="1"/>
    <row r="6693" ht="15" hidden="1" customHeight="1"/>
    <row r="6694" ht="15" hidden="1" customHeight="1"/>
    <row r="6695" ht="15" hidden="1" customHeight="1"/>
    <row r="6696" ht="15" hidden="1" customHeight="1"/>
    <row r="6697" ht="15" hidden="1" customHeight="1"/>
    <row r="6698" ht="15" hidden="1" customHeight="1"/>
    <row r="6699" ht="15" hidden="1" customHeight="1"/>
    <row r="6700" ht="15" hidden="1" customHeight="1"/>
    <row r="6701" ht="15" hidden="1" customHeight="1"/>
    <row r="6702" ht="15" hidden="1" customHeight="1"/>
    <row r="6703" ht="15" hidden="1" customHeight="1"/>
    <row r="6704" ht="15" hidden="1" customHeight="1"/>
    <row r="6705" ht="15" hidden="1" customHeight="1"/>
    <row r="6706" ht="15" hidden="1" customHeight="1"/>
    <row r="6707" ht="15" hidden="1" customHeight="1"/>
    <row r="6708" ht="15" hidden="1" customHeight="1"/>
    <row r="6709" ht="15" hidden="1" customHeight="1"/>
    <row r="6710" ht="15" hidden="1" customHeight="1"/>
    <row r="6711" ht="15" hidden="1" customHeight="1"/>
    <row r="6712" ht="15" hidden="1" customHeight="1"/>
    <row r="6713" ht="15" hidden="1" customHeight="1"/>
    <row r="6714" ht="15" hidden="1" customHeight="1"/>
    <row r="6715" ht="15" hidden="1" customHeight="1"/>
    <row r="6716" ht="15" hidden="1" customHeight="1"/>
    <row r="6717" ht="15" hidden="1" customHeight="1"/>
    <row r="6718" ht="15" hidden="1" customHeight="1"/>
    <row r="6719" ht="15" hidden="1" customHeight="1"/>
    <row r="6720" ht="15" hidden="1" customHeight="1"/>
    <row r="6721" ht="15" hidden="1" customHeight="1"/>
    <row r="6722" ht="15" hidden="1" customHeight="1"/>
    <row r="6723" ht="15" hidden="1" customHeight="1"/>
    <row r="6724" ht="15" hidden="1" customHeight="1"/>
    <row r="6725" ht="15" hidden="1" customHeight="1"/>
    <row r="6726" ht="15" hidden="1" customHeight="1"/>
    <row r="6727" ht="15" hidden="1" customHeight="1"/>
    <row r="6728" ht="15" hidden="1" customHeight="1"/>
    <row r="6729" ht="15" hidden="1" customHeight="1"/>
    <row r="6730" ht="15" hidden="1" customHeight="1"/>
    <row r="6731" ht="15" hidden="1" customHeight="1"/>
    <row r="6732" ht="15" hidden="1" customHeight="1"/>
    <row r="6733" ht="15" hidden="1" customHeight="1"/>
    <row r="6734" ht="15" hidden="1" customHeight="1"/>
    <row r="6735" ht="15" hidden="1" customHeight="1"/>
    <row r="6736" ht="15" hidden="1" customHeight="1"/>
    <row r="6737" ht="15" hidden="1" customHeight="1"/>
    <row r="6738" ht="15" hidden="1" customHeight="1"/>
    <row r="6739" ht="15" hidden="1" customHeight="1"/>
    <row r="6740" ht="15" hidden="1" customHeight="1"/>
    <row r="6741" ht="15" hidden="1" customHeight="1"/>
    <row r="6742" ht="15" hidden="1" customHeight="1"/>
    <row r="6743" ht="15" hidden="1" customHeight="1"/>
    <row r="6744" ht="15" hidden="1" customHeight="1"/>
    <row r="6745" ht="15" hidden="1" customHeight="1"/>
    <row r="6746" ht="15" hidden="1" customHeight="1"/>
    <row r="6747" ht="15" hidden="1" customHeight="1"/>
    <row r="6748" ht="15" hidden="1" customHeight="1"/>
    <row r="6749" ht="15" hidden="1" customHeight="1"/>
    <row r="6750" ht="15" hidden="1" customHeight="1"/>
    <row r="6751" ht="15" hidden="1" customHeight="1"/>
    <row r="6752" ht="15" hidden="1" customHeight="1"/>
    <row r="6753" ht="15" hidden="1" customHeight="1"/>
    <row r="6754" ht="15" hidden="1" customHeight="1"/>
    <row r="6755" ht="15" hidden="1" customHeight="1"/>
    <row r="6756" ht="15" hidden="1" customHeight="1"/>
    <row r="6757" ht="15" hidden="1" customHeight="1"/>
    <row r="6758" ht="15" hidden="1" customHeight="1"/>
    <row r="6759" ht="15" hidden="1" customHeight="1"/>
    <row r="6760" ht="15" hidden="1" customHeight="1"/>
    <row r="6761" ht="15" hidden="1" customHeight="1"/>
    <row r="6762" ht="15" hidden="1" customHeight="1"/>
    <row r="6763" ht="15" hidden="1" customHeight="1"/>
    <row r="6764" ht="15" hidden="1" customHeight="1"/>
    <row r="6765" ht="15" hidden="1" customHeight="1"/>
    <row r="6766" ht="15" hidden="1" customHeight="1"/>
    <row r="6767" ht="15" hidden="1" customHeight="1"/>
    <row r="6768" ht="15" hidden="1" customHeight="1"/>
    <row r="6769" ht="15" hidden="1" customHeight="1"/>
    <row r="6770" ht="15" hidden="1" customHeight="1"/>
    <row r="6771" ht="15" hidden="1" customHeight="1"/>
    <row r="6772" ht="15" hidden="1" customHeight="1"/>
    <row r="6773" ht="15" hidden="1" customHeight="1"/>
    <row r="6774" ht="15" hidden="1" customHeight="1"/>
    <row r="6775" ht="15" hidden="1" customHeight="1"/>
    <row r="6776" ht="15" hidden="1" customHeight="1"/>
    <row r="6777" ht="15" hidden="1" customHeight="1"/>
    <row r="6778" ht="15" hidden="1" customHeight="1"/>
    <row r="6779" ht="15" hidden="1" customHeight="1"/>
    <row r="6780" ht="15" hidden="1" customHeight="1"/>
    <row r="6781" ht="15" hidden="1" customHeight="1"/>
    <row r="6782" ht="15" hidden="1" customHeight="1"/>
    <row r="6783" ht="15" hidden="1" customHeight="1"/>
    <row r="6784" ht="15" hidden="1" customHeight="1"/>
    <row r="6785" ht="15" hidden="1" customHeight="1"/>
    <row r="6786" ht="15" hidden="1" customHeight="1"/>
    <row r="6787" ht="15" hidden="1" customHeight="1"/>
    <row r="6788" ht="15" hidden="1" customHeight="1"/>
    <row r="6789" ht="15" hidden="1" customHeight="1"/>
    <row r="6790" ht="15" hidden="1" customHeight="1"/>
    <row r="6791" ht="15" hidden="1" customHeight="1"/>
    <row r="6792" ht="15" hidden="1" customHeight="1"/>
    <row r="6793" ht="15" hidden="1" customHeight="1"/>
    <row r="6794" ht="15" hidden="1" customHeight="1"/>
    <row r="6795" ht="15" hidden="1" customHeight="1"/>
    <row r="6796" ht="15" hidden="1" customHeight="1"/>
    <row r="6797" ht="15" hidden="1" customHeight="1"/>
    <row r="6798" ht="15" hidden="1" customHeight="1"/>
    <row r="6799" ht="15" hidden="1" customHeight="1"/>
    <row r="6800" ht="15" hidden="1" customHeight="1"/>
    <row r="6801" ht="15" hidden="1" customHeight="1"/>
    <row r="6802" ht="15" hidden="1" customHeight="1"/>
    <row r="6803" ht="15" hidden="1" customHeight="1"/>
    <row r="6804" ht="15" hidden="1" customHeight="1"/>
    <row r="6805" ht="15" hidden="1" customHeight="1"/>
    <row r="6806" ht="15" hidden="1" customHeight="1"/>
    <row r="6807" ht="15" hidden="1" customHeight="1"/>
    <row r="6808" ht="15" hidden="1" customHeight="1"/>
    <row r="6809" ht="15" hidden="1" customHeight="1"/>
    <row r="6810" ht="15" hidden="1" customHeight="1"/>
    <row r="6811" ht="15" hidden="1" customHeight="1"/>
    <row r="6812" ht="15" hidden="1" customHeight="1"/>
    <row r="6813" ht="15" hidden="1" customHeight="1"/>
    <row r="6814" ht="15" hidden="1" customHeight="1"/>
    <row r="6815" ht="15" hidden="1" customHeight="1"/>
    <row r="6816" ht="15" hidden="1" customHeight="1"/>
    <row r="6817" ht="15" hidden="1" customHeight="1"/>
    <row r="6818" ht="15" hidden="1" customHeight="1"/>
    <row r="6819" ht="15" hidden="1" customHeight="1"/>
    <row r="6820" ht="15" hidden="1" customHeight="1"/>
    <row r="6821" ht="15" hidden="1" customHeight="1"/>
    <row r="6822" ht="15" hidden="1" customHeight="1"/>
    <row r="6823" ht="15" hidden="1" customHeight="1"/>
    <row r="6824" ht="15" hidden="1" customHeight="1"/>
    <row r="6825" ht="15" hidden="1" customHeight="1"/>
    <row r="6826" ht="15" hidden="1" customHeight="1"/>
    <row r="6827" ht="15" hidden="1" customHeight="1"/>
    <row r="6828" ht="15" hidden="1" customHeight="1"/>
    <row r="6829" ht="15" hidden="1" customHeight="1"/>
    <row r="6830" ht="15" hidden="1" customHeight="1"/>
    <row r="6831" ht="15" hidden="1" customHeight="1"/>
    <row r="6832" ht="15" hidden="1" customHeight="1"/>
    <row r="6833" ht="15" hidden="1" customHeight="1"/>
    <row r="6834" ht="15" hidden="1" customHeight="1"/>
    <row r="6835" ht="15" hidden="1" customHeight="1"/>
    <row r="6836" ht="15" hidden="1" customHeight="1"/>
    <row r="6837" ht="15" hidden="1" customHeight="1"/>
    <row r="6838" ht="15" hidden="1" customHeight="1"/>
    <row r="6839" ht="15" hidden="1" customHeight="1"/>
    <row r="6840" ht="15" hidden="1" customHeight="1"/>
    <row r="6841" ht="15" hidden="1" customHeight="1"/>
    <row r="6842" ht="15" hidden="1" customHeight="1"/>
    <row r="6843" ht="15" hidden="1" customHeight="1"/>
    <row r="6844" ht="15" hidden="1" customHeight="1"/>
    <row r="6845" ht="15" hidden="1" customHeight="1"/>
    <row r="6846" ht="15" hidden="1" customHeight="1"/>
    <row r="6847" ht="15" hidden="1" customHeight="1"/>
    <row r="6848" ht="15" hidden="1" customHeight="1"/>
    <row r="6849" ht="15" hidden="1" customHeight="1"/>
    <row r="6850" ht="15" hidden="1" customHeight="1"/>
    <row r="6851" ht="15" hidden="1" customHeight="1"/>
    <row r="6852" ht="15" hidden="1" customHeight="1"/>
    <row r="6853" ht="15" hidden="1" customHeight="1"/>
    <row r="6854" ht="15" hidden="1" customHeight="1"/>
    <row r="6855" ht="15" hidden="1" customHeight="1"/>
    <row r="6856" ht="15" hidden="1" customHeight="1"/>
    <row r="6857" ht="15" hidden="1" customHeight="1"/>
    <row r="6858" ht="15" hidden="1" customHeight="1"/>
    <row r="6859" ht="15" hidden="1" customHeight="1"/>
    <row r="6860" ht="15" hidden="1" customHeight="1"/>
    <row r="6861" ht="15" hidden="1" customHeight="1"/>
    <row r="6862" ht="15" hidden="1" customHeight="1"/>
    <row r="6863" ht="15" hidden="1" customHeight="1"/>
    <row r="6864" ht="15" hidden="1" customHeight="1"/>
    <row r="6865" ht="15" hidden="1" customHeight="1"/>
    <row r="6866" ht="15" hidden="1" customHeight="1"/>
    <row r="6867" ht="15" hidden="1" customHeight="1"/>
    <row r="6868" ht="15" hidden="1" customHeight="1"/>
    <row r="6869" ht="15" hidden="1" customHeight="1"/>
    <row r="6870" ht="15" hidden="1" customHeight="1"/>
    <row r="6871" ht="15" hidden="1" customHeight="1"/>
    <row r="6872" ht="15" hidden="1" customHeight="1"/>
    <row r="6873" ht="15" hidden="1" customHeight="1"/>
    <row r="6874" ht="15" hidden="1" customHeight="1"/>
    <row r="6875" ht="15" hidden="1" customHeight="1"/>
    <row r="6876" ht="15" hidden="1" customHeight="1"/>
    <row r="6877" ht="15" hidden="1" customHeight="1"/>
    <row r="6878" ht="15" hidden="1" customHeight="1"/>
    <row r="6879" ht="15" hidden="1" customHeight="1"/>
    <row r="6880" ht="15" hidden="1" customHeight="1"/>
    <row r="6881" ht="15" hidden="1" customHeight="1"/>
    <row r="6882" ht="15" hidden="1" customHeight="1"/>
    <row r="6883" ht="15" hidden="1" customHeight="1"/>
    <row r="6884" ht="15" hidden="1" customHeight="1"/>
    <row r="6885" ht="15" hidden="1" customHeight="1"/>
    <row r="6886" ht="15" hidden="1" customHeight="1"/>
    <row r="6887" ht="15" hidden="1" customHeight="1"/>
    <row r="6888" ht="15" hidden="1" customHeight="1"/>
    <row r="6889" ht="15" hidden="1" customHeight="1"/>
    <row r="6890" ht="15" hidden="1" customHeight="1"/>
    <row r="6891" ht="15" hidden="1" customHeight="1"/>
    <row r="6892" ht="15" hidden="1" customHeight="1"/>
    <row r="6893" ht="15" hidden="1" customHeight="1"/>
    <row r="6894" ht="15" hidden="1" customHeight="1"/>
    <row r="6895" ht="15" hidden="1" customHeight="1"/>
    <row r="6896" ht="15" hidden="1" customHeight="1"/>
    <row r="6897" ht="15" hidden="1" customHeight="1"/>
    <row r="6898" ht="15" hidden="1" customHeight="1"/>
    <row r="6899" ht="15" hidden="1" customHeight="1"/>
    <row r="6900" ht="15" hidden="1" customHeight="1"/>
    <row r="6901" ht="15" hidden="1" customHeight="1"/>
    <row r="6902" ht="15" hidden="1" customHeight="1"/>
    <row r="6903" ht="15" hidden="1" customHeight="1"/>
    <row r="6904" ht="15" hidden="1" customHeight="1"/>
    <row r="6905" ht="15" hidden="1" customHeight="1"/>
    <row r="6906" ht="15" hidden="1" customHeight="1"/>
    <row r="6907" ht="15" hidden="1" customHeight="1"/>
    <row r="6908" ht="15" hidden="1" customHeight="1"/>
    <row r="6909" ht="15" hidden="1" customHeight="1"/>
    <row r="6910" ht="15" hidden="1" customHeight="1"/>
    <row r="6911" ht="15" hidden="1" customHeight="1"/>
    <row r="6912" ht="15" hidden="1" customHeight="1"/>
    <row r="6913" ht="15" hidden="1" customHeight="1"/>
    <row r="6914" ht="15" hidden="1" customHeight="1"/>
    <row r="6915" ht="15" hidden="1" customHeight="1"/>
    <row r="6916" ht="15" hidden="1" customHeight="1"/>
    <row r="6917" ht="15" hidden="1" customHeight="1"/>
    <row r="6918" ht="15" hidden="1" customHeight="1"/>
    <row r="6919" ht="15" hidden="1" customHeight="1"/>
    <row r="6920" ht="15" hidden="1" customHeight="1"/>
    <row r="6921" ht="15" hidden="1" customHeight="1"/>
    <row r="6922" ht="15" hidden="1" customHeight="1"/>
    <row r="6923" ht="15" hidden="1" customHeight="1"/>
    <row r="6924" ht="15" hidden="1" customHeight="1"/>
    <row r="6925" ht="15" hidden="1" customHeight="1"/>
    <row r="6926" ht="15" hidden="1" customHeight="1"/>
    <row r="6927" ht="15" hidden="1" customHeight="1"/>
    <row r="6928" ht="15" hidden="1" customHeight="1"/>
    <row r="6929" ht="15" hidden="1" customHeight="1"/>
    <row r="6930" ht="15" hidden="1" customHeight="1"/>
    <row r="6931" ht="15" hidden="1" customHeight="1"/>
    <row r="6932" ht="15" hidden="1" customHeight="1"/>
    <row r="6933" ht="15" hidden="1" customHeight="1"/>
    <row r="6934" ht="15" hidden="1" customHeight="1"/>
    <row r="6935" ht="15" hidden="1" customHeight="1"/>
    <row r="6936" ht="15" hidden="1" customHeight="1"/>
    <row r="6937" ht="15" hidden="1" customHeight="1"/>
    <row r="6938" ht="15" hidden="1" customHeight="1"/>
    <row r="6939" ht="15" hidden="1" customHeight="1"/>
    <row r="6940" ht="15" hidden="1" customHeight="1"/>
    <row r="6941" ht="15" hidden="1" customHeight="1"/>
    <row r="6942" ht="15" hidden="1" customHeight="1"/>
    <row r="6943" ht="15" hidden="1" customHeight="1"/>
    <row r="6944" ht="15" hidden="1" customHeight="1"/>
    <row r="6945" ht="15" hidden="1" customHeight="1"/>
    <row r="6946" ht="15" hidden="1" customHeight="1"/>
    <row r="6947" ht="15" hidden="1" customHeight="1"/>
    <row r="6948" ht="15" hidden="1" customHeight="1"/>
    <row r="6949" ht="15" hidden="1" customHeight="1"/>
    <row r="6950" ht="15" hidden="1" customHeight="1"/>
    <row r="6951" ht="15" hidden="1" customHeight="1"/>
    <row r="6952" ht="15" hidden="1" customHeight="1"/>
    <row r="6953" ht="15" hidden="1" customHeight="1"/>
    <row r="6954" ht="15" hidden="1" customHeight="1"/>
    <row r="6955" ht="15" hidden="1" customHeight="1"/>
    <row r="6956" ht="15" hidden="1" customHeight="1"/>
    <row r="6957" ht="15" hidden="1" customHeight="1"/>
    <row r="6958" ht="15" hidden="1" customHeight="1"/>
    <row r="6959" ht="15" hidden="1" customHeight="1"/>
    <row r="6960" ht="15" hidden="1" customHeight="1"/>
    <row r="6961" ht="15" hidden="1" customHeight="1"/>
    <row r="6962" ht="15" hidden="1" customHeight="1"/>
    <row r="6963" ht="15" hidden="1" customHeight="1"/>
    <row r="6964" ht="15" hidden="1" customHeight="1"/>
    <row r="6965" ht="15" hidden="1" customHeight="1"/>
    <row r="6966" ht="15" hidden="1" customHeight="1"/>
    <row r="6967" ht="15" hidden="1" customHeight="1"/>
    <row r="6968" ht="15" hidden="1" customHeight="1"/>
    <row r="6969" ht="15" hidden="1" customHeight="1"/>
    <row r="6970" ht="15" hidden="1" customHeight="1"/>
    <row r="6971" ht="15" hidden="1" customHeight="1"/>
    <row r="6972" ht="15" hidden="1" customHeight="1"/>
    <row r="6973" ht="15" hidden="1" customHeight="1"/>
    <row r="6974" ht="15" hidden="1" customHeight="1"/>
    <row r="6975" ht="15" hidden="1" customHeight="1"/>
    <row r="6976" ht="15" hidden="1" customHeight="1"/>
    <row r="6977" ht="15" hidden="1" customHeight="1"/>
    <row r="6978" ht="15" hidden="1" customHeight="1"/>
    <row r="6979" ht="15" hidden="1" customHeight="1"/>
    <row r="6980" ht="15" hidden="1" customHeight="1"/>
    <row r="6981" ht="15" hidden="1" customHeight="1"/>
    <row r="6982" ht="15" hidden="1" customHeight="1"/>
    <row r="6983" ht="15" hidden="1" customHeight="1"/>
    <row r="6984" ht="15" hidden="1" customHeight="1"/>
    <row r="6985" ht="15" hidden="1" customHeight="1"/>
    <row r="6986" ht="15" hidden="1" customHeight="1"/>
    <row r="6987" ht="15" hidden="1" customHeight="1"/>
    <row r="6988" ht="15" hidden="1" customHeight="1"/>
    <row r="6989" ht="15" hidden="1" customHeight="1"/>
    <row r="6990" ht="15" hidden="1" customHeight="1"/>
    <row r="6991" ht="15" hidden="1" customHeight="1"/>
    <row r="6992" ht="15" hidden="1" customHeight="1"/>
    <row r="6993" ht="15" hidden="1" customHeight="1"/>
    <row r="6994" ht="15" hidden="1" customHeight="1"/>
    <row r="6995" ht="15" hidden="1" customHeight="1"/>
    <row r="6996" ht="15" hidden="1" customHeight="1"/>
    <row r="6997" ht="15" hidden="1" customHeight="1"/>
    <row r="6998" ht="15" hidden="1" customHeight="1"/>
    <row r="6999" ht="15" hidden="1" customHeight="1"/>
    <row r="7000" ht="15" hidden="1" customHeight="1"/>
    <row r="7001" ht="15" hidden="1" customHeight="1"/>
    <row r="7002" ht="15" hidden="1" customHeight="1"/>
    <row r="7003" ht="15" hidden="1" customHeight="1"/>
    <row r="7004" ht="15" hidden="1" customHeight="1"/>
    <row r="7005" ht="15" hidden="1" customHeight="1"/>
    <row r="7006" ht="15" hidden="1" customHeight="1"/>
    <row r="7007" ht="15" hidden="1" customHeight="1"/>
    <row r="7008" ht="15" hidden="1" customHeight="1"/>
    <row r="7009" ht="15" hidden="1" customHeight="1"/>
    <row r="7010" ht="15" hidden="1" customHeight="1"/>
    <row r="7011" ht="15" hidden="1" customHeight="1"/>
    <row r="7012" ht="15" hidden="1" customHeight="1"/>
    <row r="7013" ht="15" hidden="1" customHeight="1"/>
    <row r="7014" ht="15" hidden="1" customHeight="1"/>
    <row r="7015" ht="15" hidden="1" customHeight="1"/>
    <row r="7016" ht="15" hidden="1" customHeight="1"/>
    <row r="7017" ht="15" hidden="1" customHeight="1"/>
    <row r="7018" ht="15" hidden="1" customHeight="1"/>
    <row r="7019" ht="15" hidden="1" customHeight="1"/>
    <row r="7020" ht="15" hidden="1" customHeight="1"/>
    <row r="7021" ht="15" hidden="1" customHeight="1"/>
    <row r="7022" ht="15" hidden="1" customHeight="1"/>
    <row r="7023" ht="15" hidden="1" customHeight="1"/>
    <row r="7024" ht="15" hidden="1" customHeight="1"/>
    <row r="7025" ht="15" hidden="1" customHeight="1"/>
    <row r="7026" ht="15" hidden="1" customHeight="1"/>
    <row r="7027" ht="15" hidden="1" customHeight="1"/>
    <row r="7028" ht="15" hidden="1" customHeight="1"/>
    <row r="7029" ht="15" hidden="1" customHeight="1"/>
    <row r="7030" ht="15" hidden="1" customHeight="1"/>
    <row r="7031" ht="15" hidden="1" customHeight="1"/>
    <row r="7032" ht="15" hidden="1" customHeight="1"/>
    <row r="7033" ht="15" hidden="1" customHeight="1"/>
    <row r="7034" ht="15" hidden="1" customHeight="1"/>
    <row r="7035" ht="15" hidden="1" customHeight="1"/>
    <row r="7036" ht="15" hidden="1" customHeight="1"/>
    <row r="7037" ht="15" hidden="1" customHeight="1"/>
    <row r="7038" ht="15" hidden="1" customHeight="1"/>
    <row r="7039" ht="15" hidden="1" customHeight="1"/>
    <row r="7040" ht="15" hidden="1" customHeight="1"/>
    <row r="7041" ht="15" hidden="1" customHeight="1"/>
    <row r="7042" ht="15" hidden="1" customHeight="1"/>
    <row r="7043" ht="15" hidden="1" customHeight="1"/>
    <row r="7044" ht="15" hidden="1" customHeight="1"/>
    <row r="7045" ht="15" hidden="1" customHeight="1"/>
    <row r="7046" ht="15" hidden="1" customHeight="1"/>
    <row r="7047" ht="15" hidden="1" customHeight="1"/>
    <row r="7048" ht="15" hidden="1" customHeight="1"/>
    <row r="7049" ht="15" hidden="1" customHeight="1"/>
    <row r="7050" ht="15" hidden="1" customHeight="1"/>
    <row r="7051" ht="15" hidden="1" customHeight="1"/>
    <row r="7052" ht="15" hidden="1" customHeight="1"/>
    <row r="7053" ht="15" hidden="1" customHeight="1"/>
    <row r="7054" ht="15" hidden="1" customHeight="1"/>
    <row r="7055" ht="15" hidden="1" customHeight="1"/>
    <row r="7056" ht="15" hidden="1" customHeight="1"/>
    <row r="7057" ht="15" hidden="1" customHeight="1"/>
    <row r="7058" ht="15" hidden="1" customHeight="1"/>
    <row r="7059" ht="15" hidden="1" customHeight="1"/>
    <row r="7060" ht="15" hidden="1" customHeight="1"/>
    <row r="7061" ht="15" hidden="1" customHeight="1"/>
    <row r="7062" ht="15" hidden="1" customHeight="1"/>
    <row r="7063" ht="15" hidden="1" customHeight="1"/>
    <row r="7064" ht="15" hidden="1" customHeight="1"/>
    <row r="7065" ht="15" hidden="1" customHeight="1"/>
    <row r="7066" ht="15" hidden="1" customHeight="1"/>
    <row r="7067" ht="15" hidden="1" customHeight="1"/>
    <row r="7068" ht="15" hidden="1" customHeight="1"/>
    <row r="7069" ht="15" hidden="1" customHeight="1"/>
    <row r="7070" ht="15" hidden="1" customHeight="1"/>
    <row r="7071" ht="15" hidden="1" customHeight="1"/>
    <row r="7072" ht="15" hidden="1" customHeight="1"/>
    <row r="7073" ht="15" hidden="1" customHeight="1"/>
    <row r="7074" ht="15" hidden="1" customHeight="1"/>
    <row r="7075" ht="15" hidden="1" customHeight="1"/>
    <row r="7076" ht="15" hidden="1" customHeight="1"/>
    <row r="7077" ht="15" hidden="1" customHeight="1"/>
    <row r="7078" ht="15" hidden="1" customHeight="1"/>
    <row r="7079" ht="15" hidden="1" customHeight="1"/>
    <row r="7080" ht="15" hidden="1" customHeight="1"/>
    <row r="7081" ht="15" hidden="1" customHeight="1"/>
    <row r="7082" ht="15" hidden="1" customHeight="1"/>
    <row r="7083" ht="15" hidden="1" customHeight="1"/>
    <row r="7084" ht="15" hidden="1" customHeight="1"/>
    <row r="7085" ht="15" hidden="1" customHeight="1"/>
    <row r="7086" ht="15" hidden="1" customHeight="1"/>
    <row r="7087" ht="15" hidden="1" customHeight="1"/>
    <row r="7088" ht="15" hidden="1" customHeight="1"/>
    <row r="7089" ht="15" hidden="1" customHeight="1"/>
    <row r="7090" ht="15" hidden="1" customHeight="1"/>
    <row r="7091" ht="15" hidden="1" customHeight="1"/>
    <row r="7092" ht="15" hidden="1" customHeight="1"/>
    <row r="7093" ht="15" hidden="1" customHeight="1"/>
    <row r="7094" ht="15" hidden="1" customHeight="1"/>
    <row r="7095" ht="15" hidden="1" customHeight="1"/>
    <row r="7096" ht="15" hidden="1" customHeight="1"/>
    <row r="7097" ht="15" hidden="1" customHeight="1"/>
    <row r="7098" ht="15" hidden="1" customHeight="1"/>
    <row r="7099" ht="15" hidden="1" customHeight="1"/>
    <row r="7100" ht="15" hidden="1" customHeight="1"/>
    <row r="7101" ht="15" hidden="1" customHeight="1"/>
    <row r="7102" ht="15" hidden="1" customHeight="1"/>
    <row r="7103" ht="15" hidden="1" customHeight="1"/>
    <row r="7104" ht="15" hidden="1" customHeight="1"/>
    <row r="7105" ht="15" hidden="1" customHeight="1"/>
    <row r="7106" ht="15" hidden="1" customHeight="1"/>
    <row r="7107" ht="15" hidden="1" customHeight="1"/>
    <row r="7108" ht="15" hidden="1" customHeight="1"/>
    <row r="7109" ht="15" hidden="1" customHeight="1"/>
    <row r="7110" ht="15" hidden="1" customHeight="1"/>
    <row r="7111" ht="15" hidden="1" customHeight="1"/>
    <row r="7112" ht="15" hidden="1" customHeight="1"/>
    <row r="7113" ht="15" hidden="1" customHeight="1"/>
    <row r="7114" ht="15" hidden="1" customHeight="1"/>
    <row r="7115" ht="15" hidden="1" customHeight="1"/>
    <row r="7116" ht="15" hidden="1" customHeight="1"/>
    <row r="7117" ht="15" hidden="1" customHeight="1"/>
    <row r="7118" ht="15" hidden="1" customHeight="1"/>
    <row r="7119" ht="15" hidden="1" customHeight="1"/>
    <row r="7120" ht="15" hidden="1" customHeight="1"/>
    <row r="7121" ht="15" hidden="1" customHeight="1"/>
    <row r="7122" ht="15" hidden="1" customHeight="1"/>
    <row r="7123" ht="15" hidden="1" customHeight="1"/>
    <row r="7124" ht="15" hidden="1" customHeight="1"/>
    <row r="7125" ht="15" hidden="1" customHeight="1"/>
    <row r="7126" ht="15" hidden="1" customHeight="1"/>
    <row r="7127" ht="15" hidden="1" customHeight="1"/>
    <row r="7128" ht="15" hidden="1" customHeight="1"/>
    <row r="7129" ht="15" hidden="1" customHeight="1"/>
    <row r="7130" ht="15" hidden="1" customHeight="1"/>
    <row r="7131" ht="15" hidden="1" customHeight="1"/>
    <row r="7132" ht="15" hidden="1" customHeight="1"/>
    <row r="7133" ht="15" hidden="1" customHeight="1"/>
    <row r="7134" ht="15" hidden="1" customHeight="1"/>
    <row r="7135" ht="15" hidden="1" customHeight="1"/>
    <row r="7136" ht="15" hidden="1" customHeight="1"/>
    <row r="7137" ht="15" hidden="1" customHeight="1"/>
    <row r="7138" ht="15" hidden="1" customHeight="1"/>
    <row r="7139" ht="15" hidden="1" customHeight="1"/>
    <row r="7140" ht="15" hidden="1" customHeight="1"/>
    <row r="7141" ht="15" hidden="1" customHeight="1"/>
    <row r="7142" ht="15" hidden="1" customHeight="1"/>
    <row r="7143" ht="15" hidden="1" customHeight="1"/>
    <row r="7144" ht="15" hidden="1" customHeight="1"/>
    <row r="7145" ht="15" hidden="1" customHeight="1"/>
    <row r="7146" ht="15" hidden="1" customHeight="1"/>
    <row r="7147" ht="15" hidden="1" customHeight="1"/>
    <row r="7148" ht="15" hidden="1" customHeight="1"/>
    <row r="7149" ht="15" hidden="1" customHeight="1"/>
    <row r="7150" ht="15" hidden="1" customHeight="1"/>
    <row r="7151" ht="15" hidden="1" customHeight="1"/>
    <row r="7152" ht="15" hidden="1" customHeight="1"/>
    <row r="7153" ht="15" hidden="1" customHeight="1"/>
    <row r="7154" ht="15" hidden="1" customHeight="1"/>
    <row r="7155" ht="15" hidden="1" customHeight="1"/>
    <row r="7156" ht="15" hidden="1" customHeight="1"/>
    <row r="7157" ht="15" hidden="1" customHeight="1"/>
    <row r="7158" ht="15" hidden="1" customHeight="1"/>
    <row r="7159" ht="15" hidden="1" customHeight="1"/>
    <row r="7160" ht="15" hidden="1" customHeight="1"/>
    <row r="7161" ht="15" hidden="1" customHeight="1"/>
    <row r="7162" ht="15" hidden="1" customHeight="1"/>
    <row r="7163" ht="15" hidden="1" customHeight="1"/>
    <row r="7164" ht="15" hidden="1" customHeight="1"/>
    <row r="7165" ht="15" hidden="1" customHeight="1"/>
    <row r="7166" ht="15" hidden="1" customHeight="1"/>
    <row r="7167" ht="15" hidden="1" customHeight="1"/>
    <row r="7168" ht="15" hidden="1" customHeight="1"/>
    <row r="7169" ht="15" hidden="1" customHeight="1"/>
    <row r="7170" ht="15" hidden="1" customHeight="1"/>
    <row r="7171" ht="15" hidden="1" customHeight="1"/>
    <row r="7172" ht="15" hidden="1" customHeight="1"/>
    <row r="7173" ht="15" hidden="1" customHeight="1"/>
    <row r="7174" ht="15" hidden="1" customHeight="1"/>
    <row r="7175" ht="15" hidden="1" customHeight="1"/>
    <row r="7176" ht="15" hidden="1" customHeight="1"/>
    <row r="7177" ht="15" hidden="1" customHeight="1"/>
    <row r="7178" ht="15" hidden="1" customHeight="1"/>
    <row r="7179" ht="15" hidden="1" customHeight="1"/>
    <row r="7180" ht="15" hidden="1" customHeight="1"/>
    <row r="7181" ht="15" hidden="1" customHeight="1"/>
    <row r="7182" ht="15" hidden="1" customHeight="1"/>
    <row r="7183" ht="15" hidden="1" customHeight="1"/>
    <row r="7184" ht="15" hidden="1" customHeight="1"/>
    <row r="7185" ht="15" hidden="1" customHeight="1"/>
    <row r="7186" ht="15" hidden="1" customHeight="1"/>
    <row r="7187" ht="15" hidden="1" customHeight="1"/>
    <row r="7188" ht="15" hidden="1" customHeight="1"/>
    <row r="7189" ht="15" hidden="1" customHeight="1"/>
    <row r="7190" ht="15" hidden="1" customHeight="1"/>
    <row r="7191" ht="15" hidden="1" customHeight="1"/>
    <row r="7192" ht="15" hidden="1" customHeight="1"/>
    <row r="7193" ht="15" hidden="1" customHeight="1"/>
    <row r="7194" ht="15" hidden="1" customHeight="1"/>
    <row r="7195" ht="15" hidden="1" customHeight="1"/>
    <row r="7196" ht="15" hidden="1" customHeight="1"/>
    <row r="7197" ht="15" hidden="1" customHeight="1"/>
    <row r="7198" ht="15" hidden="1" customHeight="1"/>
    <row r="7199" ht="15" hidden="1" customHeight="1"/>
    <row r="7200" ht="15" hidden="1" customHeight="1"/>
    <row r="7201" ht="15" hidden="1" customHeight="1"/>
    <row r="7202" ht="15" hidden="1" customHeight="1"/>
    <row r="7203" ht="15" hidden="1" customHeight="1"/>
    <row r="7204" ht="15" hidden="1" customHeight="1"/>
    <row r="7205" ht="15" hidden="1" customHeight="1"/>
    <row r="7206" ht="15" hidden="1" customHeight="1"/>
    <row r="7207" ht="15" hidden="1" customHeight="1"/>
    <row r="7208" ht="15" hidden="1" customHeight="1"/>
    <row r="7209" ht="15" hidden="1" customHeight="1"/>
    <row r="7210" ht="15" hidden="1" customHeight="1"/>
    <row r="7211" ht="15" hidden="1" customHeight="1"/>
    <row r="7212" ht="15" hidden="1" customHeight="1"/>
    <row r="7213" ht="15" hidden="1" customHeight="1"/>
    <row r="7214" ht="15" hidden="1" customHeight="1"/>
    <row r="7215" ht="15" hidden="1" customHeight="1"/>
    <row r="7216" ht="15" hidden="1" customHeight="1"/>
    <row r="7217" ht="15" hidden="1" customHeight="1"/>
    <row r="7218" ht="15" hidden="1" customHeight="1"/>
    <row r="7219" ht="15" hidden="1" customHeight="1"/>
    <row r="7220" ht="15" hidden="1" customHeight="1"/>
    <row r="7221" ht="15" hidden="1" customHeight="1"/>
    <row r="7222" ht="15" hidden="1" customHeight="1"/>
    <row r="7223" ht="15" hidden="1" customHeight="1"/>
    <row r="7224" ht="15" hidden="1" customHeight="1"/>
    <row r="7225" ht="15" hidden="1" customHeight="1"/>
    <row r="7226" ht="15" hidden="1" customHeight="1"/>
    <row r="7227" ht="15" hidden="1" customHeight="1"/>
    <row r="7228" ht="15" hidden="1" customHeight="1"/>
    <row r="7229" ht="15" hidden="1" customHeight="1"/>
    <row r="7230" ht="15" hidden="1" customHeight="1"/>
    <row r="7231" ht="15" hidden="1" customHeight="1"/>
    <row r="7232" ht="15" hidden="1" customHeight="1"/>
    <row r="7233" ht="15" hidden="1" customHeight="1"/>
    <row r="7234" ht="15" hidden="1" customHeight="1"/>
    <row r="7235" ht="15" hidden="1" customHeight="1"/>
    <row r="7236" ht="15" hidden="1" customHeight="1"/>
    <row r="7237" ht="15" hidden="1" customHeight="1"/>
    <row r="7238" ht="15" hidden="1" customHeight="1"/>
    <row r="7239" ht="15" hidden="1" customHeight="1"/>
    <row r="7240" ht="15" hidden="1" customHeight="1"/>
    <row r="7241" ht="15" hidden="1" customHeight="1"/>
    <row r="7242" ht="15" hidden="1" customHeight="1"/>
    <row r="7243" ht="15" hidden="1" customHeight="1"/>
    <row r="7244" ht="15" hidden="1" customHeight="1"/>
    <row r="7245" ht="15" hidden="1" customHeight="1"/>
    <row r="7246" ht="15" hidden="1" customHeight="1"/>
    <row r="7247" ht="15" hidden="1" customHeight="1"/>
    <row r="7248" ht="15" hidden="1" customHeight="1"/>
    <row r="7249" ht="15" hidden="1" customHeight="1"/>
    <row r="7250" ht="15" hidden="1" customHeight="1"/>
    <row r="7251" ht="15" hidden="1" customHeight="1"/>
    <row r="7252" ht="15" hidden="1" customHeight="1"/>
    <row r="7253" ht="15" hidden="1" customHeight="1"/>
    <row r="7254" ht="15" hidden="1" customHeight="1"/>
    <row r="7255" ht="15" hidden="1" customHeight="1"/>
    <row r="7256" ht="15" hidden="1" customHeight="1"/>
    <row r="7257" ht="15" hidden="1" customHeight="1"/>
    <row r="7258" ht="15" hidden="1" customHeight="1"/>
    <row r="7259" ht="15" hidden="1" customHeight="1"/>
    <row r="7260" ht="15" hidden="1" customHeight="1"/>
    <row r="7261" ht="15" hidden="1" customHeight="1"/>
    <row r="7262" ht="15" hidden="1" customHeight="1"/>
    <row r="7263" ht="15" hidden="1" customHeight="1"/>
    <row r="7264" ht="15" hidden="1" customHeight="1"/>
    <row r="7265" ht="15" hidden="1" customHeight="1"/>
    <row r="7266" ht="15" hidden="1" customHeight="1"/>
    <row r="7267" ht="15" hidden="1" customHeight="1"/>
    <row r="7268" ht="15" hidden="1" customHeight="1"/>
    <row r="7269" ht="15" hidden="1" customHeight="1"/>
    <row r="7270" ht="15" hidden="1" customHeight="1"/>
    <row r="7271" ht="15" hidden="1" customHeight="1"/>
    <row r="7272" ht="15" hidden="1" customHeight="1"/>
    <row r="7273" ht="15" hidden="1" customHeight="1"/>
    <row r="7274" ht="15" hidden="1" customHeight="1"/>
    <row r="7275" ht="15" hidden="1" customHeight="1"/>
    <row r="7276" ht="15" hidden="1" customHeight="1"/>
    <row r="7277" ht="15" hidden="1" customHeight="1"/>
    <row r="7278" ht="15" hidden="1" customHeight="1"/>
    <row r="7279" ht="15" hidden="1" customHeight="1"/>
    <row r="7280" ht="15" hidden="1" customHeight="1"/>
    <row r="7281" ht="15" hidden="1" customHeight="1"/>
    <row r="7282" ht="15" hidden="1" customHeight="1"/>
    <row r="7283" ht="15" hidden="1" customHeight="1"/>
    <row r="7284" ht="15" hidden="1" customHeight="1"/>
    <row r="7285" ht="15" hidden="1" customHeight="1"/>
    <row r="7286" ht="15" hidden="1" customHeight="1"/>
    <row r="7287" ht="15" hidden="1" customHeight="1"/>
    <row r="7288" ht="15" hidden="1" customHeight="1"/>
    <row r="7289" ht="15" hidden="1" customHeight="1"/>
    <row r="7290" ht="15" hidden="1" customHeight="1"/>
    <row r="7291" ht="15" hidden="1" customHeight="1"/>
    <row r="7292" ht="15" hidden="1" customHeight="1"/>
    <row r="7293" ht="15" hidden="1" customHeight="1"/>
    <row r="7294" ht="15" hidden="1" customHeight="1"/>
    <row r="7295" ht="15" hidden="1" customHeight="1"/>
    <row r="7296" ht="15" hidden="1" customHeight="1"/>
    <row r="7297" ht="15" hidden="1" customHeight="1"/>
    <row r="7298" ht="15" hidden="1" customHeight="1"/>
    <row r="7299" ht="15" hidden="1" customHeight="1"/>
    <row r="7300" ht="15" hidden="1" customHeight="1"/>
    <row r="7301" ht="15" hidden="1" customHeight="1"/>
    <row r="7302" ht="15" hidden="1" customHeight="1"/>
    <row r="7303" ht="15" hidden="1" customHeight="1"/>
    <row r="7304" ht="15" hidden="1" customHeight="1"/>
    <row r="7305" ht="15" hidden="1" customHeight="1"/>
    <row r="7306" ht="15" hidden="1" customHeight="1"/>
    <row r="7307" ht="15" hidden="1" customHeight="1"/>
    <row r="7308" ht="15" hidden="1" customHeight="1"/>
    <row r="7309" ht="15" hidden="1" customHeight="1"/>
    <row r="7310" ht="15" hidden="1" customHeight="1"/>
    <row r="7311" ht="15" hidden="1" customHeight="1"/>
    <row r="7312" ht="15" hidden="1" customHeight="1"/>
    <row r="7313" ht="15" hidden="1" customHeight="1"/>
    <row r="7314" ht="15" hidden="1" customHeight="1"/>
    <row r="7315" ht="15" hidden="1" customHeight="1"/>
    <row r="7316" ht="15" hidden="1" customHeight="1"/>
    <row r="7317" ht="15" hidden="1" customHeight="1"/>
    <row r="7318" ht="15" hidden="1" customHeight="1"/>
    <row r="7319" ht="15" hidden="1" customHeight="1"/>
    <row r="7320" ht="15" hidden="1" customHeight="1"/>
    <row r="7321" ht="15" hidden="1" customHeight="1"/>
    <row r="7322" ht="15" hidden="1" customHeight="1"/>
    <row r="7323" ht="15" hidden="1" customHeight="1"/>
    <row r="7324" ht="15" hidden="1" customHeight="1"/>
    <row r="7325" ht="15" hidden="1" customHeight="1"/>
    <row r="7326" ht="15" hidden="1" customHeight="1"/>
    <row r="7327" ht="15" hidden="1" customHeight="1"/>
    <row r="7328" ht="15" hidden="1" customHeight="1"/>
    <row r="7329" ht="15" hidden="1" customHeight="1"/>
    <row r="7330" ht="15" hidden="1" customHeight="1"/>
    <row r="7331" ht="15" hidden="1" customHeight="1"/>
    <row r="7332" ht="15" hidden="1" customHeight="1"/>
    <row r="7333" ht="15" hidden="1" customHeight="1"/>
    <row r="7334" ht="15" hidden="1" customHeight="1"/>
    <row r="7335" ht="15" hidden="1" customHeight="1"/>
    <row r="7336" ht="15" hidden="1" customHeight="1"/>
    <row r="7337" ht="15" hidden="1" customHeight="1"/>
    <row r="7338" ht="15" hidden="1" customHeight="1"/>
    <row r="7339" ht="15" hidden="1" customHeight="1"/>
    <row r="7340" ht="15" hidden="1" customHeight="1"/>
    <row r="7341" ht="15" hidden="1" customHeight="1"/>
    <row r="7342" ht="15" hidden="1" customHeight="1"/>
    <row r="7343" ht="15" hidden="1" customHeight="1"/>
    <row r="7344" ht="15" hidden="1" customHeight="1"/>
    <row r="7345" ht="15" hidden="1" customHeight="1"/>
    <row r="7346" ht="15" hidden="1" customHeight="1"/>
    <row r="7347" ht="15" hidden="1" customHeight="1"/>
    <row r="7348" ht="15" hidden="1" customHeight="1"/>
    <row r="7349" ht="15" hidden="1" customHeight="1"/>
    <row r="7350" ht="15" hidden="1" customHeight="1"/>
    <row r="7351" ht="15" hidden="1" customHeight="1"/>
    <row r="7352" ht="15" hidden="1" customHeight="1"/>
    <row r="7353" ht="15" hidden="1" customHeight="1"/>
    <row r="7354" ht="15" hidden="1" customHeight="1"/>
    <row r="7355" ht="15" hidden="1" customHeight="1"/>
    <row r="7356" ht="15" hidden="1" customHeight="1"/>
    <row r="7357" ht="15" hidden="1" customHeight="1"/>
    <row r="7358" ht="15" hidden="1" customHeight="1"/>
    <row r="7359" ht="15" hidden="1" customHeight="1"/>
    <row r="7360" ht="15" hidden="1" customHeight="1"/>
    <row r="7361" ht="15" hidden="1" customHeight="1"/>
    <row r="7362" ht="15" hidden="1" customHeight="1"/>
    <row r="7363" ht="15" hidden="1" customHeight="1"/>
    <row r="7364" ht="15" hidden="1" customHeight="1"/>
    <row r="7365" ht="15" hidden="1" customHeight="1"/>
    <row r="7366" ht="15" hidden="1" customHeight="1"/>
    <row r="7367" ht="15" hidden="1" customHeight="1"/>
    <row r="7368" ht="15" hidden="1" customHeight="1"/>
    <row r="7369" ht="15" hidden="1" customHeight="1"/>
    <row r="7370" ht="15" hidden="1" customHeight="1"/>
    <row r="7371" ht="15" hidden="1" customHeight="1"/>
    <row r="7372" ht="15" hidden="1" customHeight="1"/>
    <row r="7373" ht="15" hidden="1" customHeight="1"/>
    <row r="7374" ht="15" hidden="1" customHeight="1"/>
    <row r="7375" ht="15" hidden="1" customHeight="1"/>
    <row r="7376" ht="15" hidden="1" customHeight="1"/>
    <row r="7377" ht="15" hidden="1" customHeight="1"/>
    <row r="7378" ht="15" hidden="1" customHeight="1"/>
    <row r="7379" ht="15" hidden="1" customHeight="1"/>
    <row r="7380" ht="15" hidden="1" customHeight="1"/>
    <row r="7381" ht="15" hidden="1" customHeight="1"/>
    <row r="7382" ht="15" hidden="1" customHeight="1"/>
    <row r="7383" ht="15" hidden="1" customHeight="1"/>
    <row r="7384" ht="15" hidden="1" customHeight="1"/>
    <row r="7385" ht="15" hidden="1" customHeight="1"/>
    <row r="7386" ht="15" hidden="1" customHeight="1"/>
    <row r="7387" ht="15" hidden="1" customHeight="1"/>
    <row r="7388" ht="15" hidden="1" customHeight="1"/>
    <row r="7389" ht="15" hidden="1" customHeight="1"/>
    <row r="7390" ht="15" hidden="1" customHeight="1"/>
    <row r="7391" ht="15" hidden="1" customHeight="1"/>
    <row r="7392" ht="15" hidden="1" customHeight="1"/>
    <row r="7393" ht="15" hidden="1" customHeight="1"/>
    <row r="7394" ht="15" hidden="1" customHeight="1"/>
    <row r="7395" ht="15" hidden="1" customHeight="1"/>
    <row r="7396" ht="15" hidden="1" customHeight="1"/>
    <row r="7397" ht="15" hidden="1" customHeight="1"/>
    <row r="7398" ht="15" hidden="1" customHeight="1"/>
    <row r="7399" ht="15" hidden="1" customHeight="1"/>
    <row r="7400" ht="15" hidden="1" customHeight="1"/>
    <row r="7401" ht="15" hidden="1" customHeight="1"/>
    <row r="7402" ht="15" hidden="1" customHeight="1"/>
    <row r="7403" ht="15" hidden="1" customHeight="1"/>
    <row r="7404" ht="15" hidden="1" customHeight="1"/>
    <row r="7405" ht="15" hidden="1" customHeight="1"/>
    <row r="7406" ht="15" hidden="1" customHeight="1"/>
    <row r="7407" ht="15" hidden="1" customHeight="1"/>
    <row r="7408" ht="15" hidden="1" customHeight="1"/>
    <row r="7409" ht="15" hidden="1" customHeight="1"/>
    <row r="7410" ht="15" hidden="1" customHeight="1"/>
    <row r="7411" ht="15" hidden="1" customHeight="1"/>
    <row r="7412" ht="15" hidden="1" customHeight="1"/>
    <row r="7413" ht="15" hidden="1" customHeight="1"/>
    <row r="7414" ht="15" hidden="1" customHeight="1"/>
    <row r="7415" ht="15" hidden="1" customHeight="1"/>
    <row r="7416" ht="15" hidden="1" customHeight="1"/>
    <row r="7417" ht="15" hidden="1" customHeight="1"/>
    <row r="7418" ht="15" hidden="1" customHeight="1"/>
    <row r="7419" ht="15" hidden="1" customHeight="1"/>
    <row r="7420" ht="15" hidden="1" customHeight="1"/>
    <row r="7421" ht="15" hidden="1" customHeight="1"/>
    <row r="7422" ht="15" hidden="1" customHeight="1"/>
    <row r="7423" ht="15" hidden="1" customHeight="1"/>
    <row r="7424" ht="15" hidden="1" customHeight="1"/>
    <row r="7425" ht="15" hidden="1" customHeight="1"/>
    <row r="7426" ht="15" hidden="1" customHeight="1"/>
    <row r="7427" ht="15" hidden="1" customHeight="1"/>
    <row r="7428" ht="15" hidden="1" customHeight="1"/>
    <row r="7429" ht="15" hidden="1" customHeight="1"/>
    <row r="7430" ht="15" hidden="1" customHeight="1"/>
    <row r="7431" ht="15" hidden="1" customHeight="1"/>
    <row r="7432" ht="15" hidden="1" customHeight="1"/>
    <row r="7433" ht="15" hidden="1" customHeight="1"/>
    <row r="7434" ht="15" hidden="1" customHeight="1"/>
    <row r="7435" ht="15" hidden="1" customHeight="1"/>
    <row r="7436" ht="15" hidden="1" customHeight="1"/>
    <row r="7437" ht="15" hidden="1" customHeight="1"/>
    <row r="7438" ht="15" hidden="1" customHeight="1"/>
    <row r="7439" ht="15" hidden="1" customHeight="1"/>
    <row r="7440" ht="15" hidden="1" customHeight="1"/>
    <row r="7441" ht="15" hidden="1" customHeight="1"/>
    <row r="7442" ht="15" hidden="1" customHeight="1"/>
    <row r="7443" ht="15" hidden="1" customHeight="1"/>
    <row r="7444" ht="15" hidden="1" customHeight="1"/>
    <row r="7445" ht="15" hidden="1" customHeight="1"/>
    <row r="7446" ht="15" hidden="1" customHeight="1"/>
    <row r="7447" ht="15" hidden="1" customHeight="1"/>
    <row r="7448" ht="15" hidden="1" customHeight="1"/>
    <row r="7449" ht="15" hidden="1" customHeight="1"/>
    <row r="7450" ht="15" hidden="1" customHeight="1"/>
    <row r="7451" ht="15" hidden="1" customHeight="1"/>
    <row r="7452" ht="15" hidden="1" customHeight="1"/>
    <row r="7453" ht="15" hidden="1" customHeight="1"/>
  </sheetData>
  <sheetProtection algorithmName="SHA-512" hashValue="FWzIN6Q0nsMSpqgFBYaYvArioPmbUmssjpnz0DVRsmjNuqfo+rmcBphPN9SHf1FaEbh74Q8Nmov5/GOmBObd7A==" saltValue="J+KhFA6YC3WQBhH+SYM73g==" spinCount="100000" sheet="1" objects="1" scenarios="1"/>
  <dataConsolidate link="1"/>
  <mergeCells count="20">
    <mergeCell ref="B12:B13"/>
    <mergeCell ref="E12:E13"/>
    <mergeCell ref="E17:E18"/>
    <mergeCell ref="B17:B18"/>
    <mergeCell ref="G17:G18"/>
    <mergeCell ref="B16:F16"/>
    <mergeCell ref="F17:F18"/>
    <mergeCell ref="D17:D18"/>
    <mergeCell ref="C17:C18"/>
    <mergeCell ref="F1:G2"/>
    <mergeCell ref="H17:H18"/>
    <mergeCell ref="J5:J6"/>
    <mergeCell ref="P17:P18"/>
    <mergeCell ref="L17:L18"/>
    <mergeCell ref="M17:M18"/>
    <mergeCell ref="N17:N18"/>
    <mergeCell ref="O17:O18"/>
    <mergeCell ref="J17:J18"/>
    <mergeCell ref="G16:J16"/>
    <mergeCell ref="I17:I18"/>
  </mergeCells>
  <conditionalFormatting sqref="D12:D13">
    <cfRule type="cellIs" dxfId="138" priority="14" operator="equal">
      <formula>"Q"</formula>
    </cfRule>
    <cfRule type="cellIs" dxfId="137" priority="15" operator="equal">
      <formula>"R"</formula>
    </cfRule>
  </conditionalFormatting>
  <conditionalFormatting sqref="D14">
    <cfRule type="cellIs" dxfId="136" priority="10" operator="equal">
      <formula>"Q"</formula>
    </cfRule>
    <cfRule type="cellIs" dxfId="135" priority="11" operator="equal">
      <formula>"R"</formula>
    </cfRule>
  </conditionalFormatting>
  <conditionalFormatting sqref="E15">
    <cfRule type="cellIs" dxfId="134" priority="1" operator="equal">
      <formula>"Q"</formula>
    </cfRule>
    <cfRule type="cellIs" dxfId="133" priority="2" operator="equal">
      <formula>"R"</formula>
    </cfRule>
  </conditionalFormatting>
  <dataValidations count="1">
    <dataValidation type="list" allowBlank="1" showInputMessage="1" showErrorMessage="1" sqref="E14">
      <formula1>"да,нет"</formula1>
    </dataValidation>
  </dataValidations>
  <pageMargins left="0.7" right="0.7" top="0.75" bottom="0.75" header="0.3" footer="0.3"/>
  <pageSetup paperSize="9" scale="56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'Программы финансирования'!$B$13:$B$14</xm:f>
          </x14:formula1>
          <xm:sqref>E7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rgb="FFFFF6DD"/>
    <pageSetUpPr fitToPage="1"/>
  </sheetPr>
  <dimension ref="A1:XFD742"/>
  <sheetViews>
    <sheetView showGridLines="0" zoomScale="70" zoomScaleNormal="70" workbookViewId="0">
      <pane xSplit="2" ySplit="5" topLeftCell="C6" activePane="bottomRight" state="frozen"/>
      <selection activeCell="C12" sqref="C12:O13"/>
      <selection pane="topRight" activeCell="C12" sqref="C12:O13"/>
      <selection pane="bottomLeft" activeCell="C12" sqref="C12:O13"/>
      <selection pane="bottomRight" activeCell="B9" sqref="B9:H9"/>
    </sheetView>
  </sheetViews>
  <sheetFormatPr defaultColWidth="0" defaultRowHeight="15" customHeight="1" zeroHeight="1"/>
  <cols>
    <col min="1" max="1" width="2.7109375" customWidth="1"/>
    <col min="2" max="2" width="50" customWidth="1"/>
    <col min="3" max="73" width="17.28515625" customWidth="1"/>
    <col min="74" max="74" width="13.140625" customWidth="1"/>
    <col min="75" max="16384" width="17.28515625" hidden="1"/>
  </cols>
  <sheetData>
    <row r="1" spans="2:32" ht="15" customHeight="1"/>
    <row r="2" spans="2:32" ht="15" customHeight="1">
      <c r="E2" s="520" t="s">
        <v>401</v>
      </c>
      <c r="F2" s="521"/>
      <c r="G2" s="521"/>
      <c r="H2" s="522"/>
    </row>
    <row r="3" spans="2:32" ht="15" customHeight="1">
      <c r="E3" s="109" t="s">
        <v>250</v>
      </c>
      <c r="F3" s="109" t="s">
        <v>28</v>
      </c>
      <c r="G3" s="109" t="s">
        <v>1</v>
      </c>
      <c r="H3" s="109" t="s">
        <v>172</v>
      </c>
      <c r="J3" s="6"/>
      <c r="K3" s="6"/>
      <c r="L3" s="6"/>
      <c r="M3" s="6"/>
    </row>
    <row r="4" spans="2:32" ht="15" customHeight="1">
      <c r="E4" s="511" t="str">
        <f>IF(H4="R","Все расчёты корректны","Имеются некорректные данные")</f>
        <v>Имеются некорректные данные</v>
      </c>
      <c r="F4" s="512"/>
      <c r="G4" s="513"/>
      <c r="H4" s="73" t="str">
        <f>Проверка</f>
        <v>Q</v>
      </c>
    </row>
    <row r="5" spans="2:32" ht="31.5">
      <c r="B5" s="7" t="s">
        <v>1</v>
      </c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</row>
    <row r="6" spans="2:32"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</row>
    <row r="7" spans="2:32" ht="21">
      <c r="B7" s="21" t="s">
        <v>214</v>
      </c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</row>
    <row r="8" spans="2:32">
      <c r="B8" s="520" t="s">
        <v>2</v>
      </c>
      <c r="C8" s="521"/>
      <c r="D8" s="521"/>
      <c r="E8" s="521"/>
      <c r="F8" s="521"/>
      <c r="G8" s="521"/>
      <c r="H8" s="522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</row>
    <row r="9" spans="2:32">
      <c r="B9" s="523"/>
      <c r="C9" s="524"/>
      <c r="D9" s="524"/>
      <c r="E9" s="524"/>
      <c r="F9" s="524"/>
      <c r="G9" s="524"/>
      <c r="H9" s="52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</row>
    <row r="10" spans="2:32">
      <c r="B10" s="8" t="s">
        <v>525</v>
      </c>
      <c r="C10" s="282"/>
      <c r="D10" s="5" t="s">
        <v>526</v>
      </c>
      <c r="E10" s="482"/>
      <c r="F10" s="483"/>
      <c r="G10" s="483"/>
      <c r="H10" s="484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</row>
    <row r="11" spans="2:32">
      <c r="B11" s="8" t="s">
        <v>416</v>
      </c>
      <c r="C11" s="482"/>
      <c r="D11" s="483"/>
      <c r="E11" s="483"/>
      <c r="F11" s="483"/>
      <c r="G11" s="483"/>
      <c r="H11" s="484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</row>
    <row r="12" spans="2:32"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</row>
    <row r="13" spans="2:32" ht="15" customHeight="1">
      <c r="B13" s="8" t="s">
        <v>4</v>
      </c>
      <c r="C13" s="149">
        <f>DATE(YEAR(Дата_получения_Займа),ROUNDUP(MONTH(Дата_получения_Займа)/Месяцев_в_квартале,0)*Месяцев_в_квартале-2,1)</f>
        <v>46204</v>
      </c>
      <c r="D13" s="52"/>
      <c r="E13" s="514" t="s">
        <v>403</v>
      </c>
      <c r="F13" s="515"/>
      <c r="G13" s="516"/>
      <c r="H13" s="9" t="s">
        <v>159</v>
      </c>
      <c r="I13" s="361">
        <v>1</v>
      </c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</row>
    <row r="14" spans="2:32" ht="15" customHeight="1">
      <c r="B14" s="10" t="s">
        <v>3</v>
      </c>
      <c r="C14" s="131">
        <f>IFERROR(ROUND((C15-C13)/(365/Кварталов_в_году),0),0)</f>
        <v>21</v>
      </c>
      <c r="D14" s="49"/>
      <c r="E14" s="517" t="str">
        <f>"Дополнительная валюта №1"&amp;IF(ISBLANK(H14),""," - ")&amp;IFERROR(INDEX(support!$B$109:$B$141,MATCH(H14,support!$C$109:$C$141,0)),"")</f>
        <v>Дополнительная валюта №1 - Доллар США</v>
      </c>
      <c r="F14" s="518"/>
      <c r="G14" s="519"/>
      <c r="H14" s="282" t="s">
        <v>156</v>
      </c>
      <c r="I14" s="361">
        <v>2</v>
      </c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</row>
    <row r="15" spans="2:32">
      <c r="B15" s="8" t="s">
        <v>5</v>
      </c>
      <c r="C15" s="150">
        <f>IFERROR(EOMONTH(DATE(YEAR(Дата_погашения_Займа),ROUNDUP(MONTH(Дата_погашения_Займа)/Месяцев_в_квартале,0)*Месяцев_в_квартале,1),0),0)</f>
        <v>48121</v>
      </c>
      <c r="D15" s="53"/>
      <c r="E15" s="517" t="str">
        <f>"Дополнительная валюта №2"&amp;IF(ISBLANK(H15),""," - ")&amp;IFERROR(INDEX(support!$B$109:$B$141,MATCH(H15,support!$C$109:$C$141,0)),"")</f>
        <v>Дополнительная валюта №2 - Китайский юань</v>
      </c>
      <c r="F15" s="518"/>
      <c r="G15" s="519"/>
      <c r="H15" s="345" t="s">
        <v>398</v>
      </c>
      <c r="I15" s="361">
        <v>3</v>
      </c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</row>
    <row r="16" spans="2:32">
      <c r="E16" s="517" t="str">
        <f>"Дополнительная валюта №3"&amp;IF(ISBLANK(H16),""," - ")&amp;IFERROR(INDEX(support!$B$109:$B$141,MATCH(H16,support!$C$109:$C$141,0)),"")</f>
        <v>Дополнительная валюта №3 - Евро</v>
      </c>
      <c r="F16" s="518"/>
      <c r="G16" s="519"/>
      <c r="H16" s="345" t="s">
        <v>157</v>
      </c>
      <c r="I16" s="362">
        <v>4</v>
      </c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</row>
    <row r="17" spans="2:16384" ht="14.45" customHeight="1">
      <c r="B17" s="8" t="s">
        <v>10</v>
      </c>
      <c r="C17" s="13" t="s">
        <v>11</v>
      </c>
      <c r="D17" s="49"/>
      <c r="E17" s="514" t="s">
        <v>8</v>
      </c>
      <c r="F17" s="515"/>
      <c r="G17" s="516"/>
      <c r="H17" s="228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</row>
    <row r="18" spans="2:16384">
      <c r="B18" s="8" t="s">
        <v>37</v>
      </c>
      <c r="C18" s="9">
        <v>12</v>
      </c>
      <c r="D18" s="54"/>
      <c r="E18" s="514" t="s">
        <v>404</v>
      </c>
      <c r="F18" s="515"/>
      <c r="G18" s="516"/>
      <c r="H18" s="36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</row>
    <row r="19" spans="2:16384" ht="14.45" customHeight="1">
      <c r="B19" s="8" t="s">
        <v>6</v>
      </c>
      <c r="C19" s="9">
        <v>3</v>
      </c>
      <c r="D19" s="54"/>
      <c r="E19" s="514" t="s">
        <v>174</v>
      </c>
      <c r="F19" s="515"/>
      <c r="G19" s="516"/>
      <c r="H19" s="28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</row>
    <row r="20" spans="2:16384">
      <c r="B20" s="8" t="s">
        <v>38</v>
      </c>
      <c r="C20" s="9">
        <v>4</v>
      </c>
      <c r="D20" s="54"/>
      <c r="E20" s="514" t="s">
        <v>7</v>
      </c>
      <c r="F20" s="515"/>
      <c r="G20" s="516"/>
      <c r="H20" s="24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</row>
    <row r="21" spans="2:16384"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</row>
    <row r="22" spans="2:16384">
      <c r="B22" s="504" t="s">
        <v>397</v>
      </c>
      <c r="C22" s="498"/>
      <c r="D22" s="499"/>
      <c r="E22" s="499"/>
      <c r="F22" s="499"/>
      <c r="G22" s="499"/>
      <c r="H22" s="500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</row>
    <row r="23" spans="2:16384">
      <c r="B23" s="505"/>
      <c r="C23" s="501"/>
      <c r="D23" s="502"/>
      <c r="E23" s="502"/>
      <c r="F23" s="502"/>
      <c r="G23" s="502"/>
      <c r="H23" s="503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</row>
    <row r="24" spans="2:16384"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</row>
    <row r="25" spans="2:16384" ht="21">
      <c r="B25" s="21" t="s">
        <v>569</v>
      </c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5"/>
      <c r="CV25" s="5"/>
      <c r="CW25" s="5"/>
      <c r="CX25" s="5"/>
      <c r="CY25" s="5"/>
      <c r="CZ25" s="5"/>
      <c r="DA25" s="5"/>
      <c r="DB25" s="5"/>
      <c r="DC25" s="5"/>
      <c r="DD25" s="5"/>
      <c r="DE25" s="5"/>
      <c r="DF25" s="5"/>
      <c r="DG25" s="5"/>
      <c r="DH25" s="5"/>
      <c r="DI25" s="5"/>
      <c r="DJ25" s="5"/>
      <c r="DK25" s="5"/>
      <c r="DL25" s="5"/>
      <c r="DM25" s="5"/>
      <c r="DN25" s="5"/>
      <c r="DO25" s="5"/>
      <c r="DP25" s="5"/>
      <c r="DQ25" s="5"/>
      <c r="DR25" s="5"/>
      <c r="DS25" s="5"/>
      <c r="DT25" s="5"/>
      <c r="DU25" s="5"/>
      <c r="DV25" s="5"/>
      <c r="DW25" s="5"/>
      <c r="DX25" s="5"/>
      <c r="DY25" s="5"/>
      <c r="DZ25" s="5"/>
      <c r="EA25" s="5"/>
      <c r="EB25" s="5"/>
      <c r="EC25" s="5"/>
      <c r="ED25" s="5"/>
      <c r="EE25" s="5"/>
      <c r="EF25" s="5"/>
      <c r="EG25" s="5"/>
      <c r="EH25" s="5"/>
      <c r="EI25" s="5"/>
      <c r="EJ25" s="5"/>
      <c r="EK25" s="5"/>
      <c r="EL25" s="5"/>
      <c r="EM25" s="5"/>
      <c r="EN25" s="5"/>
      <c r="EO25" s="5"/>
      <c r="EP25" s="5"/>
      <c r="EQ25" s="5"/>
      <c r="ER25" s="5"/>
      <c r="ES25" s="5"/>
      <c r="ET25" s="5"/>
      <c r="EU25" s="5"/>
      <c r="EV25" s="5"/>
      <c r="EW25" s="5"/>
      <c r="EX25" s="5"/>
      <c r="EY25" s="5"/>
      <c r="EZ25" s="5"/>
      <c r="FA25" s="5"/>
      <c r="FB25" s="5"/>
      <c r="FC25" s="5"/>
      <c r="FD25" s="5"/>
      <c r="FE25" s="5"/>
      <c r="FF25" s="5"/>
      <c r="FG25" s="5"/>
      <c r="FH25" s="5"/>
      <c r="FI25" s="5"/>
      <c r="FJ25" s="5"/>
      <c r="FK25" s="5"/>
      <c r="FL25" s="5"/>
      <c r="FM25" s="5"/>
      <c r="FN25" s="5"/>
      <c r="FO25" s="5"/>
      <c r="FP25" s="5"/>
      <c r="FQ25" s="5"/>
      <c r="FR25" s="5"/>
      <c r="FS25" s="5"/>
      <c r="FT25" s="5"/>
      <c r="FU25" s="5"/>
      <c r="FV25" s="5"/>
      <c r="FW25" s="5"/>
      <c r="FX25" s="5"/>
      <c r="FY25" s="5"/>
      <c r="FZ25" s="5"/>
      <c r="GA25" s="5"/>
      <c r="GB25" s="5"/>
      <c r="GC25" s="5"/>
      <c r="GD25" s="5"/>
      <c r="GE25" s="5"/>
      <c r="GF25" s="5"/>
      <c r="GG25" s="5"/>
      <c r="GH25" s="5"/>
      <c r="GI25" s="5"/>
      <c r="GJ25" s="5"/>
      <c r="GK25" s="5"/>
      <c r="GL25" s="5"/>
      <c r="GM25" s="5"/>
      <c r="GN25" s="5"/>
      <c r="GO25" s="5"/>
      <c r="GP25" s="5"/>
      <c r="GQ25" s="5"/>
      <c r="GR25" s="5"/>
      <c r="GS25" s="5"/>
      <c r="GT25" s="5"/>
      <c r="GU25" s="5"/>
      <c r="GV25" s="5"/>
      <c r="GW25" s="5"/>
      <c r="GX25" s="5"/>
      <c r="GY25" s="5"/>
      <c r="GZ25" s="5"/>
      <c r="HA25" s="5"/>
      <c r="HB25" s="5"/>
      <c r="HC25" s="5"/>
      <c r="HD25" s="5"/>
      <c r="HE25" s="5"/>
      <c r="HF25" s="5"/>
      <c r="HG25" s="5"/>
      <c r="HH25" s="5"/>
      <c r="HI25" s="5"/>
      <c r="HJ25" s="5"/>
      <c r="HK25" s="5"/>
      <c r="HL25" s="5"/>
      <c r="HM25" s="5"/>
      <c r="HN25" s="5"/>
      <c r="HO25" s="5"/>
      <c r="HP25" s="5"/>
      <c r="HQ25" s="5"/>
      <c r="HR25" s="5"/>
      <c r="HS25" s="5"/>
      <c r="HT25" s="5"/>
      <c r="HU25" s="5"/>
      <c r="HV25" s="5"/>
      <c r="HW25" s="5"/>
      <c r="HX25" s="5"/>
      <c r="HY25" s="5"/>
      <c r="HZ25" s="5"/>
      <c r="IA25" s="5"/>
      <c r="IB25" s="5"/>
      <c r="IC25" s="5"/>
      <c r="ID25" s="5"/>
      <c r="IE25" s="5"/>
      <c r="IF25" s="5"/>
      <c r="IG25" s="5"/>
      <c r="IH25" s="5"/>
      <c r="II25" s="5"/>
      <c r="IJ25" s="5"/>
      <c r="IK25" s="5"/>
      <c r="IL25" s="5"/>
      <c r="IM25" s="5"/>
      <c r="IN25" s="5"/>
      <c r="IO25" s="5"/>
      <c r="IP25" s="5"/>
      <c r="IQ25" s="5"/>
      <c r="IR25" s="5"/>
      <c r="IS25" s="5"/>
      <c r="IT25" s="5"/>
      <c r="IU25" s="5"/>
      <c r="IV25" s="5"/>
      <c r="IW25" s="5"/>
      <c r="IX25" s="5"/>
      <c r="IY25" s="5"/>
      <c r="IZ25" s="5"/>
      <c r="JA25" s="5"/>
      <c r="JB25" s="5"/>
      <c r="JC25" s="5"/>
      <c r="JD25" s="5"/>
      <c r="JE25" s="5"/>
      <c r="JF25" s="5"/>
      <c r="JG25" s="5"/>
      <c r="JH25" s="5"/>
      <c r="JI25" s="5"/>
      <c r="JJ25" s="5"/>
      <c r="JK25" s="5"/>
      <c r="JL25" s="5"/>
      <c r="JM25" s="5"/>
      <c r="JN25" s="5"/>
      <c r="JO25" s="5"/>
      <c r="JP25" s="5"/>
      <c r="JQ25" s="5"/>
      <c r="JR25" s="5"/>
      <c r="JS25" s="5"/>
      <c r="JT25" s="5"/>
      <c r="JU25" s="5"/>
      <c r="JV25" s="5"/>
      <c r="JW25" s="5"/>
      <c r="JX25" s="5"/>
      <c r="JY25" s="5"/>
      <c r="JZ25" s="5"/>
      <c r="KA25" s="5"/>
      <c r="KB25" s="5"/>
      <c r="KC25" s="5"/>
      <c r="KD25" s="5"/>
      <c r="KE25" s="5"/>
      <c r="KF25" s="5"/>
      <c r="KG25" s="5"/>
      <c r="KH25" s="5"/>
      <c r="KI25" s="5"/>
      <c r="KJ25" s="5"/>
      <c r="KK25" s="5"/>
      <c r="KL25" s="5"/>
      <c r="KM25" s="5"/>
      <c r="KN25" s="5"/>
      <c r="KO25" s="5"/>
      <c r="KP25" s="5"/>
      <c r="KQ25" s="5"/>
      <c r="KR25" s="5"/>
      <c r="KS25" s="5"/>
      <c r="KT25" s="5"/>
      <c r="KU25" s="5"/>
      <c r="KV25" s="5"/>
      <c r="KW25" s="5"/>
      <c r="KX25" s="5"/>
      <c r="KY25" s="5"/>
      <c r="KZ25" s="5"/>
      <c r="LA25" s="5"/>
      <c r="LB25" s="5"/>
      <c r="LC25" s="5"/>
      <c r="LD25" s="5"/>
      <c r="LE25" s="5"/>
      <c r="LF25" s="5"/>
      <c r="LG25" s="5"/>
      <c r="LH25" s="5"/>
      <c r="LI25" s="5"/>
      <c r="LJ25" s="5"/>
      <c r="LK25" s="5"/>
      <c r="LL25" s="5"/>
      <c r="LM25" s="5"/>
      <c r="LN25" s="5"/>
      <c r="LO25" s="5"/>
      <c r="LP25" s="5"/>
      <c r="LQ25" s="5"/>
      <c r="LR25" s="5"/>
      <c r="LS25" s="5"/>
      <c r="LT25" s="5"/>
      <c r="LU25" s="5"/>
      <c r="LV25" s="5"/>
      <c r="LW25" s="5"/>
      <c r="LX25" s="5"/>
      <c r="LY25" s="5"/>
      <c r="LZ25" s="5"/>
      <c r="MA25" s="5"/>
      <c r="MB25" s="5"/>
      <c r="MC25" s="5"/>
      <c r="MD25" s="5"/>
      <c r="ME25" s="5"/>
      <c r="MF25" s="5"/>
      <c r="MG25" s="5"/>
      <c r="MH25" s="5"/>
      <c r="MI25" s="5"/>
      <c r="MJ25" s="5"/>
      <c r="MK25" s="5"/>
      <c r="ML25" s="5"/>
      <c r="MM25" s="5"/>
      <c r="MN25" s="5"/>
      <c r="MO25" s="5"/>
      <c r="MP25" s="5"/>
      <c r="MQ25" s="5"/>
      <c r="MR25" s="5"/>
      <c r="MS25" s="5"/>
      <c r="MT25" s="5"/>
      <c r="MU25" s="5"/>
      <c r="MV25" s="5"/>
      <c r="MW25" s="5"/>
      <c r="MX25" s="5"/>
      <c r="MY25" s="5"/>
      <c r="MZ25" s="5"/>
      <c r="NA25" s="5"/>
      <c r="NB25" s="5"/>
      <c r="NC25" s="5"/>
      <c r="ND25" s="5"/>
      <c r="NE25" s="5"/>
      <c r="NF25" s="5"/>
      <c r="NG25" s="5"/>
      <c r="NH25" s="5"/>
      <c r="NI25" s="5"/>
      <c r="NJ25" s="5"/>
      <c r="NK25" s="5"/>
      <c r="NL25" s="5"/>
      <c r="NM25" s="5"/>
      <c r="NN25" s="5"/>
      <c r="NO25" s="5"/>
      <c r="NP25" s="5"/>
      <c r="NQ25" s="5"/>
      <c r="NR25" s="5"/>
      <c r="NS25" s="5"/>
      <c r="NT25" s="5"/>
      <c r="NU25" s="5"/>
      <c r="NV25" s="5"/>
      <c r="NW25" s="5"/>
      <c r="NX25" s="5"/>
      <c r="NY25" s="5"/>
      <c r="NZ25" s="5"/>
      <c r="OA25" s="5"/>
      <c r="OB25" s="5"/>
      <c r="OC25" s="5"/>
      <c r="OD25" s="5"/>
      <c r="OE25" s="5"/>
      <c r="OF25" s="5"/>
      <c r="OG25" s="5"/>
      <c r="OH25" s="5"/>
      <c r="OI25" s="5"/>
      <c r="OJ25" s="5"/>
      <c r="OK25" s="5"/>
      <c r="OL25" s="5"/>
      <c r="OM25" s="5"/>
      <c r="ON25" s="5"/>
      <c r="OO25" s="5"/>
      <c r="OP25" s="5"/>
      <c r="OQ25" s="5"/>
      <c r="OR25" s="5"/>
      <c r="OS25" s="5"/>
      <c r="OT25" s="5"/>
      <c r="OU25" s="5"/>
      <c r="OV25" s="5"/>
      <c r="OW25" s="5"/>
      <c r="OX25" s="5"/>
      <c r="OY25" s="5"/>
      <c r="OZ25" s="5"/>
      <c r="PA25" s="5"/>
      <c r="PB25" s="5"/>
      <c r="PC25" s="5"/>
      <c r="PD25" s="5"/>
      <c r="PE25" s="5"/>
      <c r="PF25" s="5"/>
      <c r="PG25" s="5"/>
      <c r="PH25" s="5"/>
      <c r="PI25" s="5"/>
      <c r="PJ25" s="5"/>
      <c r="PK25" s="5"/>
      <c r="PL25" s="5"/>
      <c r="PM25" s="5"/>
      <c r="PN25" s="5"/>
      <c r="PO25" s="5"/>
      <c r="PP25" s="5"/>
      <c r="PQ25" s="5"/>
      <c r="PR25" s="5"/>
      <c r="PS25" s="5"/>
      <c r="PT25" s="5"/>
      <c r="PU25" s="5"/>
      <c r="PV25" s="5"/>
      <c r="PW25" s="5"/>
      <c r="PX25" s="5"/>
      <c r="PY25" s="5"/>
      <c r="PZ25" s="5"/>
      <c r="QA25" s="5"/>
      <c r="QB25" s="5"/>
      <c r="QC25" s="5"/>
      <c r="QD25" s="5"/>
      <c r="QE25" s="5"/>
      <c r="QF25" s="5"/>
      <c r="QG25" s="5"/>
      <c r="QH25" s="5"/>
      <c r="QI25" s="5"/>
      <c r="QJ25" s="5"/>
      <c r="QK25" s="5"/>
      <c r="QL25" s="5"/>
      <c r="QM25" s="5"/>
      <c r="QN25" s="5"/>
      <c r="QO25" s="5"/>
      <c r="QP25" s="5"/>
      <c r="QQ25" s="5"/>
      <c r="QR25" s="5"/>
      <c r="QS25" s="5"/>
      <c r="QT25" s="5"/>
      <c r="QU25" s="5"/>
      <c r="QV25" s="5"/>
      <c r="QW25" s="5"/>
      <c r="QX25" s="5"/>
      <c r="QY25" s="5"/>
      <c r="QZ25" s="5"/>
      <c r="RA25" s="5"/>
      <c r="RB25" s="5"/>
      <c r="RC25" s="5"/>
      <c r="RD25" s="5"/>
      <c r="RE25" s="5"/>
      <c r="RF25" s="5"/>
      <c r="RG25" s="5"/>
      <c r="RH25" s="5"/>
      <c r="RI25" s="5"/>
      <c r="RJ25" s="5"/>
      <c r="RK25" s="5"/>
      <c r="RL25" s="5"/>
      <c r="RM25" s="5"/>
      <c r="RN25" s="5"/>
      <c r="RO25" s="5"/>
      <c r="RP25" s="5"/>
      <c r="RQ25" s="5"/>
      <c r="RR25" s="5"/>
      <c r="RS25" s="5"/>
      <c r="RT25" s="5"/>
      <c r="RU25" s="5"/>
      <c r="RV25" s="5"/>
      <c r="RW25" s="5"/>
      <c r="RX25" s="5"/>
      <c r="RY25" s="5"/>
      <c r="RZ25" s="5"/>
      <c r="SA25" s="5"/>
      <c r="SB25" s="5"/>
      <c r="SC25" s="5"/>
      <c r="SD25" s="5"/>
      <c r="SE25" s="5"/>
      <c r="SF25" s="5"/>
      <c r="SG25" s="5"/>
      <c r="SH25" s="5"/>
      <c r="SI25" s="5"/>
      <c r="SJ25" s="5"/>
      <c r="SK25" s="5"/>
      <c r="SL25" s="5"/>
      <c r="SM25" s="5"/>
      <c r="SN25" s="5"/>
      <c r="SO25" s="5"/>
      <c r="SP25" s="5"/>
      <c r="SQ25" s="5"/>
      <c r="SR25" s="5"/>
      <c r="SS25" s="5"/>
      <c r="ST25" s="5"/>
      <c r="SU25" s="5"/>
      <c r="SV25" s="5"/>
      <c r="SW25" s="5"/>
      <c r="SX25" s="5"/>
      <c r="SY25" s="5"/>
      <c r="SZ25" s="5"/>
      <c r="TA25" s="5"/>
      <c r="TB25" s="5"/>
      <c r="TC25" s="5"/>
      <c r="TD25" s="5"/>
      <c r="TE25" s="5"/>
      <c r="TF25" s="5"/>
      <c r="TG25" s="5"/>
      <c r="TH25" s="5"/>
      <c r="TI25" s="5"/>
      <c r="TJ25" s="5"/>
      <c r="TK25" s="5"/>
      <c r="TL25" s="5"/>
      <c r="TM25" s="5"/>
      <c r="TN25" s="5"/>
      <c r="TO25" s="5"/>
      <c r="TP25" s="5"/>
      <c r="TQ25" s="5"/>
      <c r="TR25" s="5"/>
      <c r="TS25" s="5"/>
      <c r="TT25" s="5"/>
      <c r="TU25" s="5"/>
      <c r="TV25" s="5"/>
      <c r="TW25" s="5"/>
      <c r="TX25" s="5"/>
      <c r="TY25" s="5"/>
      <c r="TZ25" s="5"/>
      <c r="UA25" s="5"/>
      <c r="UB25" s="5"/>
      <c r="UC25" s="5"/>
      <c r="UD25" s="5"/>
      <c r="UE25" s="5"/>
      <c r="UF25" s="5"/>
      <c r="UG25" s="5"/>
      <c r="UH25" s="5"/>
      <c r="UI25" s="5"/>
      <c r="UJ25" s="5"/>
      <c r="UK25" s="5"/>
      <c r="UL25" s="5"/>
      <c r="UM25" s="5"/>
      <c r="UN25" s="5"/>
      <c r="UO25" s="5"/>
      <c r="UP25" s="5"/>
      <c r="UQ25" s="5"/>
      <c r="UR25" s="5"/>
      <c r="US25" s="5"/>
      <c r="UT25" s="5"/>
      <c r="UU25" s="5"/>
      <c r="UV25" s="5"/>
      <c r="UW25" s="5"/>
      <c r="UX25" s="5"/>
      <c r="UY25" s="5"/>
      <c r="UZ25" s="5"/>
      <c r="VA25" s="5"/>
      <c r="VB25" s="5"/>
      <c r="VC25" s="5"/>
      <c r="VD25" s="5"/>
      <c r="VE25" s="5"/>
      <c r="VF25" s="5"/>
      <c r="VG25" s="5"/>
      <c r="VH25" s="5"/>
      <c r="VI25" s="5"/>
      <c r="VJ25" s="5"/>
      <c r="VK25" s="5"/>
      <c r="VL25" s="5"/>
      <c r="VM25" s="5"/>
      <c r="VN25" s="5"/>
      <c r="VO25" s="5"/>
      <c r="VP25" s="5"/>
      <c r="VQ25" s="5"/>
      <c r="VR25" s="5"/>
      <c r="VS25" s="5"/>
      <c r="VT25" s="5"/>
      <c r="VU25" s="5"/>
      <c r="VV25" s="5"/>
      <c r="VW25" s="5"/>
      <c r="VX25" s="5"/>
      <c r="VY25" s="5"/>
      <c r="VZ25" s="5"/>
      <c r="WA25" s="5"/>
      <c r="WB25" s="5"/>
      <c r="WC25" s="5"/>
      <c r="WD25" s="5"/>
      <c r="WE25" s="5"/>
      <c r="WF25" s="5"/>
      <c r="WG25" s="5"/>
      <c r="WH25" s="5"/>
      <c r="WI25" s="5"/>
      <c r="WJ25" s="5"/>
      <c r="WK25" s="5"/>
      <c r="WL25" s="5"/>
      <c r="WM25" s="5"/>
      <c r="WN25" s="5"/>
      <c r="WO25" s="5"/>
      <c r="WP25" s="5"/>
      <c r="WQ25" s="5"/>
      <c r="WR25" s="5"/>
      <c r="WS25" s="5"/>
      <c r="WT25" s="5"/>
      <c r="WU25" s="5"/>
      <c r="WV25" s="5"/>
      <c r="WW25" s="5"/>
      <c r="WX25" s="5"/>
      <c r="WY25" s="5"/>
      <c r="WZ25" s="5"/>
      <c r="XA25" s="5"/>
      <c r="XB25" s="5"/>
      <c r="XC25" s="5"/>
      <c r="XD25" s="5"/>
      <c r="XE25" s="5"/>
      <c r="XF25" s="5"/>
      <c r="XG25" s="5"/>
      <c r="XH25" s="5"/>
      <c r="XI25" s="5"/>
      <c r="XJ25" s="5"/>
      <c r="XK25" s="5"/>
      <c r="XL25" s="5"/>
      <c r="XM25" s="5"/>
      <c r="XN25" s="5"/>
      <c r="XO25" s="5"/>
      <c r="XP25" s="5"/>
      <c r="XQ25" s="5"/>
      <c r="XR25" s="5"/>
      <c r="XS25" s="5"/>
      <c r="XT25" s="5"/>
      <c r="XU25" s="5"/>
      <c r="XV25" s="5"/>
      <c r="XW25" s="5"/>
      <c r="XX25" s="5"/>
      <c r="XY25" s="5"/>
      <c r="XZ25" s="5"/>
      <c r="YA25" s="5"/>
      <c r="YB25" s="5"/>
      <c r="YC25" s="5"/>
      <c r="YD25" s="5"/>
      <c r="YE25" s="5"/>
      <c r="YF25" s="5"/>
      <c r="YG25" s="5"/>
      <c r="YH25" s="5"/>
      <c r="YI25" s="5"/>
      <c r="YJ25" s="5"/>
      <c r="YK25" s="5"/>
      <c r="YL25" s="5"/>
      <c r="YM25" s="5"/>
      <c r="YN25" s="5"/>
      <c r="YO25" s="5"/>
      <c r="YP25" s="5"/>
      <c r="YQ25" s="5"/>
      <c r="YR25" s="5"/>
      <c r="YS25" s="5"/>
      <c r="YT25" s="5"/>
      <c r="YU25" s="5"/>
      <c r="YV25" s="5"/>
      <c r="YW25" s="5"/>
      <c r="YX25" s="5"/>
      <c r="YY25" s="5"/>
      <c r="YZ25" s="5"/>
      <c r="ZA25" s="5"/>
      <c r="ZB25" s="5"/>
      <c r="ZC25" s="5"/>
      <c r="ZD25" s="5"/>
      <c r="ZE25" s="5"/>
      <c r="ZF25" s="5"/>
      <c r="ZG25" s="5"/>
      <c r="ZH25" s="5"/>
      <c r="ZI25" s="5"/>
      <c r="ZJ25" s="5"/>
      <c r="ZK25" s="5"/>
      <c r="ZL25" s="5"/>
      <c r="ZM25" s="5"/>
      <c r="ZN25" s="5"/>
      <c r="ZO25" s="5"/>
      <c r="ZP25" s="5"/>
      <c r="ZQ25" s="5"/>
      <c r="ZR25" s="5"/>
      <c r="ZS25" s="5"/>
      <c r="ZT25" s="5"/>
      <c r="ZU25" s="5"/>
      <c r="ZV25" s="5"/>
      <c r="ZW25" s="5"/>
      <c r="ZX25" s="5"/>
      <c r="ZY25" s="5"/>
      <c r="ZZ25" s="5"/>
      <c r="AAA25" s="5"/>
      <c r="AAB25" s="5"/>
      <c r="AAC25" s="5"/>
      <c r="AAD25" s="5"/>
      <c r="AAE25" s="5"/>
      <c r="AAF25" s="5"/>
      <c r="AAG25" s="5"/>
      <c r="AAH25" s="5"/>
      <c r="AAI25" s="5"/>
      <c r="AAJ25" s="5"/>
      <c r="AAK25" s="5"/>
      <c r="AAL25" s="5"/>
      <c r="AAM25" s="5"/>
      <c r="AAN25" s="5"/>
      <c r="AAO25" s="5"/>
      <c r="AAP25" s="5"/>
      <c r="AAQ25" s="5"/>
      <c r="AAR25" s="5"/>
      <c r="AAS25" s="5"/>
      <c r="AAT25" s="5"/>
      <c r="AAU25" s="5"/>
      <c r="AAV25" s="5"/>
      <c r="AAW25" s="5"/>
      <c r="AAX25" s="5"/>
      <c r="AAY25" s="5"/>
      <c r="AAZ25" s="5"/>
      <c r="ABA25" s="5"/>
      <c r="ABB25" s="5"/>
      <c r="ABC25" s="5"/>
      <c r="ABD25" s="5"/>
      <c r="ABE25" s="5"/>
      <c r="ABF25" s="5"/>
      <c r="ABG25" s="5"/>
      <c r="ABH25" s="5"/>
      <c r="ABI25" s="5"/>
      <c r="ABJ25" s="5"/>
      <c r="ABK25" s="5"/>
      <c r="ABL25" s="5"/>
      <c r="ABM25" s="5"/>
      <c r="ABN25" s="5"/>
      <c r="ABO25" s="5"/>
      <c r="ABP25" s="5"/>
      <c r="ABQ25" s="5"/>
      <c r="ABR25" s="5"/>
      <c r="ABS25" s="5"/>
      <c r="ABT25" s="5"/>
      <c r="ABU25" s="5"/>
      <c r="ABV25" s="5"/>
      <c r="ABW25" s="5"/>
      <c r="ABX25" s="5"/>
      <c r="ABY25" s="5"/>
      <c r="ABZ25" s="5"/>
      <c r="ACA25" s="5"/>
      <c r="ACB25" s="5"/>
      <c r="ACC25" s="5"/>
      <c r="ACD25" s="5"/>
      <c r="ACE25" s="5"/>
      <c r="ACF25" s="5"/>
      <c r="ACG25" s="5"/>
      <c r="ACH25" s="5"/>
      <c r="ACI25" s="5"/>
      <c r="ACJ25" s="5"/>
      <c r="ACK25" s="5"/>
      <c r="ACL25" s="5"/>
      <c r="ACM25" s="5"/>
      <c r="ACN25" s="5"/>
      <c r="ACO25" s="5"/>
      <c r="ACP25" s="5"/>
      <c r="ACQ25" s="5"/>
      <c r="ACR25" s="5"/>
      <c r="ACS25" s="5"/>
      <c r="ACT25" s="5"/>
      <c r="ACU25" s="5"/>
      <c r="ACV25" s="5"/>
      <c r="ACW25" s="5"/>
      <c r="ACX25" s="5"/>
      <c r="ACY25" s="5"/>
      <c r="ACZ25" s="5"/>
      <c r="ADA25" s="5"/>
      <c r="ADB25" s="5"/>
      <c r="ADC25" s="5"/>
      <c r="ADD25" s="5"/>
      <c r="ADE25" s="5"/>
      <c r="ADF25" s="5"/>
      <c r="ADG25" s="5"/>
      <c r="ADH25" s="5"/>
      <c r="ADI25" s="5"/>
      <c r="ADJ25" s="5"/>
      <c r="ADK25" s="5"/>
      <c r="ADL25" s="5"/>
      <c r="ADM25" s="5"/>
      <c r="ADN25" s="5"/>
      <c r="ADO25" s="5"/>
      <c r="ADP25" s="5"/>
      <c r="ADQ25" s="5"/>
      <c r="ADR25" s="5"/>
      <c r="ADS25" s="5"/>
      <c r="ADT25" s="5"/>
      <c r="ADU25" s="5"/>
      <c r="ADV25" s="5"/>
      <c r="ADW25" s="5"/>
      <c r="ADX25" s="5"/>
      <c r="ADY25" s="5"/>
      <c r="ADZ25" s="5"/>
      <c r="AEA25" s="5"/>
      <c r="AEB25" s="5"/>
      <c r="AEC25" s="5"/>
      <c r="AED25" s="5"/>
      <c r="AEE25" s="5"/>
      <c r="AEF25" s="5"/>
      <c r="AEG25" s="5"/>
      <c r="AEH25" s="5"/>
      <c r="AEI25" s="5"/>
      <c r="AEJ25" s="5"/>
      <c r="AEK25" s="5"/>
      <c r="AEL25" s="5"/>
      <c r="AEM25" s="5"/>
      <c r="AEN25" s="5"/>
      <c r="AEO25" s="5"/>
      <c r="AEP25" s="5"/>
      <c r="AEQ25" s="5"/>
      <c r="AER25" s="5"/>
      <c r="AES25" s="5"/>
      <c r="AET25" s="5"/>
      <c r="AEU25" s="5"/>
      <c r="AEV25" s="5"/>
      <c r="AEW25" s="5"/>
      <c r="AEX25" s="5"/>
      <c r="AEY25" s="5"/>
      <c r="AEZ25" s="5"/>
      <c r="AFA25" s="5"/>
      <c r="AFB25" s="5"/>
      <c r="AFC25" s="5"/>
      <c r="AFD25" s="5"/>
      <c r="AFE25" s="5"/>
      <c r="AFF25" s="5"/>
      <c r="AFG25" s="5"/>
      <c r="AFH25" s="5"/>
      <c r="AFI25" s="5"/>
      <c r="AFJ25" s="5"/>
      <c r="AFK25" s="5"/>
      <c r="AFL25" s="5"/>
      <c r="AFM25" s="5"/>
      <c r="AFN25" s="5"/>
      <c r="AFO25" s="5"/>
      <c r="AFP25" s="5"/>
      <c r="AFQ25" s="5"/>
      <c r="AFR25" s="5"/>
      <c r="AFS25" s="5"/>
      <c r="AFT25" s="5"/>
      <c r="AFU25" s="5"/>
      <c r="AFV25" s="5"/>
      <c r="AFW25" s="5"/>
      <c r="AFX25" s="5"/>
      <c r="AFY25" s="5"/>
      <c r="AFZ25" s="5"/>
      <c r="AGA25" s="5"/>
      <c r="AGB25" s="5"/>
      <c r="AGC25" s="5"/>
      <c r="AGD25" s="5"/>
      <c r="AGE25" s="5"/>
      <c r="AGF25" s="5"/>
      <c r="AGG25" s="5"/>
      <c r="AGH25" s="5"/>
      <c r="AGI25" s="5"/>
      <c r="AGJ25" s="5"/>
      <c r="AGK25" s="5"/>
      <c r="AGL25" s="5"/>
      <c r="AGM25" s="5"/>
      <c r="AGN25" s="5"/>
      <c r="AGO25" s="5"/>
      <c r="AGP25" s="5"/>
      <c r="AGQ25" s="5"/>
      <c r="AGR25" s="5"/>
      <c r="AGS25" s="5"/>
      <c r="AGT25" s="5"/>
      <c r="AGU25" s="5"/>
      <c r="AGV25" s="5"/>
      <c r="AGW25" s="5"/>
      <c r="AGX25" s="5"/>
      <c r="AGY25" s="5"/>
      <c r="AGZ25" s="5"/>
      <c r="AHA25" s="5"/>
      <c r="AHB25" s="5"/>
      <c r="AHC25" s="5"/>
      <c r="AHD25" s="5"/>
      <c r="AHE25" s="5"/>
      <c r="AHF25" s="5"/>
      <c r="AHG25" s="5"/>
      <c r="AHH25" s="5"/>
      <c r="AHI25" s="5"/>
      <c r="AHJ25" s="5"/>
      <c r="AHK25" s="5"/>
      <c r="AHL25" s="5"/>
      <c r="AHM25" s="5"/>
      <c r="AHN25" s="5"/>
      <c r="AHO25" s="5"/>
      <c r="AHP25" s="5"/>
      <c r="AHQ25" s="5"/>
      <c r="AHR25" s="5"/>
      <c r="AHS25" s="5"/>
      <c r="AHT25" s="5"/>
      <c r="AHU25" s="5"/>
      <c r="AHV25" s="5"/>
      <c r="AHW25" s="5"/>
      <c r="AHX25" s="5"/>
      <c r="AHY25" s="5"/>
      <c r="AHZ25" s="5"/>
      <c r="AIA25" s="5"/>
      <c r="AIB25" s="5"/>
      <c r="AIC25" s="5"/>
      <c r="AID25" s="5"/>
      <c r="AIE25" s="5"/>
      <c r="AIF25" s="5"/>
      <c r="AIG25" s="5"/>
      <c r="AIH25" s="5"/>
      <c r="AII25" s="5"/>
      <c r="AIJ25" s="5"/>
      <c r="AIK25" s="5"/>
      <c r="AIL25" s="5"/>
      <c r="AIM25" s="5"/>
      <c r="AIN25" s="5"/>
      <c r="AIO25" s="5"/>
      <c r="AIP25" s="5"/>
      <c r="AIQ25" s="5"/>
      <c r="AIR25" s="5"/>
      <c r="AIS25" s="5"/>
      <c r="AIT25" s="5"/>
      <c r="AIU25" s="5"/>
      <c r="AIV25" s="5"/>
      <c r="AIW25" s="5"/>
      <c r="AIX25" s="5"/>
      <c r="AIY25" s="5"/>
      <c r="AIZ25" s="5"/>
      <c r="AJA25" s="5"/>
      <c r="AJB25" s="5"/>
      <c r="AJC25" s="5"/>
      <c r="AJD25" s="5"/>
      <c r="AJE25" s="5"/>
      <c r="AJF25" s="5"/>
      <c r="AJG25" s="5"/>
      <c r="AJH25" s="5"/>
      <c r="AJI25" s="5"/>
      <c r="AJJ25" s="5"/>
      <c r="AJK25" s="5"/>
      <c r="AJL25" s="5"/>
      <c r="AJM25" s="5"/>
      <c r="AJN25" s="5"/>
      <c r="AJO25" s="5"/>
      <c r="AJP25" s="5"/>
      <c r="AJQ25" s="5"/>
      <c r="AJR25" s="5"/>
      <c r="AJS25" s="5"/>
      <c r="AJT25" s="5"/>
      <c r="AJU25" s="5"/>
      <c r="AJV25" s="5"/>
      <c r="AJW25" s="5"/>
      <c r="AJX25" s="5"/>
      <c r="AJY25" s="5"/>
      <c r="AJZ25" s="5"/>
      <c r="AKA25" s="5"/>
      <c r="AKB25" s="5"/>
      <c r="AKC25" s="5"/>
      <c r="AKD25" s="5"/>
      <c r="AKE25" s="5"/>
      <c r="AKF25" s="5"/>
      <c r="AKG25" s="5"/>
      <c r="AKH25" s="5"/>
      <c r="AKI25" s="5"/>
      <c r="AKJ25" s="5"/>
      <c r="AKK25" s="5"/>
      <c r="AKL25" s="5"/>
      <c r="AKM25" s="5"/>
      <c r="AKN25" s="5"/>
      <c r="AKO25" s="5"/>
      <c r="AKP25" s="5"/>
      <c r="AKQ25" s="5"/>
      <c r="AKR25" s="5"/>
      <c r="AKS25" s="5"/>
      <c r="AKT25" s="5"/>
      <c r="AKU25" s="5"/>
      <c r="AKV25" s="5"/>
      <c r="AKW25" s="5"/>
      <c r="AKX25" s="5"/>
      <c r="AKY25" s="5"/>
      <c r="AKZ25" s="5"/>
      <c r="ALA25" s="5"/>
      <c r="ALB25" s="5"/>
      <c r="ALC25" s="5"/>
      <c r="ALD25" s="5"/>
      <c r="ALE25" s="5"/>
      <c r="ALF25" s="5"/>
      <c r="ALG25" s="5"/>
      <c r="ALH25" s="5"/>
      <c r="ALI25" s="5"/>
      <c r="ALJ25" s="5"/>
      <c r="ALK25" s="5"/>
      <c r="ALL25" s="5"/>
      <c r="ALM25" s="5"/>
      <c r="ALN25" s="5"/>
      <c r="ALO25" s="5"/>
      <c r="ALP25" s="5"/>
      <c r="ALQ25" s="5"/>
      <c r="ALR25" s="5"/>
      <c r="ALS25" s="5"/>
      <c r="ALT25" s="5"/>
      <c r="ALU25" s="5"/>
      <c r="ALV25" s="5"/>
      <c r="ALW25" s="5"/>
      <c r="ALX25" s="5"/>
      <c r="ALY25" s="5"/>
      <c r="ALZ25" s="5"/>
      <c r="AMA25" s="5"/>
      <c r="AMB25" s="5"/>
      <c r="AMC25" s="5"/>
      <c r="AMD25" s="5"/>
      <c r="AME25" s="5"/>
      <c r="AMF25" s="5"/>
      <c r="AMG25" s="5"/>
      <c r="AMH25" s="5"/>
      <c r="AMI25" s="5"/>
      <c r="AMJ25" s="5"/>
      <c r="AMK25" s="5"/>
      <c r="AML25" s="5"/>
      <c r="AMM25" s="5"/>
      <c r="AMN25" s="5"/>
      <c r="AMO25" s="5"/>
      <c r="AMP25" s="5"/>
      <c r="AMQ25" s="5"/>
      <c r="AMR25" s="5"/>
      <c r="AMS25" s="5"/>
      <c r="AMT25" s="5"/>
      <c r="AMU25" s="5"/>
      <c r="AMV25" s="5"/>
      <c r="AMW25" s="5"/>
      <c r="AMX25" s="5"/>
      <c r="AMY25" s="5"/>
      <c r="AMZ25" s="5"/>
      <c r="ANA25" s="5"/>
      <c r="ANB25" s="5"/>
      <c r="ANC25" s="5"/>
      <c r="AND25" s="5"/>
      <c r="ANE25" s="5"/>
      <c r="ANF25" s="5"/>
      <c r="ANG25" s="5"/>
      <c r="ANH25" s="5"/>
      <c r="ANI25" s="5"/>
      <c r="ANJ25" s="5"/>
      <c r="ANK25" s="5"/>
      <c r="ANL25" s="5"/>
      <c r="ANM25" s="5"/>
      <c r="ANN25" s="5"/>
      <c r="ANO25" s="5"/>
      <c r="ANP25" s="5"/>
      <c r="ANQ25" s="5"/>
      <c r="ANR25" s="5"/>
      <c r="ANS25" s="5"/>
      <c r="ANT25" s="5"/>
      <c r="ANU25" s="5"/>
      <c r="ANV25" s="5"/>
      <c r="ANW25" s="5"/>
      <c r="ANX25" s="5"/>
      <c r="ANY25" s="5"/>
      <c r="ANZ25" s="5"/>
      <c r="AOA25" s="5"/>
      <c r="AOB25" s="5"/>
      <c r="AOC25" s="5"/>
      <c r="AOD25" s="5"/>
      <c r="AOE25" s="5"/>
      <c r="AOF25" s="5"/>
      <c r="AOG25" s="5"/>
      <c r="AOH25" s="5"/>
      <c r="AOI25" s="5"/>
      <c r="AOJ25" s="5"/>
      <c r="AOK25" s="5"/>
      <c r="AOL25" s="5"/>
      <c r="AOM25" s="5"/>
      <c r="AON25" s="5"/>
      <c r="AOO25" s="5"/>
      <c r="AOP25" s="5"/>
      <c r="AOQ25" s="5"/>
      <c r="AOR25" s="5"/>
      <c r="AOS25" s="5"/>
      <c r="AOT25" s="5"/>
      <c r="AOU25" s="5"/>
      <c r="AOV25" s="5"/>
      <c r="AOW25" s="5"/>
      <c r="AOX25" s="5"/>
      <c r="AOY25" s="5"/>
      <c r="AOZ25" s="5"/>
      <c r="APA25" s="5"/>
      <c r="APB25" s="5"/>
      <c r="APC25" s="5"/>
      <c r="APD25" s="5"/>
      <c r="APE25" s="5"/>
      <c r="APF25" s="5"/>
      <c r="APG25" s="5"/>
      <c r="APH25" s="5"/>
      <c r="API25" s="5"/>
      <c r="APJ25" s="5"/>
      <c r="APK25" s="5"/>
      <c r="APL25" s="5"/>
      <c r="APM25" s="5"/>
      <c r="APN25" s="5"/>
      <c r="APO25" s="5"/>
      <c r="APP25" s="5"/>
      <c r="APQ25" s="5"/>
      <c r="APR25" s="5"/>
      <c r="APS25" s="5"/>
      <c r="APT25" s="5"/>
      <c r="APU25" s="5"/>
      <c r="APV25" s="5"/>
      <c r="APW25" s="5"/>
      <c r="APX25" s="5"/>
      <c r="APY25" s="5"/>
      <c r="APZ25" s="5"/>
      <c r="AQA25" s="5"/>
      <c r="AQB25" s="5"/>
      <c r="AQC25" s="5"/>
      <c r="AQD25" s="5"/>
      <c r="AQE25" s="5"/>
      <c r="AQF25" s="5"/>
      <c r="AQG25" s="5"/>
      <c r="AQH25" s="5"/>
      <c r="AQI25" s="5"/>
      <c r="AQJ25" s="5"/>
      <c r="AQK25" s="5"/>
      <c r="AQL25" s="5"/>
      <c r="AQM25" s="5"/>
      <c r="AQN25" s="5"/>
      <c r="AQO25" s="5"/>
      <c r="AQP25" s="5"/>
      <c r="AQQ25" s="5"/>
      <c r="AQR25" s="5"/>
      <c r="AQS25" s="5"/>
      <c r="AQT25" s="5"/>
      <c r="AQU25" s="5"/>
      <c r="AQV25" s="5"/>
      <c r="AQW25" s="5"/>
      <c r="AQX25" s="5"/>
      <c r="AQY25" s="5"/>
      <c r="AQZ25" s="5"/>
      <c r="ARA25" s="5"/>
      <c r="ARB25" s="5"/>
      <c r="ARC25" s="5"/>
      <c r="ARD25" s="5"/>
      <c r="ARE25" s="5"/>
      <c r="ARF25" s="5"/>
      <c r="ARG25" s="5"/>
      <c r="ARH25" s="5"/>
      <c r="ARI25" s="5"/>
      <c r="ARJ25" s="5"/>
      <c r="ARK25" s="5"/>
      <c r="ARL25" s="5"/>
      <c r="ARM25" s="5"/>
      <c r="ARN25" s="5"/>
      <c r="ARO25" s="5"/>
      <c r="ARP25" s="5"/>
      <c r="ARQ25" s="5"/>
      <c r="ARR25" s="5"/>
      <c r="ARS25" s="5"/>
      <c r="ART25" s="5"/>
      <c r="ARU25" s="5"/>
      <c r="ARV25" s="5"/>
      <c r="ARW25" s="5"/>
      <c r="ARX25" s="5"/>
      <c r="ARY25" s="5"/>
      <c r="ARZ25" s="5"/>
      <c r="ASA25" s="5"/>
      <c r="ASB25" s="5"/>
      <c r="ASC25" s="5"/>
      <c r="ASD25" s="5"/>
      <c r="ASE25" s="5"/>
      <c r="ASF25" s="5"/>
      <c r="ASG25" s="5"/>
      <c r="ASH25" s="5"/>
      <c r="ASI25" s="5"/>
      <c r="ASJ25" s="5"/>
      <c r="ASK25" s="5"/>
      <c r="ASL25" s="5"/>
      <c r="ASM25" s="5"/>
      <c r="ASN25" s="5"/>
      <c r="ASO25" s="5"/>
      <c r="ASP25" s="5"/>
      <c r="ASQ25" s="5"/>
      <c r="ASR25" s="5"/>
      <c r="ASS25" s="5"/>
      <c r="AST25" s="5"/>
      <c r="ASU25" s="5"/>
      <c r="ASV25" s="5"/>
      <c r="ASW25" s="5"/>
      <c r="ASX25" s="5"/>
      <c r="ASY25" s="5"/>
      <c r="ASZ25" s="5"/>
      <c r="ATA25" s="5"/>
      <c r="ATB25" s="5"/>
      <c r="ATC25" s="5"/>
      <c r="ATD25" s="5"/>
      <c r="ATE25" s="5"/>
      <c r="ATF25" s="5"/>
      <c r="ATG25" s="5"/>
      <c r="ATH25" s="5"/>
      <c r="ATI25" s="5"/>
      <c r="ATJ25" s="5"/>
      <c r="ATK25" s="5"/>
      <c r="ATL25" s="5"/>
      <c r="ATM25" s="5"/>
      <c r="ATN25" s="5"/>
      <c r="ATO25" s="5"/>
      <c r="ATP25" s="5"/>
      <c r="ATQ25" s="5"/>
      <c r="ATR25" s="5"/>
      <c r="ATS25" s="5"/>
      <c r="ATT25" s="5"/>
      <c r="ATU25" s="5"/>
      <c r="ATV25" s="5"/>
      <c r="ATW25" s="5"/>
      <c r="ATX25" s="5"/>
      <c r="ATY25" s="5"/>
      <c r="ATZ25" s="5"/>
      <c r="AUA25" s="5"/>
      <c r="AUB25" s="5"/>
      <c r="AUC25" s="5"/>
      <c r="AUD25" s="5"/>
      <c r="AUE25" s="5"/>
      <c r="AUF25" s="5"/>
      <c r="AUG25" s="5"/>
      <c r="AUH25" s="5"/>
      <c r="AUI25" s="5"/>
      <c r="AUJ25" s="5"/>
      <c r="AUK25" s="5"/>
      <c r="AUL25" s="5"/>
      <c r="AUM25" s="5"/>
      <c r="AUN25" s="5"/>
      <c r="AUO25" s="5"/>
      <c r="AUP25" s="5"/>
      <c r="AUQ25" s="5"/>
      <c r="AUR25" s="5"/>
      <c r="AUS25" s="5"/>
      <c r="AUT25" s="5"/>
      <c r="AUU25" s="5"/>
      <c r="AUV25" s="5"/>
      <c r="AUW25" s="5"/>
      <c r="AUX25" s="5"/>
      <c r="AUY25" s="5"/>
      <c r="AUZ25" s="5"/>
      <c r="AVA25" s="5"/>
      <c r="AVB25" s="5"/>
      <c r="AVC25" s="5"/>
      <c r="AVD25" s="5"/>
      <c r="AVE25" s="5"/>
      <c r="AVF25" s="5"/>
      <c r="AVG25" s="5"/>
      <c r="AVH25" s="5"/>
      <c r="AVI25" s="5"/>
      <c r="AVJ25" s="5"/>
      <c r="AVK25" s="5"/>
      <c r="AVL25" s="5"/>
      <c r="AVM25" s="5"/>
      <c r="AVN25" s="5"/>
      <c r="AVO25" s="5"/>
      <c r="AVP25" s="5"/>
      <c r="AVQ25" s="5"/>
      <c r="AVR25" s="5"/>
      <c r="AVS25" s="5"/>
      <c r="AVT25" s="5"/>
      <c r="AVU25" s="5"/>
      <c r="AVV25" s="5"/>
      <c r="AVW25" s="5"/>
      <c r="AVX25" s="5"/>
      <c r="AVY25" s="5"/>
      <c r="AVZ25" s="5"/>
      <c r="AWA25" s="5"/>
      <c r="AWB25" s="5"/>
      <c r="AWC25" s="5"/>
      <c r="AWD25" s="5"/>
      <c r="AWE25" s="5"/>
      <c r="AWF25" s="5"/>
      <c r="AWG25" s="5"/>
      <c r="AWH25" s="5"/>
      <c r="AWI25" s="5"/>
      <c r="AWJ25" s="5"/>
      <c r="AWK25" s="5"/>
      <c r="AWL25" s="5"/>
      <c r="AWM25" s="5"/>
      <c r="AWN25" s="5"/>
      <c r="AWO25" s="5"/>
      <c r="AWP25" s="5"/>
      <c r="AWQ25" s="5"/>
      <c r="AWR25" s="5"/>
      <c r="AWS25" s="5"/>
      <c r="AWT25" s="5"/>
      <c r="AWU25" s="5"/>
      <c r="AWV25" s="5"/>
      <c r="AWW25" s="5"/>
      <c r="AWX25" s="5"/>
      <c r="AWY25" s="5"/>
      <c r="AWZ25" s="5"/>
      <c r="AXA25" s="5"/>
      <c r="AXB25" s="5"/>
      <c r="AXC25" s="5"/>
      <c r="AXD25" s="5"/>
      <c r="AXE25" s="5"/>
      <c r="AXF25" s="5"/>
      <c r="AXG25" s="5"/>
      <c r="AXH25" s="5"/>
      <c r="AXI25" s="5"/>
      <c r="AXJ25" s="5"/>
      <c r="AXK25" s="5"/>
      <c r="AXL25" s="5"/>
      <c r="AXM25" s="5"/>
      <c r="AXN25" s="5"/>
      <c r="AXO25" s="5"/>
      <c r="AXP25" s="5"/>
      <c r="AXQ25" s="5"/>
      <c r="AXR25" s="5"/>
      <c r="AXS25" s="5"/>
      <c r="AXT25" s="5"/>
      <c r="AXU25" s="5"/>
      <c r="AXV25" s="5"/>
      <c r="AXW25" s="5"/>
      <c r="AXX25" s="5"/>
      <c r="AXY25" s="5"/>
      <c r="AXZ25" s="5"/>
      <c r="AYA25" s="5"/>
      <c r="AYB25" s="5"/>
      <c r="AYC25" s="5"/>
      <c r="AYD25" s="5"/>
      <c r="AYE25" s="5"/>
      <c r="AYF25" s="5"/>
      <c r="AYG25" s="5"/>
      <c r="AYH25" s="5"/>
      <c r="AYI25" s="5"/>
      <c r="AYJ25" s="5"/>
      <c r="AYK25" s="5"/>
      <c r="AYL25" s="5"/>
      <c r="AYM25" s="5"/>
      <c r="AYN25" s="5"/>
      <c r="AYO25" s="5"/>
      <c r="AYP25" s="5"/>
      <c r="AYQ25" s="5"/>
      <c r="AYR25" s="5"/>
      <c r="AYS25" s="5"/>
      <c r="AYT25" s="5"/>
      <c r="AYU25" s="5"/>
      <c r="AYV25" s="5"/>
      <c r="AYW25" s="5"/>
      <c r="AYX25" s="5"/>
      <c r="AYY25" s="5"/>
      <c r="AYZ25" s="5"/>
      <c r="AZA25" s="5"/>
      <c r="AZB25" s="5"/>
      <c r="AZC25" s="5"/>
      <c r="AZD25" s="5"/>
      <c r="AZE25" s="5"/>
      <c r="AZF25" s="5"/>
      <c r="AZG25" s="5"/>
      <c r="AZH25" s="5"/>
      <c r="AZI25" s="5"/>
      <c r="AZJ25" s="5"/>
      <c r="AZK25" s="5"/>
      <c r="AZL25" s="5"/>
      <c r="AZM25" s="5"/>
      <c r="AZN25" s="5"/>
      <c r="AZO25" s="5"/>
      <c r="AZP25" s="5"/>
      <c r="AZQ25" s="5"/>
      <c r="AZR25" s="5"/>
      <c r="AZS25" s="5"/>
      <c r="AZT25" s="5"/>
      <c r="AZU25" s="5"/>
      <c r="AZV25" s="5"/>
      <c r="AZW25" s="5"/>
      <c r="AZX25" s="5"/>
      <c r="AZY25" s="5"/>
      <c r="AZZ25" s="5"/>
      <c r="BAA25" s="5"/>
      <c r="BAB25" s="5"/>
      <c r="BAC25" s="5"/>
      <c r="BAD25" s="5"/>
      <c r="BAE25" s="5"/>
      <c r="BAF25" s="5"/>
      <c r="BAG25" s="5"/>
      <c r="BAH25" s="5"/>
      <c r="BAI25" s="5"/>
      <c r="BAJ25" s="5"/>
      <c r="BAK25" s="5"/>
      <c r="BAL25" s="5"/>
      <c r="BAM25" s="5"/>
      <c r="BAN25" s="5"/>
      <c r="BAO25" s="5"/>
      <c r="BAP25" s="5"/>
      <c r="BAQ25" s="5"/>
      <c r="BAR25" s="5"/>
      <c r="BAS25" s="5"/>
      <c r="BAT25" s="5"/>
      <c r="BAU25" s="5"/>
      <c r="BAV25" s="5"/>
      <c r="BAW25" s="5"/>
      <c r="BAX25" s="5"/>
      <c r="BAY25" s="5"/>
      <c r="BAZ25" s="5"/>
      <c r="BBA25" s="5"/>
      <c r="BBB25" s="5"/>
      <c r="BBC25" s="5"/>
      <c r="BBD25" s="5"/>
      <c r="BBE25" s="5"/>
      <c r="BBF25" s="5"/>
      <c r="BBG25" s="5"/>
      <c r="BBH25" s="5"/>
      <c r="BBI25" s="5"/>
      <c r="BBJ25" s="5"/>
      <c r="BBK25" s="5"/>
      <c r="BBL25" s="5"/>
      <c r="BBM25" s="5"/>
      <c r="BBN25" s="5"/>
      <c r="BBO25" s="5"/>
      <c r="BBP25" s="5"/>
      <c r="BBQ25" s="5"/>
      <c r="BBR25" s="5"/>
      <c r="BBS25" s="5"/>
      <c r="BBT25" s="5"/>
      <c r="BBU25" s="5"/>
      <c r="BBV25" s="5"/>
      <c r="BBW25" s="5"/>
      <c r="BBX25" s="5"/>
      <c r="BBY25" s="5"/>
      <c r="BBZ25" s="5"/>
      <c r="BCA25" s="5"/>
      <c r="BCB25" s="5"/>
      <c r="BCC25" s="5"/>
      <c r="BCD25" s="5"/>
      <c r="BCE25" s="5"/>
      <c r="BCF25" s="5"/>
      <c r="BCG25" s="5"/>
      <c r="BCH25" s="5"/>
      <c r="BCI25" s="5"/>
      <c r="BCJ25" s="5"/>
      <c r="BCK25" s="5"/>
      <c r="BCL25" s="5"/>
      <c r="BCM25" s="5"/>
      <c r="BCN25" s="5"/>
      <c r="BCO25" s="5"/>
      <c r="BCP25" s="5"/>
      <c r="BCQ25" s="5"/>
      <c r="BCR25" s="5"/>
      <c r="BCS25" s="5"/>
      <c r="BCT25" s="5"/>
      <c r="BCU25" s="5"/>
      <c r="BCV25" s="5"/>
      <c r="BCW25" s="5"/>
      <c r="BCX25" s="5"/>
      <c r="BCY25" s="5"/>
      <c r="BCZ25" s="5"/>
      <c r="BDA25" s="5"/>
      <c r="BDB25" s="5"/>
      <c r="BDC25" s="5"/>
      <c r="BDD25" s="5"/>
      <c r="BDE25" s="5"/>
      <c r="BDF25" s="5"/>
      <c r="BDG25" s="5"/>
      <c r="BDH25" s="5"/>
      <c r="BDI25" s="5"/>
      <c r="BDJ25" s="5"/>
      <c r="BDK25" s="5"/>
      <c r="BDL25" s="5"/>
      <c r="BDM25" s="5"/>
      <c r="BDN25" s="5"/>
      <c r="BDO25" s="5"/>
      <c r="BDP25" s="5"/>
      <c r="BDQ25" s="5"/>
      <c r="BDR25" s="5"/>
      <c r="BDS25" s="5"/>
      <c r="BDT25" s="5"/>
      <c r="BDU25" s="5"/>
      <c r="BDV25" s="5"/>
      <c r="BDW25" s="5"/>
      <c r="BDX25" s="5"/>
      <c r="BDY25" s="5"/>
      <c r="BDZ25" s="5"/>
      <c r="BEA25" s="5"/>
      <c r="BEB25" s="5"/>
      <c r="BEC25" s="5"/>
      <c r="BED25" s="5"/>
      <c r="BEE25" s="5"/>
      <c r="BEF25" s="5"/>
      <c r="BEG25" s="5"/>
      <c r="BEH25" s="5"/>
      <c r="BEI25" s="5"/>
      <c r="BEJ25" s="5"/>
      <c r="BEK25" s="5"/>
      <c r="BEL25" s="5"/>
      <c r="BEM25" s="5"/>
      <c r="BEN25" s="5"/>
      <c r="BEO25" s="5"/>
      <c r="BEP25" s="5"/>
      <c r="BEQ25" s="5"/>
      <c r="BER25" s="5"/>
      <c r="BES25" s="5"/>
      <c r="BET25" s="5"/>
      <c r="BEU25" s="5"/>
      <c r="BEV25" s="5"/>
      <c r="BEW25" s="5"/>
      <c r="BEX25" s="5"/>
      <c r="BEY25" s="5"/>
      <c r="BEZ25" s="5"/>
      <c r="BFA25" s="5"/>
      <c r="BFB25" s="5"/>
      <c r="BFC25" s="5"/>
      <c r="BFD25" s="5"/>
      <c r="BFE25" s="5"/>
      <c r="BFF25" s="5"/>
      <c r="BFG25" s="5"/>
      <c r="BFH25" s="5"/>
      <c r="BFI25" s="5"/>
      <c r="BFJ25" s="5"/>
      <c r="BFK25" s="5"/>
      <c r="BFL25" s="5"/>
      <c r="BFM25" s="5"/>
      <c r="BFN25" s="5"/>
      <c r="BFO25" s="5"/>
      <c r="BFP25" s="5"/>
      <c r="BFQ25" s="5"/>
      <c r="BFR25" s="5"/>
      <c r="BFS25" s="5"/>
      <c r="BFT25" s="5"/>
      <c r="BFU25" s="5"/>
      <c r="BFV25" s="5"/>
      <c r="BFW25" s="5"/>
      <c r="BFX25" s="5"/>
      <c r="BFY25" s="5"/>
      <c r="BFZ25" s="5"/>
      <c r="BGA25" s="5"/>
      <c r="BGB25" s="5"/>
      <c r="BGC25" s="5"/>
      <c r="BGD25" s="5"/>
      <c r="BGE25" s="5"/>
      <c r="BGF25" s="5"/>
      <c r="BGG25" s="5"/>
      <c r="BGH25" s="5"/>
      <c r="BGI25" s="5"/>
      <c r="BGJ25" s="5"/>
      <c r="BGK25" s="5"/>
      <c r="BGL25" s="5"/>
      <c r="BGM25" s="5"/>
      <c r="BGN25" s="5"/>
      <c r="BGO25" s="5"/>
      <c r="BGP25" s="5"/>
      <c r="BGQ25" s="5"/>
      <c r="BGR25" s="5"/>
      <c r="BGS25" s="5"/>
      <c r="BGT25" s="5"/>
      <c r="BGU25" s="5"/>
      <c r="BGV25" s="5"/>
      <c r="BGW25" s="5"/>
      <c r="BGX25" s="5"/>
      <c r="BGY25" s="5"/>
      <c r="BGZ25" s="5"/>
      <c r="BHA25" s="5"/>
      <c r="BHB25" s="5"/>
      <c r="BHC25" s="5"/>
      <c r="BHD25" s="5"/>
      <c r="BHE25" s="5"/>
      <c r="BHF25" s="5"/>
      <c r="BHG25" s="5"/>
      <c r="BHH25" s="5"/>
      <c r="BHI25" s="5"/>
      <c r="BHJ25" s="5"/>
      <c r="BHK25" s="5"/>
      <c r="BHL25" s="5"/>
      <c r="BHM25" s="5"/>
      <c r="BHN25" s="5"/>
      <c r="BHO25" s="5"/>
      <c r="BHP25" s="5"/>
      <c r="BHQ25" s="5"/>
      <c r="BHR25" s="5"/>
      <c r="BHS25" s="5"/>
      <c r="BHT25" s="5"/>
      <c r="BHU25" s="5"/>
      <c r="BHV25" s="5"/>
      <c r="BHW25" s="5"/>
      <c r="BHX25" s="5"/>
      <c r="BHY25" s="5"/>
      <c r="BHZ25" s="5"/>
      <c r="BIA25" s="5"/>
      <c r="BIB25" s="5"/>
      <c r="BIC25" s="5"/>
      <c r="BID25" s="5"/>
      <c r="BIE25" s="5"/>
      <c r="BIF25" s="5"/>
      <c r="BIG25" s="5"/>
      <c r="BIH25" s="5"/>
      <c r="BII25" s="5"/>
      <c r="BIJ25" s="5"/>
      <c r="BIK25" s="5"/>
      <c r="BIL25" s="5"/>
      <c r="BIM25" s="5"/>
      <c r="BIN25" s="5"/>
      <c r="BIO25" s="5"/>
      <c r="BIP25" s="5"/>
      <c r="BIQ25" s="5"/>
      <c r="BIR25" s="5"/>
      <c r="BIS25" s="5"/>
      <c r="BIT25" s="5"/>
      <c r="BIU25" s="5"/>
      <c r="BIV25" s="5"/>
      <c r="BIW25" s="5"/>
      <c r="BIX25" s="5"/>
      <c r="BIY25" s="5"/>
      <c r="BIZ25" s="5"/>
      <c r="BJA25" s="5"/>
      <c r="BJB25" s="5"/>
      <c r="BJC25" s="5"/>
      <c r="BJD25" s="5"/>
      <c r="BJE25" s="5"/>
      <c r="BJF25" s="5"/>
      <c r="BJG25" s="5"/>
      <c r="BJH25" s="5"/>
      <c r="BJI25" s="5"/>
      <c r="BJJ25" s="5"/>
      <c r="BJK25" s="5"/>
      <c r="BJL25" s="5"/>
      <c r="BJM25" s="5"/>
      <c r="BJN25" s="5"/>
      <c r="BJO25" s="5"/>
      <c r="BJP25" s="5"/>
      <c r="BJQ25" s="5"/>
      <c r="BJR25" s="5"/>
      <c r="BJS25" s="5"/>
      <c r="BJT25" s="5"/>
      <c r="BJU25" s="5"/>
      <c r="BJV25" s="5"/>
      <c r="BJW25" s="5"/>
      <c r="BJX25" s="5"/>
      <c r="BJY25" s="5"/>
      <c r="BJZ25" s="5"/>
      <c r="BKA25" s="5"/>
      <c r="BKB25" s="5"/>
      <c r="BKC25" s="5"/>
      <c r="BKD25" s="5"/>
      <c r="BKE25" s="5"/>
      <c r="BKF25" s="5"/>
      <c r="BKG25" s="5"/>
      <c r="BKH25" s="5"/>
      <c r="BKI25" s="5"/>
      <c r="BKJ25" s="5"/>
      <c r="BKK25" s="5"/>
      <c r="BKL25" s="5"/>
      <c r="BKM25" s="5"/>
      <c r="BKN25" s="5"/>
      <c r="BKO25" s="5"/>
      <c r="BKP25" s="5"/>
      <c r="BKQ25" s="5"/>
      <c r="BKR25" s="5"/>
      <c r="BKS25" s="5"/>
      <c r="BKT25" s="5"/>
      <c r="BKU25" s="5"/>
      <c r="BKV25" s="5"/>
      <c r="BKW25" s="5"/>
      <c r="BKX25" s="5"/>
      <c r="BKY25" s="5"/>
      <c r="BKZ25" s="5"/>
      <c r="BLA25" s="5"/>
      <c r="BLB25" s="5"/>
      <c r="BLC25" s="5"/>
      <c r="BLD25" s="5"/>
      <c r="BLE25" s="5"/>
      <c r="BLF25" s="5"/>
      <c r="BLG25" s="5"/>
      <c r="BLH25" s="5"/>
      <c r="BLI25" s="5"/>
      <c r="BLJ25" s="5"/>
      <c r="BLK25" s="5"/>
      <c r="BLL25" s="5"/>
      <c r="BLM25" s="5"/>
      <c r="BLN25" s="5"/>
      <c r="BLO25" s="5"/>
      <c r="BLP25" s="5"/>
      <c r="BLQ25" s="5"/>
      <c r="BLR25" s="5"/>
      <c r="BLS25" s="5"/>
      <c r="BLT25" s="5"/>
      <c r="BLU25" s="5"/>
      <c r="BLV25" s="5"/>
      <c r="BLW25" s="5"/>
      <c r="BLX25" s="5"/>
      <c r="BLY25" s="5"/>
      <c r="BLZ25" s="5"/>
      <c r="BMA25" s="5"/>
      <c r="BMB25" s="5"/>
      <c r="BMC25" s="5"/>
      <c r="BMD25" s="5"/>
      <c r="BME25" s="5"/>
      <c r="BMF25" s="5"/>
      <c r="BMG25" s="5"/>
      <c r="BMH25" s="5"/>
      <c r="BMI25" s="5"/>
      <c r="BMJ25" s="5"/>
      <c r="BMK25" s="5"/>
      <c r="BML25" s="5"/>
      <c r="BMM25" s="5"/>
      <c r="BMN25" s="5"/>
      <c r="BMO25" s="5"/>
      <c r="BMP25" s="5"/>
      <c r="BMQ25" s="5"/>
      <c r="BMR25" s="5"/>
      <c r="BMS25" s="5"/>
      <c r="BMT25" s="5"/>
      <c r="BMU25" s="5"/>
      <c r="BMV25" s="5"/>
      <c r="BMW25" s="5"/>
      <c r="BMX25" s="5"/>
      <c r="BMY25" s="5"/>
      <c r="BMZ25" s="5"/>
      <c r="BNA25" s="5"/>
      <c r="BNB25" s="5"/>
      <c r="BNC25" s="5"/>
      <c r="BND25" s="5"/>
      <c r="BNE25" s="5"/>
      <c r="BNF25" s="5"/>
      <c r="BNG25" s="5"/>
      <c r="BNH25" s="5"/>
      <c r="BNI25" s="5"/>
      <c r="BNJ25" s="5"/>
      <c r="BNK25" s="5"/>
      <c r="BNL25" s="5"/>
      <c r="BNM25" s="5"/>
      <c r="BNN25" s="5"/>
      <c r="BNO25" s="5"/>
      <c r="BNP25" s="5"/>
      <c r="BNQ25" s="5"/>
      <c r="BNR25" s="5"/>
      <c r="BNS25" s="5"/>
      <c r="BNT25" s="5"/>
      <c r="BNU25" s="5"/>
      <c r="BNV25" s="5"/>
      <c r="BNW25" s="5"/>
      <c r="BNX25" s="5"/>
      <c r="BNY25" s="5"/>
      <c r="BNZ25" s="5"/>
      <c r="BOA25" s="5"/>
      <c r="BOB25" s="5"/>
      <c r="BOC25" s="5"/>
      <c r="BOD25" s="5"/>
      <c r="BOE25" s="5"/>
      <c r="BOF25" s="5"/>
      <c r="BOG25" s="5"/>
      <c r="BOH25" s="5"/>
      <c r="BOI25" s="5"/>
      <c r="BOJ25" s="5"/>
      <c r="BOK25" s="5"/>
      <c r="BOL25" s="5"/>
      <c r="BOM25" s="5"/>
      <c r="BON25" s="5"/>
      <c r="BOO25" s="5"/>
      <c r="BOP25" s="5"/>
      <c r="BOQ25" s="5"/>
      <c r="BOR25" s="5"/>
      <c r="BOS25" s="5"/>
      <c r="BOT25" s="5"/>
      <c r="BOU25" s="5"/>
      <c r="BOV25" s="5"/>
      <c r="BOW25" s="5"/>
      <c r="BOX25" s="5"/>
      <c r="BOY25" s="5"/>
      <c r="BOZ25" s="5"/>
      <c r="BPA25" s="5"/>
      <c r="BPB25" s="5"/>
      <c r="BPC25" s="5"/>
      <c r="BPD25" s="5"/>
      <c r="BPE25" s="5"/>
      <c r="BPF25" s="5"/>
      <c r="BPG25" s="5"/>
      <c r="BPH25" s="5"/>
      <c r="BPI25" s="5"/>
      <c r="BPJ25" s="5"/>
      <c r="BPK25" s="5"/>
      <c r="BPL25" s="5"/>
      <c r="BPM25" s="5"/>
      <c r="BPN25" s="5"/>
      <c r="BPO25" s="5"/>
      <c r="BPP25" s="5"/>
      <c r="BPQ25" s="5"/>
      <c r="BPR25" s="5"/>
      <c r="BPS25" s="5"/>
      <c r="BPT25" s="5"/>
      <c r="BPU25" s="5"/>
      <c r="BPV25" s="5"/>
      <c r="BPW25" s="5"/>
      <c r="BPX25" s="5"/>
      <c r="BPY25" s="5"/>
      <c r="BPZ25" s="5"/>
      <c r="BQA25" s="5"/>
      <c r="BQB25" s="5"/>
      <c r="BQC25" s="5"/>
      <c r="BQD25" s="5"/>
      <c r="BQE25" s="5"/>
      <c r="BQF25" s="5"/>
      <c r="BQG25" s="5"/>
      <c r="BQH25" s="5"/>
      <c r="BQI25" s="5"/>
      <c r="BQJ25" s="5"/>
      <c r="BQK25" s="5"/>
      <c r="BQL25" s="5"/>
      <c r="BQM25" s="5"/>
      <c r="BQN25" s="5"/>
      <c r="BQO25" s="5"/>
      <c r="BQP25" s="5"/>
      <c r="BQQ25" s="5"/>
      <c r="BQR25" s="5"/>
      <c r="BQS25" s="5"/>
      <c r="BQT25" s="5"/>
      <c r="BQU25" s="5"/>
      <c r="BQV25" s="5"/>
      <c r="BQW25" s="5"/>
      <c r="BQX25" s="5"/>
      <c r="BQY25" s="5"/>
      <c r="BQZ25" s="5"/>
      <c r="BRA25" s="5"/>
      <c r="BRB25" s="5"/>
      <c r="BRC25" s="5"/>
      <c r="BRD25" s="5"/>
      <c r="BRE25" s="5"/>
      <c r="BRF25" s="5"/>
      <c r="BRG25" s="5"/>
      <c r="BRH25" s="5"/>
      <c r="BRI25" s="5"/>
      <c r="BRJ25" s="5"/>
      <c r="BRK25" s="5"/>
      <c r="BRL25" s="5"/>
      <c r="BRM25" s="5"/>
      <c r="BRN25" s="5"/>
      <c r="BRO25" s="5"/>
      <c r="BRP25" s="5"/>
      <c r="BRQ25" s="5"/>
      <c r="BRR25" s="5"/>
      <c r="BRS25" s="5"/>
      <c r="BRT25" s="5"/>
      <c r="BRU25" s="5"/>
      <c r="BRV25" s="5"/>
      <c r="BRW25" s="5"/>
      <c r="BRX25" s="5"/>
      <c r="BRY25" s="5"/>
      <c r="BRZ25" s="5"/>
      <c r="BSA25" s="5"/>
      <c r="BSB25" s="5"/>
      <c r="BSC25" s="5"/>
      <c r="BSD25" s="5"/>
      <c r="BSE25" s="5"/>
      <c r="BSF25" s="5"/>
      <c r="BSG25" s="5"/>
      <c r="BSH25" s="5"/>
      <c r="BSI25" s="5"/>
      <c r="BSJ25" s="5"/>
      <c r="BSK25" s="5"/>
      <c r="BSL25" s="5"/>
      <c r="BSM25" s="5"/>
      <c r="BSN25" s="5"/>
      <c r="BSO25" s="5"/>
      <c r="BSP25" s="5"/>
      <c r="BSQ25" s="5"/>
      <c r="BSR25" s="5"/>
      <c r="BSS25" s="5"/>
      <c r="BST25" s="5"/>
      <c r="BSU25" s="5"/>
      <c r="BSV25" s="5"/>
      <c r="BSW25" s="5"/>
      <c r="BSX25" s="5"/>
      <c r="BSY25" s="5"/>
      <c r="BSZ25" s="5"/>
      <c r="BTA25" s="5"/>
      <c r="BTB25" s="5"/>
      <c r="BTC25" s="5"/>
      <c r="BTD25" s="5"/>
      <c r="BTE25" s="5"/>
      <c r="BTF25" s="5"/>
      <c r="BTG25" s="5"/>
      <c r="BTH25" s="5"/>
      <c r="BTI25" s="5"/>
      <c r="BTJ25" s="5"/>
      <c r="BTK25" s="5"/>
      <c r="BTL25" s="5"/>
      <c r="BTM25" s="5"/>
      <c r="BTN25" s="5"/>
      <c r="BTO25" s="5"/>
      <c r="BTP25" s="5"/>
      <c r="BTQ25" s="5"/>
      <c r="BTR25" s="5"/>
      <c r="BTS25" s="5"/>
      <c r="BTT25" s="5"/>
      <c r="BTU25" s="5"/>
      <c r="BTV25" s="5"/>
      <c r="BTW25" s="5"/>
      <c r="BTX25" s="5"/>
      <c r="BTY25" s="5"/>
      <c r="BTZ25" s="5"/>
      <c r="BUA25" s="5"/>
      <c r="BUB25" s="5"/>
      <c r="BUC25" s="5"/>
      <c r="BUD25" s="5"/>
      <c r="BUE25" s="5"/>
      <c r="BUF25" s="5"/>
      <c r="BUG25" s="5"/>
      <c r="BUH25" s="5"/>
      <c r="BUI25" s="5"/>
      <c r="BUJ25" s="5"/>
      <c r="BUK25" s="5"/>
      <c r="BUL25" s="5"/>
      <c r="BUM25" s="5"/>
      <c r="BUN25" s="5"/>
      <c r="BUO25" s="5"/>
      <c r="BUP25" s="5"/>
      <c r="BUQ25" s="5"/>
      <c r="BUR25" s="5"/>
      <c r="BUS25" s="5"/>
      <c r="BUT25" s="5"/>
      <c r="BUU25" s="5"/>
      <c r="BUV25" s="5"/>
      <c r="BUW25" s="5"/>
      <c r="BUX25" s="5"/>
      <c r="BUY25" s="5"/>
      <c r="BUZ25" s="5"/>
      <c r="BVA25" s="5"/>
      <c r="BVB25" s="5"/>
      <c r="BVC25" s="5"/>
      <c r="BVD25" s="5"/>
      <c r="BVE25" s="5"/>
      <c r="BVF25" s="5"/>
      <c r="BVG25" s="5"/>
      <c r="BVH25" s="5"/>
      <c r="BVI25" s="5"/>
      <c r="BVJ25" s="5"/>
      <c r="BVK25" s="5"/>
      <c r="BVL25" s="5"/>
      <c r="BVM25" s="5"/>
      <c r="BVN25" s="5"/>
      <c r="BVO25" s="5"/>
      <c r="BVP25" s="5"/>
      <c r="BVQ25" s="5"/>
      <c r="BVR25" s="5"/>
      <c r="BVS25" s="5"/>
      <c r="BVT25" s="5"/>
      <c r="BVU25" s="5"/>
      <c r="BVV25" s="5"/>
      <c r="BVW25" s="5"/>
      <c r="BVX25" s="5"/>
      <c r="BVY25" s="5"/>
      <c r="BVZ25" s="5"/>
      <c r="BWA25" s="5"/>
      <c r="BWB25" s="5"/>
      <c r="BWC25" s="5"/>
      <c r="BWD25" s="5"/>
      <c r="BWE25" s="5"/>
      <c r="BWF25" s="5"/>
      <c r="BWG25" s="5"/>
      <c r="BWH25" s="5"/>
      <c r="BWI25" s="5"/>
      <c r="BWJ25" s="5"/>
      <c r="BWK25" s="5"/>
      <c r="BWL25" s="5"/>
      <c r="BWM25" s="5"/>
      <c r="BWN25" s="5"/>
      <c r="BWO25" s="5"/>
      <c r="BWP25" s="5"/>
      <c r="BWQ25" s="5"/>
      <c r="BWR25" s="5"/>
      <c r="BWS25" s="5"/>
      <c r="BWT25" s="5"/>
      <c r="BWU25" s="5"/>
      <c r="BWV25" s="5"/>
      <c r="BWW25" s="5"/>
      <c r="BWX25" s="5"/>
      <c r="BWY25" s="5"/>
      <c r="BWZ25" s="5"/>
      <c r="BXA25" s="5"/>
      <c r="BXB25" s="5"/>
      <c r="BXC25" s="5"/>
      <c r="BXD25" s="5"/>
      <c r="BXE25" s="5"/>
      <c r="BXF25" s="5"/>
      <c r="BXG25" s="5"/>
      <c r="BXH25" s="5"/>
      <c r="BXI25" s="5"/>
      <c r="BXJ25" s="5"/>
      <c r="BXK25" s="5"/>
      <c r="BXL25" s="5"/>
      <c r="BXM25" s="5"/>
      <c r="BXN25" s="5"/>
      <c r="BXO25" s="5"/>
      <c r="BXP25" s="5"/>
      <c r="BXQ25" s="5"/>
      <c r="BXR25" s="5"/>
      <c r="BXS25" s="5"/>
      <c r="BXT25" s="5"/>
      <c r="BXU25" s="5"/>
      <c r="BXV25" s="5"/>
      <c r="BXW25" s="5"/>
      <c r="BXX25" s="5"/>
      <c r="BXY25" s="5"/>
      <c r="BXZ25" s="5"/>
      <c r="BYA25" s="5"/>
      <c r="BYB25" s="5"/>
      <c r="BYC25" s="5"/>
      <c r="BYD25" s="5"/>
      <c r="BYE25" s="5"/>
      <c r="BYF25" s="5"/>
      <c r="BYG25" s="5"/>
      <c r="BYH25" s="5"/>
      <c r="BYI25" s="5"/>
      <c r="BYJ25" s="5"/>
      <c r="BYK25" s="5"/>
      <c r="BYL25" s="5"/>
      <c r="BYM25" s="5"/>
      <c r="BYN25" s="5"/>
      <c r="BYO25" s="5"/>
      <c r="BYP25" s="5"/>
      <c r="BYQ25" s="5"/>
      <c r="BYR25" s="5"/>
      <c r="BYS25" s="5"/>
      <c r="BYT25" s="5"/>
      <c r="BYU25" s="5"/>
      <c r="BYV25" s="5"/>
      <c r="BYW25" s="5"/>
      <c r="BYX25" s="5"/>
      <c r="BYY25" s="5"/>
      <c r="BYZ25" s="5"/>
      <c r="BZA25" s="5"/>
      <c r="BZB25" s="5"/>
      <c r="BZC25" s="5"/>
      <c r="BZD25" s="5"/>
      <c r="BZE25" s="5"/>
      <c r="BZF25" s="5"/>
      <c r="BZG25" s="5"/>
      <c r="BZH25" s="5"/>
      <c r="BZI25" s="5"/>
      <c r="BZJ25" s="5"/>
      <c r="BZK25" s="5"/>
      <c r="BZL25" s="5"/>
      <c r="BZM25" s="5"/>
      <c r="BZN25" s="5"/>
      <c r="BZO25" s="5"/>
      <c r="BZP25" s="5"/>
      <c r="BZQ25" s="5"/>
      <c r="BZR25" s="5"/>
      <c r="BZS25" s="5"/>
      <c r="BZT25" s="5"/>
      <c r="BZU25" s="5"/>
      <c r="BZV25" s="5"/>
      <c r="BZW25" s="5"/>
      <c r="BZX25" s="5"/>
      <c r="BZY25" s="5"/>
      <c r="BZZ25" s="5"/>
      <c r="CAA25" s="5"/>
      <c r="CAB25" s="5"/>
      <c r="CAC25" s="5"/>
      <c r="CAD25" s="5"/>
      <c r="CAE25" s="5"/>
      <c r="CAF25" s="5"/>
      <c r="CAG25" s="5"/>
      <c r="CAH25" s="5"/>
      <c r="CAI25" s="5"/>
      <c r="CAJ25" s="5"/>
      <c r="CAK25" s="5"/>
      <c r="CAL25" s="5"/>
      <c r="CAM25" s="5"/>
      <c r="CAN25" s="5"/>
      <c r="CAO25" s="5"/>
      <c r="CAP25" s="5"/>
      <c r="CAQ25" s="5"/>
      <c r="CAR25" s="5"/>
      <c r="CAS25" s="5"/>
      <c r="CAT25" s="5"/>
      <c r="CAU25" s="5"/>
      <c r="CAV25" s="5"/>
      <c r="CAW25" s="5"/>
      <c r="CAX25" s="5"/>
      <c r="CAY25" s="5"/>
      <c r="CAZ25" s="5"/>
      <c r="CBA25" s="5"/>
      <c r="CBB25" s="5"/>
      <c r="CBC25" s="5"/>
      <c r="CBD25" s="5"/>
      <c r="CBE25" s="5"/>
      <c r="CBF25" s="5"/>
      <c r="CBG25" s="5"/>
      <c r="CBH25" s="5"/>
      <c r="CBI25" s="5"/>
      <c r="CBJ25" s="5"/>
      <c r="CBK25" s="5"/>
      <c r="CBL25" s="5"/>
      <c r="CBM25" s="5"/>
      <c r="CBN25" s="5"/>
      <c r="CBO25" s="5"/>
      <c r="CBP25" s="5"/>
      <c r="CBQ25" s="5"/>
      <c r="CBR25" s="5"/>
      <c r="CBS25" s="5"/>
      <c r="CBT25" s="5"/>
      <c r="CBU25" s="5"/>
      <c r="CBV25" s="5"/>
      <c r="CBW25" s="5"/>
      <c r="CBX25" s="5"/>
      <c r="CBY25" s="5"/>
      <c r="CBZ25" s="5"/>
      <c r="CCA25" s="5"/>
      <c r="CCB25" s="5"/>
      <c r="CCC25" s="5"/>
      <c r="CCD25" s="5"/>
      <c r="CCE25" s="5"/>
      <c r="CCF25" s="5"/>
      <c r="CCG25" s="5"/>
      <c r="CCH25" s="5"/>
      <c r="CCI25" s="5"/>
      <c r="CCJ25" s="5"/>
      <c r="CCK25" s="5"/>
      <c r="CCL25" s="5"/>
      <c r="CCM25" s="5"/>
      <c r="CCN25" s="5"/>
      <c r="CCO25" s="5"/>
      <c r="CCP25" s="5"/>
      <c r="CCQ25" s="5"/>
      <c r="CCR25" s="5"/>
      <c r="CCS25" s="5"/>
      <c r="CCT25" s="5"/>
      <c r="CCU25" s="5"/>
      <c r="CCV25" s="5"/>
      <c r="CCW25" s="5"/>
      <c r="CCX25" s="5"/>
      <c r="CCY25" s="5"/>
      <c r="CCZ25" s="5"/>
      <c r="CDA25" s="5"/>
      <c r="CDB25" s="5"/>
      <c r="CDC25" s="5"/>
      <c r="CDD25" s="5"/>
      <c r="CDE25" s="5"/>
      <c r="CDF25" s="5"/>
      <c r="CDG25" s="5"/>
      <c r="CDH25" s="5"/>
      <c r="CDI25" s="5"/>
      <c r="CDJ25" s="5"/>
      <c r="CDK25" s="5"/>
      <c r="CDL25" s="5"/>
      <c r="CDM25" s="5"/>
      <c r="CDN25" s="5"/>
      <c r="CDO25" s="5"/>
      <c r="CDP25" s="5"/>
      <c r="CDQ25" s="5"/>
      <c r="CDR25" s="5"/>
      <c r="CDS25" s="5"/>
      <c r="CDT25" s="5"/>
      <c r="CDU25" s="5"/>
      <c r="CDV25" s="5"/>
      <c r="CDW25" s="5"/>
      <c r="CDX25" s="5"/>
      <c r="CDY25" s="5"/>
      <c r="CDZ25" s="5"/>
      <c r="CEA25" s="5"/>
      <c r="CEB25" s="5"/>
      <c r="CEC25" s="5"/>
      <c r="CED25" s="5"/>
      <c r="CEE25" s="5"/>
      <c r="CEF25" s="5"/>
      <c r="CEG25" s="5"/>
      <c r="CEH25" s="5"/>
      <c r="CEI25" s="5"/>
      <c r="CEJ25" s="5"/>
      <c r="CEK25" s="5"/>
      <c r="CEL25" s="5"/>
      <c r="CEM25" s="5"/>
      <c r="CEN25" s="5"/>
      <c r="CEO25" s="5"/>
      <c r="CEP25" s="5"/>
      <c r="CEQ25" s="5"/>
      <c r="CER25" s="5"/>
      <c r="CES25" s="5"/>
      <c r="CET25" s="5"/>
      <c r="CEU25" s="5"/>
      <c r="CEV25" s="5"/>
      <c r="CEW25" s="5"/>
      <c r="CEX25" s="5"/>
      <c r="CEY25" s="5"/>
      <c r="CEZ25" s="5"/>
      <c r="CFA25" s="5"/>
      <c r="CFB25" s="5"/>
      <c r="CFC25" s="5"/>
      <c r="CFD25" s="5"/>
      <c r="CFE25" s="5"/>
      <c r="CFF25" s="5"/>
      <c r="CFG25" s="5"/>
      <c r="CFH25" s="5"/>
      <c r="CFI25" s="5"/>
      <c r="CFJ25" s="5"/>
      <c r="CFK25" s="5"/>
      <c r="CFL25" s="5"/>
      <c r="CFM25" s="5"/>
      <c r="CFN25" s="5"/>
      <c r="CFO25" s="5"/>
      <c r="CFP25" s="5"/>
      <c r="CFQ25" s="5"/>
      <c r="CFR25" s="5"/>
      <c r="CFS25" s="5"/>
      <c r="CFT25" s="5"/>
      <c r="CFU25" s="5"/>
      <c r="CFV25" s="5"/>
      <c r="CFW25" s="5"/>
      <c r="CFX25" s="5"/>
      <c r="CFY25" s="5"/>
      <c r="CFZ25" s="5"/>
      <c r="CGA25" s="5"/>
      <c r="CGB25" s="5"/>
      <c r="CGC25" s="5"/>
      <c r="CGD25" s="5"/>
      <c r="CGE25" s="5"/>
      <c r="CGF25" s="5"/>
      <c r="CGG25" s="5"/>
      <c r="CGH25" s="5"/>
      <c r="CGI25" s="5"/>
      <c r="CGJ25" s="5"/>
      <c r="CGK25" s="5"/>
      <c r="CGL25" s="5"/>
      <c r="CGM25" s="5"/>
      <c r="CGN25" s="5"/>
      <c r="CGO25" s="5"/>
      <c r="CGP25" s="5"/>
      <c r="CGQ25" s="5"/>
      <c r="CGR25" s="5"/>
      <c r="CGS25" s="5"/>
      <c r="CGT25" s="5"/>
      <c r="CGU25" s="5"/>
      <c r="CGV25" s="5"/>
      <c r="CGW25" s="5"/>
      <c r="CGX25" s="5"/>
      <c r="CGY25" s="5"/>
      <c r="CGZ25" s="5"/>
      <c r="CHA25" s="5"/>
      <c r="CHB25" s="5"/>
      <c r="CHC25" s="5"/>
      <c r="CHD25" s="5"/>
      <c r="CHE25" s="5"/>
      <c r="CHF25" s="5"/>
      <c r="CHG25" s="5"/>
      <c r="CHH25" s="5"/>
      <c r="CHI25" s="5"/>
      <c r="CHJ25" s="5"/>
      <c r="CHK25" s="5"/>
      <c r="CHL25" s="5"/>
      <c r="CHM25" s="5"/>
      <c r="CHN25" s="5"/>
      <c r="CHO25" s="5"/>
      <c r="CHP25" s="5"/>
      <c r="CHQ25" s="5"/>
      <c r="CHR25" s="5"/>
      <c r="CHS25" s="5"/>
      <c r="CHT25" s="5"/>
      <c r="CHU25" s="5"/>
      <c r="CHV25" s="5"/>
      <c r="CHW25" s="5"/>
      <c r="CHX25" s="5"/>
      <c r="CHY25" s="5"/>
      <c r="CHZ25" s="5"/>
      <c r="CIA25" s="5"/>
      <c r="CIB25" s="5"/>
      <c r="CIC25" s="5"/>
      <c r="CID25" s="5"/>
      <c r="CIE25" s="5"/>
      <c r="CIF25" s="5"/>
      <c r="CIG25" s="5"/>
      <c r="CIH25" s="5"/>
      <c r="CII25" s="5"/>
      <c r="CIJ25" s="5"/>
      <c r="CIK25" s="5"/>
      <c r="CIL25" s="5"/>
      <c r="CIM25" s="5"/>
      <c r="CIN25" s="5"/>
      <c r="CIO25" s="5"/>
      <c r="CIP25" s="5"/>
      <c r="CIQ25" s="5"/>
      <c r="CIR25" s="5"/>
      <c r="CIS25" s="5"/>
      <c r="CIT25" s="5"/>
      <c r="CIU25" s="5"/>
      <c r="CIV25" s="5"/>
      <c r="CIW25" s="5"/>
      <c r="CIX25" s="5"/>
      <c r="CIY25" s="5"/>
      <c r="CIZ25" s="5"/>
      <c r="CJA25" s="5"/>
      <c r="CJB25" s="5"/>
      <c r="CJC25" s="5"/>
      <c r="CJD25" s="5"/>
      <c r="CJE25" s="5"/>
      <c r="CJF25" s="5"/>
      <c r="CJG25" s="5"/>
      <c r="CJH25" s="5"/>
      <c r="CJI25" s="5"/>
      <c r="CJJ25" s="5"/>
      <c r="CJK25" s="5"/>
      <c r="CJL25" s="5"/>
      <c r="CJM25" s="5"/>
      <c r="CJN25" s="5"/>
      <c r="CJO25" s="5"/>
      <c r="CJP25" s="5"/>
      <c r="CJQ25" s="5"/>
      <c r="CJR25" s="5"/>
      <c r="CJS25" s="5"/>
      <c r="CJT25" s="5"/>
      <c r="CJU25" s="5"/>
      <c r="CJV25" s="5"/>
      <c r="CJW25" s="5"/>
      <c r="CJX25" s="5"/>
      <c r="CJY25" s="5"/>
      <c r="CJZ25" s="5"/>
      <c r="CKA25" s="5"/>
      <c r="CKB25" s="5"/>
      <c r="CKC25" s="5"/>
      <c r="CKD25" s="5"/>
      <c r="CKE25" s="5"/>
      <c r="CKF25" s="5"/>
      <c r="CKG25" s="5"/>
      <c r="CKH25" s="5"/>
      <c r="CKI25" s="5"/>
      <c r="CKJ25" s="5"/>
      <c r="CKK25" s="5"/>
      <c r="CKL25" s="5"/>
      <c r="CKM25" s="5"/>
      <c r="CKN25" s="5"/>
      <c r="CKO25" s="5"/>
      <c r="CKP25" s="5"/>
      <c r="CKQ25" s="5"/>
      <c r="CKR25" s="5"/>
      <c r="CKS25" s="5"/>
      <c r="CKT25" s="5"/>
      <c r="CKU25" s="5"/>
      <c r="CKV25" s="5"/>
      <c r="CKW25" s="5"/>
      <c r="CKX25" s="5"/>
      <c r="CKY25" s="5"/>
      <c r="CKZ25" s="5"/>
      <c r="CLA25" s="5"/>
      <c r="CLB25" s="5"/>
      <c r="CLC25" s="5"/>
      <c r="CLD25" s="5"/>
      <c r="CLE25" s="5"/>
      <c r="CLF25" s="5"/>
      <c r="CLG25" s="5"/>
      <c r="CLH25" s="5"/>
      <c r="CLI25" s="5"/>
      <c r="CLJ25" s="5"/>
      <c r="CLK25" s="5"/>
      <c r="CLL25" s="5"/>
      <c r="CLM25" s="5"/>
      <c r="CLN25" s="5"/>
      <c r="CLO25" s="5"/>
      <c r="CLP25" s="5"/>
      <c r="CLQ25" s="5"/>
      <c r="CLR25" s="5"/>
      <c r="CLS25" s="5"/>
      <c r="CLT25" s="5"/>
      <c r="CLU25" s="5"/>
      <c r="CLV25" s="5"/>
      <c r="CLW25" s="5"/>
      <c r="CLX25" s="5"/>
      <c r="CLY25" s="5"/>
      <c r="CLZ25" s="5"/>
      <c r="CMA25" s="5"/>
      <c r="CMB25" s="5"/>
      <c r="CMC25" s="5"/>
      <c r="CMD25" s="5"/>
      <c r="CME25" s="5"/>
      <c r="CMF25" s="5"/>
      <c r="CMG25" s="5"/>
      <c r="CMH25" s="5"/>
      <c r="CMI25" s="5"/>
      <c r="CMJ25" s="5"/>
      <c r="CMK25" s="5"/>
      <c r="CML25" s="5"/>
      <c r="CMM25" s="5"/>
      <c r="CMN25" s="5"/>
      <c r="CMO25" s="5"/>
      <c r="CMP25" s="5"/>
      <c r="CMQ25" s="5"/>
      <c r="CMR25" s="5"/>
      <c r="CMS25" s="5"/>
      <c r="CMT25" s="5"/>
      <c r="CMU25" s="5"/>
      <c r="CMV25" s="5"/>
      <c r="CMW25" s="5"/>
      <c r="CMX25" s="5"/>
      <c r="CMY25" s="5"/>
      <c r="CMZ25" s="5"/>
      <c r="CNA25" s="5"/>
      <c r="CNB25" s="5"/>
      <c r="CNC25" s="5"/>
      <c r="CND25" s="5"/>
      <c r="CNE25" s="5"/>
      <c r="CNF25" s="5"/>
      <c r="CNG25" s="5"/>
      <c r="CNH25" s="5"/>
      <c r="CNI25" s="5"/>
      <c r="CNJ25" s="5"/>
      <c r="CNK25" s="5"/>
      <c r="CNL25" s="5"/>
      <c r="CNM25" s="5"/>
      <c r="CNN25" s="5"/>
      <c r="CNO25" s="5"/>
      <c r="CNP25" s="5"/>
      <c r="CNQ25" s="5"/>
      <c r="CNR25" s="5"/>
      <c r="CNS25" s="5"/>
      <c r="CNT25" s="5"/>
      <c r="CNU25" s="5"/>
      <c r="CNV25" s="5"/>
      <c r="CNW25" s="5"/>
      <c r="CNX25" s="5"/>
      <c r="CNY25" s="5"/>
      <c r="CNZ25" s="5"/>
      <c r="COA25" s="5"/>
      <c r="COB25" s="5"/>
      <c r="COC25" s="5"/>
      <c r="COD25" s="5"/>
      <c r="COE25" s="5"/>
      <c r="COF25" s="5"/>
      <c r="COG25" s="5"/>
      <c r="COH25" s="5"/>
      <c r="COI25" s="5"/>
      <c r="COJ25" s="5"/>
      <c r="COK25" s="5"/>
      <c r="COL25" s="5"/>
      <c r="COM25" s="5"/>
      <c r="CON25" s="5"/>
      <c r="COO25" s="5"/>
      <c r="COP25" s="5"/>
      <c r="COQ25" s="5"/>
      <c r="COR25" s="5"/>
      <c r="COS25" s="5"/>
      <c r="COT25" s="5"/>
      <c r="COU25" s="5"/>
      <c r="COV25" s="5"/>
      <c r="COW25" s="5"/>
      <c r="COX25" s="5"/>
      <c r="COY25" s="5"/>
      <c r="COZ25" s="5"/>
      <c r="CPA25" s="5"/>
      <c r="CPB25" s="5"/>
      <c r="CPC25" s="5"/>
      <c r="CPD25" s="5"/>
      <c r="CPE25" s="5"/>
      <c r="CPF25" s="5"/>
      <c r="CPG25" s="5"/>
      <c r="CPH25" s="5"/>
      <c r="CPI25" s="5"/>
      <c r="CPJ25" s="5"/>
      <c r="CPK25" s="5"/>
      <c r="CPL25" s="5"/>
      <c r="CPM25" s="5"/>
      <c r="CPN25" s="5"/>
      <c r="CPO25" s="5"/>
      <c r="CPP25" s="5"/>
      <c r="CPQ25" s="5"/>
      <c r="CPR25" s="5"/>
      <c r="CPS25" s="5"/>
      <c r="CPT25" s="5"/>
      <c r="CPU25" s="5"/>
      <c r="CPV25" s="5"/>
      <c r="CPW25" s="5"/>
      <c r="CPX25" s="5"/>
      <c r="CPY25" s="5"/>
      <c r="CPZ25" s="5"/>
      <c r="CQA25" s="5"/>
      <c r="CQB25" s="5"/>
      <c r="CQC25" s="5"/>
      <c r="CQD25" s="5"/>
      <c r="CQE25" s="5"/>
      <c r="CQF25" s="5"/>
      <c r="CQG25" s="5"/>
      <c r="CQH25" s="5"/>
      <c r="CQI25" s="5"/>
      <c r="CQJ25" s="5"/>
      <c r="CQK25" s="5"/>
      <c r="CQL25" s="5"/>
      <c r="CQM25" s="5"/>
      <c r="CQN25" s="5"/>
      <c r="CQO25" s="5"/>
      <c r="CQP25" s="5"/>
      <c r="CQQ25" s="5"/>
      <c r="CQR25" s="5"/>
      <c r="CQS25" s="5"/>
      <c r="CQT25" s="5"/>
      <c r="CQU25" s="5"/>
      <c r="CQV25" s="5"/>
      <c r="CQW25" s="5"/>
      <c r="CQX25" s="5"/>
      <c r="CQY25" s="5"/>
      <c r="CQZ25" s="5"/>
      <c r="CRA25" s="5"/>
      <c r="CRB25" s="5"/>
      <c r="CRC25" s="5"/>
      <c r="CRD25" s="5"/>
      <c r="CRE25" s="5"/>
      <c r="CRF25" s="5"/>
      <c r="CRG25" s="5"/>
      <c r="CRH25" s="5"/>
      <c r="CRI25" s="5"/>
      <c r="CRJ25" s="5"/>
      <c r="CRK25" s="5"/>
      <c r="CRL25" s="5"/>
      <c r="CRM25" s="5"/>
      <c r="CRN25" s="5"/>
      <c r="CRO25" s="5"/>
      <c r="CRP25" s="5"/>
      <c r="CRQ25" s="5"/>
      <c r="CRR25" s="5"/>
      <c r="CRS25" s="5"/>
      <c r="CRT25" s="5"/>
      <c r="CRU25" s="5"/>
      <c r="CRV25" s="5"/>
      <c r="CRW25" s="5"/>
      <c r="CRX25" s="5"/>
      <c r="CRY25" s="5"/>
      <c r="CRZ25" s="5"/>
      <c r="CSA25" s="5"/>
      <c r="CSB25" s="5"/>
      <c r="CSC25" s="5"/>
      <c r="CSD25" s="5"/>
      <c r="CSE25" s="5"/>
      <c r="CSF25" s="5"/>
      <c r="CSG25" s="5"/>
      <c r="CSH25" s="5"/>
      <c r="CSI25" s="5"/>
      <c r="CSJ25" s="5"/>
      <c r="CSK25" s="5"/>
      <c r="CSL25" s="5"/>
      <c r="CSM25" s="5"/>
      <c r="CSN25" s="5"/>
      <c r="CSO25" s="5"/>
      <c r="CSP25" s="5"/>
      <c r="CSQ25" s="5"/>
      <c r="CSR25" s="5"/>
      <c r="CSS25" s="5"/>
      <c r="CST25" s="5"/>
      <c r="CSU25" s="5"/>
      <c r="CSV25" s="5"/>
      <c r="CSW25" s="5"/>
      <c r="CSX25" s="5"/>
      <c r="CSY25" s="5"/>
      <c r="CSZ25" s="5"/>
      <c r="CTA25" s="5"/>
      <c r="CTB25" s="5"/>
      <c r="CTC25" s="5"/>
      <c r="CTD25" s="5"/>
      <c r="CTE25" s="5"/>
      <c r="CTF25" s="5"/>
      <c r="CTG25" s="5"/>
      <c r="CTH25" s="5"/>
      <c r="CTI25" s="5"/>
      <c r="CTJ25" s="5"/>
      <c r="CTK25" s="5"/>
      <c r="CTL25" s="5"/>
      <c r="CTM25" s="5"/>
      <c r="CTN25" s="5"/>
      <c r="CTO25" s="5"/>
      <c r="CTP25" s="5"/>
      <c r="CTQ25" s="5"/>
      <c r="CTR25" s="5"/>
      <c r="CTS25" s="5"/>
      <c r="CTT25" s="5"/>
      <c r="CTU25" s="5"/>
      <c r="CTV25" s="5"/>
      <c r="CTW25" s="5"/>
      <c r="CTX25" s="5"/>
      <c r="CTY25" s="5"/>
      <c r="CTZ25" s="5"/>
      <c r="CUA25" s="5"/>
      <c r="CUB25" s="5"/>
      <c r="CUC25" s="5"/>
      <c r="CUD25" s="5"/>
      <c r="CUE25" s="5"/>
      <c r="CUF25" s="5"/>
      <c r="CUG25" s="5"/>
      <c r="CUH25" s="5"/>
      <c r="CUI25" s="5"/>
      <c r="CUJ25" s="5"/>
      <c r="CUK25" s="5"/>
      <c r="CUL25" s="5"/>
      <c r="CUM25" s="5"/>
      <c r="CUN25" s="5"/>
      <c r="CUO25" s="5"/>
      <c r="CUP25" s="5"/>
      <c r="CUQ25" s="5"/>
      <c r="CUR25" s="5"/>
      <c r="CUS25" s="5"/>
      <c r="CUT25" s="5"/>
      <c r="CUU25" s="5"/>
      <c r="CUV25" s="5"/>
      <c r="CUW25" s="5"/>
      <c r="CUX25" s="5"/>
      <c r="CUY25" s="5"/>
      <c r="CUZ25" s="5"/>
      <c r="CVA25" s="5"/>
      <c r="CVB25" s="5"/>
      <c r="CVC25" s="5"/>
      <c r="CVD25" s="5"/>
      <c r="CVE25" s="5"/>
      <c r="CVF25" s="5"/>
      <c r="CVG25" s="5"/>
      <c r="CVH25" s="5"/>
      <c r="CVI25" s="5"/>
      <c r="CVJ25" s="5"/>
      <c r="CVK25" s="5"/>
      <c r="CVL25" s="5"/>
      <c r="CVM25" s="5"/>
      <c r="CVN25" s="5"/>
      <c r="CVO25" s="5"/>
      <c r="CVP25" s="5"/>
      <c r="CVQ25" s="5"/>
      <c r="CVR25" s="5"/>
      <c r="CVS25" s="5"/>
      <c r="CVT25" s="5"/>
      <c r="CVU25" s="5"/>
      <c r="CVV25" s="5"/>
      <c r="CVW25" s="5"/>
      <c r="CVX25" s="5"/>
      <c r="CVY25" s="5"/>
      <c r="CVZ25" s="5"/>
      <c r="CWA25" s="5"/>
      <c r="CWB25" s="5"/>
      <c r="CWC25" s="5"/>
      <c r="CWD25" s="5"/>
      <c r="CWE25" s="5"/>
      <c r="CWF25" s="5"/>
      <c r="CWG25" s="5"/>
      <c r="CWH25" s="5"/>
      <c r="CWI25" s="5"/>
      <c r="CWJ25" s="5"/>
      <c r="CWK25" s="5"/>
      <c r="CWL25" s="5"/>
      <c r="CWM25" s="5"/>
      <c r="CWN25" s="5"/>
      <c r="CWO25" s="5"/>
      <c r="CWP25" s="5"/>
      <c r="CWQ25" s="5"/>
      <c r="CWR25" s="5"/>
      <c r="CWS25" s="5"/>
      <c r="CWT25" s="5"/>
      <c r="CWU25" s="5"/>
      <c r="CWV25" s="5"/>
      <c r="CWW25" s="5"/>
      <c r="CWX25" s="5"/>
      <c r="CWY25" s="5"/>
      <c r="CWZ25" s="5"/>
      <c r="CXA25" s="5"/>
      <c r="CXB25" s="5"/>
      <c r="CXC25" s="5"/>
      <c r="CXD25" s="5"/>
      <c r="CXE25" s="5"/>
      <c r="CXF25" s="5"/>
      <c r="CXG25" s="5"/>
      <c r="CXH25" s="5"/>
      <c r="CXI25" s="5"/>
      <c r="CXJ25" s="5"/>
      <c r="CXK25" s="5"/>
      <c r="CXL25" s="5"/>
      <c r="CXM25" s="5"/>
      <c r="CXN25" s="5"/>
      <c r="CXO25" s="5"/>
      <c r="CXP25" s="5"/>
      <c r="CXQ25" s="5"/>
      <c r="CXR25" s="5"/>
      <c r="CXS25" s="5"/>
      <c r="CXT25" s="5"/>
      <c r="CXU25" s="5"/>
      <c r="CXV25" s="5"/>
      <c r="CXW25" s="5"/>
      <c r="CXX25" s="5"/>
      <c r="CXY25" s="5"/>
      <c r="CXZ25" s="5"/>
      <c r="CYA25" s="5"/>
      <c r="CYB25" s="5"/>
      <c r="CYC25" s="5"/>
      <c r="CYD25" s="5"/>
      <c r="CYE25" s="5"/>
      <c r="CYF25" s="5"/>
      <c r="CYG25" s="5"/>
      <c r="CYH25" s="5"/>
      <c r="CYI25" s="5"/>
      <c r="CYJ25" s="5"/>
      <c r="CYK25" s="5"/>
      <c r="CYL25" s="5"/>
      <c r="CYM25" s="5"/>
      <c r="CYN25" s="5"/>
      <c r="CYO25" s="5"/>
      <c r="CYP25" s="5"/>
      <c r="CYQ25" s="5"/>
      <c r="CYR25" s="5"/>
      <c r="CYS25" s="5"/>
      <c r="CYT25" s="5"/>
      <c r="CYU25" s="5"/>
      <c r="CYV25" s="5"/>
      <c r="CYW25" s="5"/>
      <c r="CYX25" s="5"/>
      <c r="CYY25" s="5"/>
      <c r="CYZ25" s="5"/>
      <c r="CZA25" s="5"/>
      <c r="CZB25" s="5"/>
      <c r="CZC25" s="5"/>
      <c r="CZD25" s="5"/>
      <c r="CZE25" s="5"/>
      <c r="CZF25" s="5"/>
      <c r="CZG25" s="5"/>
      <c r="CZH25" s="5"/>
      <c r="CZI25" s="5"/>
      <c r="CZJ25" s="5"/>
      <c r="CZK25" s="5"/>
      <c r="CZL25" s="5"/>
      <c r="CZM25" s="5"/>
      <c r="CZN25" s="5"/>
      <c r="CZO25" s="5"/>
      <c r="CZP25" s="5"/>
      <c r="CZQ25" s="5"/>
      <c r="CZR25" s="5"/>
      <c r="CZS25" s="5"/>
      <c r="CZT25" s="5"/>
      <c r="CZU25" s="5"/>
      <c r="CZV25" s="5"/>
      <c r="CZW25" s="5"/>
      <c r="CZX25" s="5"/>
      <c r="CZY25" s="5"/>
      <c r="CZZ25" s="5"/>
      <c r="DAA25" s="5"/>
      <c r="DAB25" s="5"/>
      <c r="DAC25" s="5"/>
      <c r="DAD25" s="5"/>
      <c r="DAE25" s="5"/>
      <c r="DAF25" s="5"/>
      <c r="DAG25" s="5"/>
      <c r="DAH25" s="5"/>
      <c r="DAI25" s="5"/>
      <c r="DAJ25" s="5"/>
      <c r="DAK25" s="5"/>
      <c r="DAL25" s="5"/>
      <c r="DAM25" s="5"/>
      <c r="DAN25" s="5"/>
      <c r="DAO25" s="5"/>
      <c r="DAP25" s="5"/>
      <c r="DAQ25" s="5"/>
      <c r="DAR25" s="5"/>
      <c r="DAS25" s="5"/>
      <c r="DAT25" s="5"/>
      <c r="DAU25" s="5"/>
      <c r="DAV25" s="5"/>
      <c r="DAW25" s="5"/>
      <c r="DAX25" s="5"/>
      <c r="DAY25" s="5"/>
      <c r="DAZ25" s="5"/>
      <c r="DBA25" s="5"/>
      <c r="DBB25" s="5"/>
      <c r="DBC25" s="5"/>
      <c r="DBD25" s="5"/>
      <c r="DBE25" s="5"/>
      <c r="DBF25" s="5"/>
      <c r="DBG25" s="5"/>
      <c r="DBH25" s="5"/>
      <c r="DBI25" s="5"/>
      <c r="DBJ25" s="5"/>
      <c r="DBK25" s="5"/>
      <c r="DBL25" s="5"/>
      <c r="DBM25" s="5"/>
      <c r="DBN25" s="5"/>
      <c r="DBO25" s="5"/>
      <c r="DBP25" s="5"/>
      <c r="DBQ25" s="5"/>
      <c r="DBR25" s="5"/>
      <c r="DBS25" s="5"/>
      <c r="DBT25" s="5"/>
      <c r="DBU25" s="5"/>
      <c r="DBV25" s="5"/>
      <c r="DBW25" s="5"/>
      <c r="DBX25" s="5"/>
      <c r="DBY25" s="5"/>
      <c r="DBZ25" s="5"/>
      <c r="DCA25" s="5"/>
      <c r="DCB25" s="5"/>
      <c r="DCC25" s="5"/>
      <c r="DCD25" s="5"/>
      <c r="DCE25" s="5"/>
      <c r="DCF25" s="5"/>
      <c r="DCG25" s="5"/>
      <c r="DCH25" s="5"/>
      <c r="DCI25" s="5"/>
      <c r="DCJ25" s="5"/>
      <c r="DCK25" s="5"/>
      <c r="DCL25" s="5"/>
      <c r="DCM25" s="5"/>
      <c r="DCN25" s="5"/>
      <c r="DCO25" s="5"/>
      <c r="DCP25" s="5"/>
      <c r="DCQ25" s="5"/>
      <c r="DCR25" s="5"/>
      <c r="DCS25" s="5"/>
      <c r="DCT25" s="5"/>
      <c r="DCU25" s="5"/>
      <c r="DCV25" s="5"/>
      <c r="DCW25" s="5"/>
      <c r="DCX25" s="5"/>
      <c r="DCY25" s="5"/>
      <c r="DCZ25" s="5"/>
      <c r="DDA25" s="5"/>
      <c r="DDB25" s="5"/>
      <c r="DDC25" s="5"/>
      <c r="DDD25" s="5"/>
      <c r="DDE25" s="5"/>
      <c r="DDF25" s="5"/>
      <c r="DDG25" s="5"/>
      <c r="DDH25" s="5"/>
      <c r="DDI25" s="5"/>
      <c r="DDJ25" s="5"/>
      <c r="DDK25" s="5"/>
      <c r="DDL25" s="5"/>
      <c r="DDM25" s="5"/>
      <c r="DDN25" s="5"/>
      <c r="DDO25" s="5"/>
      <c r="DDP25" s="5"/>
      <c r="DDQ25" s="5"/>
      <c r="DDR25" s="5"/>
      <c r="DDS25" s="5"/>
      <c r="DDT25" s="5"/>
      <c r="DDU25" s="5"/>
      <c r="DDV25" s="5"/>
      <c r="DDW25" s="5"/>
      <c r="DDX25" s="5"/>
      <c r="DDY25" s="5"/>
      <c r="DDZ25" s="5"/>
      <c r="DEA25" s="5"/>
      <c r="DEB25" s="5"/>
      <c r="DEC25" s="5"/>
      <c r="DED25" s="5"/>
      <c r="DEE25" s="5"/>
      <c r="DEF25" s="5"/>
      <c r="DEG25" s="5"/>
      <c r="DEH25" s="5"/>
      <c r="DEI25" s="5"/>
      <c r="DEJ25" s="5"/>
      <c r="DEK25" s="5"/>
      <c r="DEL25" s="5"/>
      <c r="DEM25" s="5"/>
      <c r="DEN25" s="5"/>
      <c r="DEO25" s="5"/>
      <c r="DEP25" s="5"/>
      <c r="DEQ25" s="5"/>
      <c r="DER25" s="5"/>
      <c r="DES25" s="5"/>
      <c r="DET25" s="5"/>
      <c r="DEU25" s="5"/>
      <c r="DEV25" s="5"/>
      <c r="DEW25" s="5"/>
      <c r="DEX25" s="5"/>
      <c r="DEY25" s="5"/>
      <c r="DEZ25" s="5"/>
      <c r="DFA25" s="5"/>
      <c r="DFB25" s="5"/>
      <c r="DFC25" s="5"/>
      <c r="DFD25" s="5"/>
      <c r="DFE25" s="5"/>
      <c r="DFF25" s="5"/>
      <c r="DFG25" s="5"/>
      <c r="DFH25" s="5"/>
      <c r="DFI25" s="5"/>
      <c r="DFJ25" s="5"/>
      <c r="DFK25" s="5"/>
      <c r="DFL25" s="5"/>
      <c r="DFM25" s="5"/>
      <c r="DFN25" s="5"/>
      <c r="DFO25" s="5"/>
      <c r="DFP25" s="5"/>
      <c r="DFQ25" s="5"/>
      <c r="DFR25" s="5"/>
      <c r="DFS25" s="5"/>
      <c r="DFT25" s="5"/>
      <c r="DFU25" s="5"/>
      <c r="DFV25" s="5"/>
      <c r="DFW25" s="5"/>
      <c r="DFX25" s="5"/>
      <c r="DFY25" s="5"/>
      <c r="DFZ25" s="5"/>
      <c r="DGA25" s="5"/>
      <c r="DGB25" s="5"/>
      <c r="DGC25" s="5"/>
      <c r="DGD25" s="5"/>
      <c r="DGE25" s="5"/>
      <c r="DGF25" s="5"/>
      <c r="DGG25" s="5"/>
      <c r="DGH25" s="5"/>
      <c r="DGI25" s="5"/>
      <c r="DGJ25" s="5"/>
      <c r="DGK25" s="5"/>
      <c r="DGL25" s="5"/>
      <c r="DGM25" s="5"/>
      <c r="DGN25" s="5"/>
      <c r="DGO25" s="5"/>
      <c r="DGP25" s="5"/>
      <c r="DGQ25" s="5"/>
      <c r="DGR25" s="5"/>
      <c r="DGS25" s="5"/>
      <c r="DGT25" s="5"/>
      <c r="DGU25" s="5"/>
      <c r="DGV25" s="5"/>
      <c r="DGW25" s="5"/>
      <c r="DGX25" s="5"/>
      <c r="DGY25" s="5"/>
      <c r="DGZ25" s="5"/>
      <c r="DHA25" s="5"/>
      <c r="DHB25" s="5"/>
      <c r="DHC25" s="5"/>
      <c r="DHD25" s="5"/>
      <c r="DHE25" s="5"/>
      <c r="DHF25" s="5"/>
      <c r="DHG25" s="5"/>
      <c r="DHH25" s="5"/>
      <c r="DHI25" s="5"/>
      <c r="DHJ25" s="5"/>
      <c r="DHK25" s="5"/>
      <c r="DHL25" s="5"/>
      <c r="DHM25" s="5"/>
      <c r="DHN25" s="5"/>
      <c r="DHO25" s="5"/>
      <c r="DHP25" s="5"/>
      <c r="DHQ25" s="5"/>
      <c r="DHR25" s="5"/>
      <c r="DHS25" s="5"/>
      <c r="DHT25" s="5"/>
      <c r="DHU25" s="5"/>
      <c r="DHV25" s="5"/>
      <c r="DHW25" s="5"/>
      <c r="DHX25" s="5"/>
      <c r="DHY25" s="5"/>
      <c r="DHZ25" s="5"/>
      <c r="DIA25" s="5"/>
      <c r="DIB25" s="5"/>
      <c r="DIC25" s="5"/>
      <c r="DID25" s="5"/>
      <c r="DIE25" s="5"/>
      <c r="DIF25" s="5"/>
      <c r="DIG25" s="5"/>
      <c r="DIH25" s="5"/>
      <c r="DII25" s="5"/>
      <c r="DIJ25" s="5"/>
      <c r="DIK25" s="5"/>
      <c r="DIL25" s="5"/>
      <c r="DIM25" s="5"/>
      <c r="DIN25" s="5"/>
      <c r="DIO25" s="5"/>
      <c r="DIP25" s="5"/>
      <c r="DIQ25" s="5"/>
      <c r="DIR25" s="5"/>
      <c r="DIS25" s="5"/>
      <c r="DIT25" s="5"/>
      <c r="DIU25" s="5"/>
      <c r="DIV25" s="5"/>
      <c r="DIW25" s="5"/>
      <c r="DIX25" s="5"/>
      <c r="DIY25" s="5"/>
      <c r="DIZ25" s="5"/>
      <c r="DJA25" s="5"/>
      <c r="DJB25" s="5"/>
      <c r="DJC25" s="5"/>
      <c r="DJD25" s="5"/>
      <c r="DJE25" s="5"/>
      <c r="DJF25" s="5"/>
      <c r="DJG25" s="5"/>
      <c r="DJH25" s="5"/>
      <c r="DJI25" s="5"/>
      <c r="DJJ25" s="5"/>
      <c r="DJK25" s="5"/>
      <c r="DJL25" s="5"/>
      <c r="DJM25" s="5"/>
      <c r="DJN25" s="5"/>
      <c r="DJO25" s="5"/>
      <c r="DJP25" s="5"/>
      <c r="DJQ25" s="5"/>
      <c r="DJR25" s="5"/>
      <c r="DJS25" s="5"/>
      <c r="DJT25" s="5"/>
      <c r="DJU25" s="5"/>
      <c r="DJV25" s="5"/>
      <c r="DJW25" s="5"/>
      <c r="DJX25" s="5"/>
      <c r="DJY25" s="5"/>
      <c r="DJZ25" s="5"/>
      <c r="DKA25" s="5"/>
      <c r="DKB25" s="5"/>
      <c r="DKC25" s="5"/>
      <c r="DKD25" s="5"/>
      <c r="DKE25" s="5"/>
      <c r="DKF25" s="5"/>
      <c r="DKG25" s="5"/>
      <c r="DKH25" s="5"/>
      <c r="DKI25" s="5"/>
      <c r="DKJ25" s="5"/>
      <c r="DKK25" s="5"/>
      <c r="DKL25" s="5"/>
      <c r="DKM25" s="5"/>
      <c r="DKN25" s="5"/>
      <c r="DKO25" s="5"/>
      <c r="DKP25" s="5"/>
      <c r="DKQ25" s="5"/>
      <c r="DKR25" s="5"/>
      <c r="DKS25" s="5"/>
      <c r="DKT25" s="5"/>
      <c r="DKU25" s="5"/>
      <c r="DKV25" s="5"/>
      <c r="DKW25" s="5"/>
      <c r="DKX25" s="5"/>
      <c r="DKY25" s="5"/>
      <c r="DKZ25" s="5"/>
      <c r="DLA25" s="5"/>
      <c r="DLB25" s="5"/>
      <c r="DLC25" s="5"/>
      <c r="DLD25" s="5"/>
      <c r="DLE25" s="5"/>
      <c r="DLF25" s="5"/>
      <c r="DLG25" s="5"/>
      <c r="DLH25" s="5"/>
      <c r="DLI25" s="5"/>
      <c r="DLJ25" s="5"/>
      <c r="DLK25" s="5"/>
      <c r="DLL25" s="5"/>
      <c r="DLM25" s="5"/>
      <c r="DLN25" s="5"/>
      <c r="DLO25" s="5"/>
      <c r="DLP25" s="5"/>
      <c r="DLQ25" s="5"/>
      <c r="DLR25" s="5"/>
      <c r="DLS25" s="5"/>
      <c r="DLT25" s="5"/>
      <c r="DLU25" s="5"/>
      <c r="DLV25" s="5"/>
      <c r="DLW25" s="5"/>
      <c r="DLX25" s="5"/>
      <c r="DLY25" s="5"/>
      <c r="DLZ25" s="5"/>
      <c r="DMA25" s="5"/>
      <c r="DMB25" s="5"/>
      <c r="DMC25" s="5"/>
      <c r="DMD25" s="5"/>
      <c r="DME25" s="5"/>
      <c r="DMF25" s="5"/>
      <c r="DMG25" s="5"/>
      <c r="DMH25" s="5"/>
      <c r="DMI25" s="5"/>
      <c r="DMJ25" s="5"/>
      <c r="DMK25" s="5"/>
      <c r="DML25" s="5"/>
      <c r="DMM25" s="5"/>
      <c r="DMN25" s="5"/>
      <c r="DMO25" s="5"/>
      <c r="DMP25" s="5"/>
      <c r="DMQ25" s="5"/>
      <c r="DMR25" s="5"/>
      <c r="DMS25" s="5"/>
      <c r="DMT25" s="5"/>
      <c r="DMU25" s="5"/>
      <c r="DMV25" s="5"/>
      <c r="DMW25" s="5"/>
      <c r="DMX25" s="5"/>
      <c r="DMY25" s="5"/>
      <c r="DMZ25" s="5"/>
      <c r="DNA25" s="5"/>
      <c r="DNB25" s="5"/>
      <c r="DNC25" s="5"/>
      <c r="DND25" s="5"/>
      <c r="DNE25" s="5"/>
      <c r="DNF25" s="5"/>
      <c r="DNG25" s="5"/>
      <c r="DNH25" s="5"/>
      <c r="DNI25" s="5"/>
      <c r="DNJ25" s="5"/>
      <c r="DNK25" s="5"/>
      <c r="DNL25" s="5"/>
      <c r="DNM25" s="5"/>
      <c r="DNN25" s="5"/>
      <c r="DNO25" s="5"/>
      <c r="DNP25" s="5"/>
      <c r="DNQ25" s="5"/>
      <c r="DNR25" s="5"/>
      <c r="DNS25" s="5"/>
      <c r="DNT25" s="5"/>
      <c r="DNU25" s="5"/>
      <c r="DNV25" s="5"/>
      <c r="DNW25" s="5"/>
      <c r="DNX25" s="5"/>
      <c r="DNY25" s="5"/>
      <c r="DNZ25" s="5"/>
      <c r="DOA25" s="5"/>
      <c r="DOB25" s="5"/>
      <c r="DOC25" s="5"/>
      <c r="DOD25" s="5"/>
      <c r="DOE25" s="5"/>
      <c r="DOF25" s="5"/>
      <c r="DOG25" s="5"/>
      <c r="DOH25" s="5"/>
      <c r="DOI25" s="5"/>
      <c r="DOJ25" s="5"/>
      <c r="DOK25" s="5"/>
      <c r="DOL25" s="5"/>
      <c r="DOM25" s="5"/>
      <c r="DON25" s="5"/>
      <c r="DOO25" s="5"/>
      <c r="DOP25" s="5"/>
      <c r="DOQ25" s="5"/>
      <c r="DOR25" s="5"/>
      <c r="DOS25" s="5"/>
      <c r="DOT25" s="5"/>
      <c r="DOU25" s="5"/>
      <c r="DOV25" s="5"/>
      <c r="DOW25" s="5"/>
      <c r="DOX25" s="5"/>
      <c r="DOY25" s="5"/>
      <c r="DOZ25" s="5"/>
      <c r="DPA25" s="5"/>
      <c r="DPB25" s="5"/>
      <c r="DPC25" s="5"/>
      <c r="DPD25" s="5"/>
      <c r="DPE25" s="5"/>
      <c r="DPF25" s="5"/>
      <c r="DPG25" s="5"/>
      <c r="DPH25" s="5"/>
      <c r="DPI25" s="5"/>
      <c r="DPJ25" s="5"/>
      <c r="DPK25" s="5"/>
      <c r="DPL25" s="5"/>
      <c r="DPM25" s="5"/>
      <c r="DPN25" s="5"/>
      <c r="DPO25" s="5"/>
      <c r="DPP25" s="5"/>
      <c r="DPQ25" s="5"/>
      <c r="DPR25" s="5"/>
      <c r="DPS25" s="5"/>
      <c r="DPT25" s="5"/>
      <c r="DPU25" s="5"/>
      <c r="DPV25" s="5"/>
      <c r="DPW25" s="5"/>
      <c r="DPX25" s="5"/>
      <c r="DPY25" s="5"/>
      <c r="DPZ25" s="5"/>
      <c r="DQA25" s="5"/>
      <c r="DQB25" s="5"/>
      <c r="DQC25" s="5"/>
      <c r="DQD25" s="5"/>
      <c r="DQE25" s="5"/>
      <c r="DQF25" s="5"/>
      <c r="DQG25" s="5"/>
      <c r="DQH25" s="5"/>
      <c r="DQI25" s="5"/>
      <c r="DQJ25" s="5"/>
      <c r="DQK25" s="5"/>
      <c r="DQL25" s="5"/>
      <c r="DQM25" s="5"/>
      <c r="DQN25" s="5"/>
      <c r="DQO25" s="5"/>
      <c r="DQP25" s="5"/>
      <c r="DQQ25" s="5"/>
      <c r="DQR25" s="5"/>
      <c r="DQS25" s="5"/>
      <c r="DQT25" s="5"/>
      <c r="DQU25" s="5"/>
      <c r="DQV25" s="5"/>
      <c r="DQW25" s="5"/>
      <c r="DQX25" s="5"/>
      <c r="DQY25" s="5"/>
      <c r="DQZ25" s="5"/>
      <c r="DRA25" s="5"/>
      <c r="DRB25" s="5"/>
      <c r="DRC25" s="5"/>
      <c r="DRD25" s="5"/>
      <c r="DRE25" s="5"/>
      <c r="DRF25" s="5"/>
      <c r="DRG25" s="5"/>
      <c r="DRH25" s="5"/>
      <c r="DRI25" s="5"/>
      <c r="DRJ25" s="5"/>
      <c r="DRK25" s="5"/>
      <c r="DRL25" s="5"/>
      <c r="DRM25" s="5"/>
      <c r="DRN25" s="5"/>
      <c r="DRO25" s="5"/>
      <c r="DRP25" s="5"/>
      <c r="DRQ25" s="5"/>
      <c r="DRR25" s="5"/>
      <c r="DRS25" s="5"/>
      <c r="DRT25" s="5"/>
      <c r="DRU25" s="5"/>
      <c r="DRV25" s="5"/>
      <c r="DRW25" s="5"/>
      <c r="DRX25" s="5"/>
      <c r="DRY25" s="5"/>
      <c r="DRZ25" s="5"/>
      <c r="DSA25" s="5"/>
      <c r="DSB25" s="5"/>
      <c r="DSC25" s="5"/>
      <c r="DSD25" s="5"/>
      <c r="DSE25" s="5"/>
      <c r="DSF25" s="5"/>
      <c r="DSG25" s="5"/>
      <c r="DSH25" s="5"/>
      <c r="DSI25" s="5"/>
      <c r="DSJ25" s="5"/>
      <c r="DSK25" s="5"/>
      <c r="DSL25" s="5"/>
      <c r="DSM25" s="5"/>
      <c r="DSN25" s="5"/>
      <c r="DSO25" s="5"/>
      <c r="DSP25" s="5"/>
      <c r="DSQ25" s="5"/>
      <c r="DSR25" s="5"/>
      <c r="DSS25" s="5"/>
      <c r="DST25" s="5"/>
      <c r="DSU25" s="5"/>
      <c r="DSV25" s="5"/>
      <c r="DSW25" s="5"/>
      <c r="DSX25" s="5"/>
      <c r="DSY25" s="5"/>
      <c r="DSZ25" s="5"/>
      <c r="DTA25" s="5"/>
      <c r="DTB25" s="5"/>
      <c r="DTC25" s="5"/>
      <c r="DTD25" s="5"/>
      <c r="DTE25" s="5"/>
      <c r="DTF25" s="5"/>
      <c r="DTG25" s="5"/>
      <c r="DTH25" s="5"/>
      <c r="DTI25" s="5"/>
      <c r="DTJ25" s="5"/>
      <c r="DTK25" s="5"/>
      <c r="DTL25" s="5"/>
      <c r="DTM25" s="5"/>
      <c r="DTN25" s="5"/>
      <c r="DTO25" s="5"/>
      <c r="DTP25" s="5"/>
      <c r="DTQ25" s="5"/>
      <c r="DTR25" s="5"/>
      <c r="DTS25" s="5"/>
      <c r="DTT25" s="5"/>
      <c r="DTU25" s="5"/>
      <c r="DTV25" s="5"/>
      <c r="DTW25" s="5"/>
      <c r="DTX25" s="5"/>
      <c r="DTY25" s="5"/>
      <c r="DTZ25" s="5"/>
      <c r="DUA25" s="5"/>
      <c r="DUB25" s="5"/>
      <c r="DUC25" s="5"/>
      <c r="DUD25" s="5"/>
      <c r="DUE25" s="5"/>
      <c r="DUF25" s="5"/>
      <c r="DUG25" s="5"/>
      <c r="DUH25" s="5"/>
      <c r="DUI25" s="5"/>
      <c r="DUJ25" s="5"/>
      <c r="DUK25" s="5"/>
      <c r="DUL25" s="5"/>
      <c r="DUM25" s="5"/>
      <c r="DUN25" s="5"/>
      <c r="DUO25" s="5"/>
      <c r="DUP25" s="5"/>
      <c r="DUQ25" s="5"/>
      <c r="DUR25" s="5"/>
      <c r="DUS25" s="5"/>
      <c r="DUT25" s="5"/>
      <c r="DUU25" s="5"/>
      <c r="DUV25" s="5"/>
      <c r="DUW25" s="5"/>
      <c r="DUX25" s="5"/>
      <c r="DUY25" s="5"/>
      <c r="DUZ25" s="5"/>
      <c r="DVA25" s="5"/>
      <c r="DVB25" s="5"/>
      <c r="DVC25" s="5"/>
      <c r="DVD25" s="5"/>
      <c r="DVE25" s="5"/>
      <c r="DVF25" s="5"/>
      <c r="DVG25" s="5"/>
      <c r="DVH25" s="5"/>
      <c r="DVI25" s="5"/>
      <c r="DVJ25" s="5"/>
      <c r="DVK25" s="5"/>
      <c r="DVL25" s="5"/>
      <c r="DVM25" s="5"/>
      <c r="DVN25" s="5"/>
      <c r="DVO25" s="5"/>
      <c r="DVP25" s="5"/>
      <c r="DVQ25" s="5"/>
      <c r="DVR25" s="5"/>
      <c r="DVS25" s="5"/>
      <c r="DVT25" s="5"/>
      <c r="DVU25" s="5"/>
      <c r="DVV25" s="5"/>
      <c r="DVW25" s="5"/>
      <c r="DVX25" s="5"/>
      <c r="DVY25" s="5"/>
      <c r="DVZ25" s="5"/>
      <c r="DWA25" s="5"/>
      <c r="DWB25" s="5"/>
      <c r="DWC25" s="5"/>
      <c r="DWD25" s="5"/>
      <c r="DWE25" s="5"/>
      <c r="DWF25" s="5"/>
      <c r="DWG25" s="5"/>
      <c r="DWH25" s="5"/>
      <c r="DWI25" s="5"/>
      <c r="DWJ25" s="5"/>
      <c r="DWK25" s="5"/>
      <c r="DWL25" s="5"/>
      <c r="DWM25" s="5"/>
      <c r="DWN25" s="5"/>
      <c r="DWO25" s="5"/>
      <c r="DWP25" s="5"/>
      <c r="DWQ25" s="5"/>
      <c r="DWR25" s="5"/>
      <c r="DWS25" s="5"/>
      <c r="DWT25" s="5"/>
      <c r="DWU25" s="5"/>
      <c r="DWV25" s="5"/>
      <c r="DWW25" s="5"/>
      <c r="DWX25" s="5"/>
      <c r="DWY25" s="5"/>
      <c r="DWZ25" s="5"/>
      <c r="DXA25" s="5"/>
      <c r="DXB25" s="5"/>
      <c r="DXC25" s="5"/>
      <c r="DXD25" s="5"/>
      <c r="DXE25" s="5"/>
      <c r="DXF25" s="5"/>
      <c r="DXG25" s="5"/>
      <c r="DXH25" s="5"/>
      <c r="DXI25" s="5"/>
      <c r="DXJ25" s="5"/>
      <c r="DXK25" s="5"/>
      <c r="DXL25" s="5"/>
      <c r="DXM25" s="5"/>
      <c r="DXN25" s="5"/>
      <c r="DXO25" s="5"/>
      <c r="DXP25" s="5"/>
      <c r="DXQ25" s="5"/>
      <c r="DXR25" s="5"/>
      <c r="DXS25" s="5"/>
      <c r="DXT25" s="5"/>
      <c r="DXU25" s="5"/>
      <c r="DXV25" s="5"/>
      <c r="DXW25" s="5"/>
      <c r="DXX25" s="5"/>
      <c r="DXY25" s="5"/>
      <c r="DXZ25" s="5"/>
      <c r="DYA25" s="5"/>
      <c r="DYB25" s="5"/>
      <c r="DYC25" s="5"/>
      <c r="DYD25" s="5"/>
      <c r="DYE25" s="5"/>
      <c r="DYF25" s="5"/>
      <c r="DYG25" s="5"/>
      <c r="DYH25" s="5"/>
      <c r="DYI25" s="5"/>
      <c r="DYJ25" s="5"/>
      <c r="DYK25" s="5"/>
      <c r="DYL25" s="5"/>
      <c r="DYM25" s="5"/>
      <c r="DYN25" s="5"/>
      <c r="DYO25" s="5"/>
      <c r="DYP25" s="5"/>
      <c r="DYQ25" s="5"/>
      <c r="DYR25" s="5"/>
      <c r="DYS25" s="5"/>
      <c r="DYT25" s="5"/>
      <c r="DYU25" s="5"/>
      <c r="DYV25" s="5"/>
      <c r="DYW25" s="5"/>
      <c r="DYX25" s="5"/>
      <c r="DYY25" s="5"/>
      <c r="DYZ25" s="5"/>
      <c r="DZA25" s="5"/>
      <c r="DZB25" s="5"/>
      <c r="DZC25" s="5"/>
      <c r="DZD25" s="5"/>
      <c r="DZE25" s="5"/>
      <c r="DZF25" s="5"/>
      <c r="DZG25" s="5"/>
      <c r="DZH25" s="5"/>
      <c r="DZI25" s="5"/>
      <c r="DZJ25" s="5"/>
      <c r="DZK25" s="5"/>
      <c r="DZL25" s="5"/>
      <c r="DZM25" s="5"/>
      <c r="DZN25" s="5"/>
      <c r="DZO25" s="5"/>
      <c r="DZP25" s="5"/>
      <c r="DZQ25" s="5"/>
      <c r="DZR25" s="5"/>
      <c r="DZS25" s="5"/>
      <c r="DZT25" s="5"/>
      <c r="DZU25" s="5"/>
      <c r="DZV25" s="5"/>
      <c r="DZW25" s="5"/>
      <c r="DZX25" s="5"/>
      <c r="DZY25" s="5"/>
      <c r="DZZ25" s="5"/>
      <c r="EAA25" s="5"/>
      <c r="EAB25" s="5"/>
      <c r="EAC25" s="5"/>
      <c r="EAD25" s="5"/>
      <c r="EAE25" s="5"/>
      <c r="EAF25" s="5"/>
      <c r="EAG25" s="5"/>
      <c r="EAH25" s="5"/>
      <c r="EAI25" s="5"/>
      <c r="EAJ25" s="5"/>
      <c r="EAK25" s="5"/>
      <c r="EAL25" s="5"/>
      <c r="EAM25" s="5"/>
      <c r="EAN25" s="5"/>
      <c r="EAO25" s="5"/>
      <c r="EAP25" s="5"/>
      <c r="EAQ25" s="5"/>
      <c r="EAR25" s="5"/>
      <c r="EAS25" s="5"/>
      <c r="EAT25" s="5"/>
      <c r="EAU25" s="5"/>
      <c r="EAV25" s="5"/>
      <c r="EAW25" s="5"/>
      <c r="EAX25" s="5"/>
      <c r="EAY25" s="5"/>
      <c r="EAZ25" s="5"/>
      <c r="EBA25" s="5"/>
      <c r="EBB25" s="5"/>
      <c r="EBC25" s="5"/>
      <c r="EBD25" s="5"/>
      <c r="EBE25" s="5"/>
      <c r="EBF25" s="5"/>
      <c r="EBG25" s="5"/>
      <c r="EBH25" s="5"/>
      <c r="EBI25" s="5"/>
      <c r="EBJ25" s="5"/>
      <c r="EBK25" s="5"/>
      <c r="EBL25" s="5"/>
      <c r="EBM25" s="5"/>
      <c r="EBN25" s="5"/>
      <c r="EBO25" s="5"/>
      <c r="EBP25" s="5"/>
      <c r="EBQ25" s="5"/>
      <c r="EBR25" s="5"/>
      <c r="EBS25" s="5"/>
      <c r="EBT25" s="5"/>
      <c r="EBU25" s="5"/>
      <c r="EBV25" s="5"/>
      <c r="EBW25" s="5"/>
      <c r="EBX25" s="5"/>
      <c r="EBY25" s="5"/>
      <c r="EBZ25" s="5"/>
      <c r="ECA25" s="5"/>
      <c r="ECB25" s="5"/>
      <c r="ECC25" s="5"/>
      <c r="ECD25" s="5"/>
      <c r="ECE25" s="5"/>
      <c r="ECF25" s="5"/>
      <c r="ECG25" s="5"/>
      <c r="ECH25" s="5"/>
      <c r="ECI25" s="5"/>
      <c r="ECJ25" s="5"/>
      <c r="ECK25" s="5"/>
      <c r="ECL25" s="5"/>
      <c r="ECM25" s="5"/>
      <c r="ECN25" s="5"/>
      <c r="ECO25" s="5"/>
      <c r="ECP25" s="5"/>
      <c r="ECQ25" s="5"/>
      <c r="ECR25" s="5"/>
      <c r="ECS25" s="5"/>
      <c r="ECT25" s="5"/>
      <c r="ECU25" s="5"/>
      <c r="ECV25" s="5"/>
      <c r="ECW25" s="5"/>
      <c r="ECX25" s="5"/>
      <c r="ECY25" s="5"/>
      <c r="ECZ25" s="5"/>
      <c r="EDA25" s="5"/>
      <c r="EDB25" s="5"/>
      <c r="EDC25" s="5"/>
      <c r="EDD25" s="5"/>
      <c r="EDE25" s="5"/>
      <c r="EDF25" s="5"/>
      <c r="EDG25" s="5"/>
      <c r="EDH25" s="5"/>
      <c r="EDI25" s="5"/>
      <c r="EDJ25" s="5"/>
      <c r="EDK25" s="5"/>
      <c r="EDL25" s="5"/>
      <c r="EDM25" s="5"/>
      <c r="EDN25" s="5"/>
      <c r="EDO25" s="5"/>
      <c r="EDP25" s="5"/>
      <c r="EDQ25" s="5"/>
      <c r="EDR25" s="5"/>
      <c r="EDS25" s="5"/>
      <c r="EDT25" s="5"/>
      <c r="EDU25" s="5"/>
      <c r="EDV25" s="5"/>
      <c r="EDW25" s="5"/>
      <c r="EDX25" s="5"/>
      <c r="EDY25" s="5"/>
      <c r="EDZ25" s="5"/>
      <c r="EEA25" s="5"/>
      <c r="EEB25" s="5"/>
      <c r="EEC25" s="5"/>
      <c r="EED25" s="5"/>
      <c r="EEE25" s="5"/>
      <c r="EEF25" s="5"/>
      <c r="EEG25" s="5"/>
      <c r="EEH25" s="5"/>
      <c r="EEI25" s="5"/>
      <c r="EEJ25" s="5"/>
      <c r="EEK25" s="5"/>
      <c r="EEL25" s="5"/>
      <c r="EEM25" s="5"/>
      <c r="EEN25" s="5"/>
      <c r="EEO25" s="5"/>
      <c r="EEP25" s="5"/>
      <c r="EEQ25" s="5"/>
      <c r="EER25" s="5"/>
      <c r="EES25" s="5"/>
      <c r="EET25" s="5"/>
      <c r="EEU25" s="5"/>
      <c r="EEV25" s="5"/>
      <c r="EEW25" s="5"/>
      <c r="EEX25" s="5"/>
      <c r="EEY25" s="5"/>
      <c r="EEZ25" s="5"/>
      <c r="EFA25" s="5"/>
      <c r="EFB25" s="5"/>
      <c r="EFC25" s="5"/>
      <c r="EFD25" s="5"/>
      <c r="EFE25" s="5"/>
      <c r="EFF25" s="5"/>
      <c r="EFG25" s="5"/>
      <c r="EFH25" s="5"/>
      <c r="EFI25" s="5"/>
      <c r="EFJ25" s="5"/>
      <c r="EFK25" s="5"/>
      <c r="EFL25" s="5"/>
      <c r="EFM25" s="5"/>
      <c r="EFN25" s="5"/>
      <c r="EFO25" s="5"/>
      <c r="EFP25" s="5"/>
      <c r="EFQ25" s="5"/>
      <c r="EFR25" s="5"/>
      <c r="EFS25" s="5"/>
      <c r="EFT25" s="5"/>
      <c r="EFU25" s="5"/>
      <c r="EFV25" s="5"/>
      <c r="EFW25" s="5"/>
      <c r="EFX25" s="5"/>
      <c r="EFY25" s="5"/>
      <c r="EFZ25" s="5"/>
      <c r="EGA25" s="5"/>
      <c r="EGB25" s="5"/>
      <c r="EGC25" s="5"/>
      <c r="EGD25" s="5"/>
      <c r="EGE25" s="5"/>
      <c r="EGF25" s="5"/>
      <c r="EGG25" s="5"/>
      <c r="EGH25" s="5"/>
      <c r="EGI25" s="5"/>
      <c r="EGJ25" s="5"/>
      <c r="EGK25" s="5"/>
      <c r="EGL25" s="5"/>
      <c r="EGM25" s="5"/>
      <c r="EGN25" s="5"/>
      <c r="EGO25" s="5"/>
      <c r="EGP25" s="5"/>
      <c r="EGQ25" s="5"/>
      <c r="EGR25" s="5"/>
      <c r="EGS25" s="5"/>
      <c r="EGT25" s="5"/>
      <c r="EGU25" s="5"/>
      <c r="EGV25" s="5"/>
      <c r="EGW25" s="5"/>
      <c r="EGX25" s="5"/>
      <c r="EGY25" s="5"/>
      <c r="EGZ25" s="5"/>
      <c r="EHA25" s="5"/>
      <c r="EHB25" s="5"/>
      <c r="EHC25" s="5"/>
      <c r="EHD25" s="5"/>
      <c r="EHE25" s="5"/>
      <c r="EHF25" s="5"/>
      <c r="EHG25" s="5"/>
      <c r="EHH25" s="5"/>
      <c r="EHI25" s="5"/>
      <c r="EHJ25" s="5"/>
      <c r="EHK25" s="5"/>
      <c r="EHL25" s="5"/>
      <c r="EHM25" s="5"/>
      <c r="EHN25" s="5"/>
      <c r="EHO25" s="5"/>
      <c r="EHP25" s="5"/>
      <c r="EHQ25" s="5"/>
      <c r="EHR25" s="5"/>
      <c r="EHS25" s="5"/>
      <c r="EHT25" s="5"/>
      <c r="EHU25" s="5"/>
      <c r="EHV25" s="5"/>
      <c r="EHW25" s="5"/>
      <c r="EHX25" s="5"/>
      <c r="EHY25" s="5"/>
      <c r="EHZ25" s="5"/>
      <c r="EIA25" s="5"/>
      <c r="EIB25" s="5"/>
      <c r="EIC25" s="5"/>
      <c r="EID25" s="5"/>
      <c r="EIE25" s="5"/>
      <c r="EIF25" s="5"/>
      <c r="EIG25" s="5"/>
      <c r="EIH25" s="5"/>
      <c r="EII25" s="5"/>
      <c r="EIJ25" s="5"/>
      <c r="EIK25" s="5"/>
      <c r="EIL25" s="5"/>
      <c r="EIM25" s="5"/>
      <c r="EIN25" s="5"/>
      <c r="EIO25" s="5"/>
      <c r="EIP25" s="5"/>
      <c r="EIQ25" s="5"/>
      <c r="EIR25" s="5"/>
      <c r="EIS25" s="5"/>
      <c r="EIT25" s="5"/>
      <c r="EIU25" s="5"/>
      <c r="EIV25" s="5"/>
      <c r="EIW25" s="5"/>
      <c r="EIX25" s="5"/>
      <c r="EIY25" s="5"/>
      <c r="EIZ25" s="5"/>
      <c r="EJA25" s="5"/>
      <c r="EJB25" s="5"/>
      <c r="EJC25" s="5"/>
      <c r="EJD25" s="5"/>
      <c r="EJE25" s="5"/>
      <c r="EJF25" s="5"/>
      <c r="EJG25" s="5"/>
      <c r="EJH25" s="5"/>
      <c r="EJI25" s="5"/>
      <c r="EJJ25" s="5"/>
      <c r="EJK25" s="5"/>
      <c r="EJL25" s="5"/>
      <c r="EJM25" s="5"/>
      <c r="EJN25" s="5"/>
      <c r="EJO25" s="5"/>
      <c r="EJP25" s="5"/>
      <c r="EJQ25" s="5"/>
      <c r="EJR25" s="5"/>
      <c r="EJS25" s="5"/>
      <c r="EJT25" s="5"/>
      <c r="EJU25" s="5"/>
      <c r="EJV25" s="5"/>
      <c r="EJW25" s="5"/>
      <c r="EJX25" s="5"/>
      <c r="EJY25" s="5"/>
      <c r="EJZ25" s="5"/>
      <c r="EKA25" s="5"/>
      <c r="EKB25" s="5"/>
      <c r="EKC25" s="5"/>
      <c r="EKD25" s="5"/>
      <c r="EKE25" s="5"/>
      <c r="EKF25" s="5"/>
      <c r="EKG25" s="5"/>
      <c r="EKH25" s="5"/>
      <c r="EKI25" s="5"/>
      <c r="EKJ25" s="5"/>
      <c r="EKK25" s="5"/>
      <c r="EKL25" s="5"/>
      <c r="EKM25" s="5"/>
      <c r="EKN25" s="5"/>
      <c r="EKO25" s="5"/>
      <c r="EKP25" s="5"/>
      <c r="EKQ25" s="5"/>
      <c r="EKR25" s="5"/>
      <c r="EKS25" s="5"/>
      <c r="EKT25" s="5"/>
      <c r="EKU25" s="5"/>
      <c r="EKV25" s="5"/>
      <c r="EKW25" s="5"/>
      <c r="EKX25" s="5"/>
      <c r="EKY25" s="5"/>
      <c r="EKZ25" s="5"/>
      <c r="ELA25" s="5"/>
      <c r="ELB25" s="5"/>
      <c r="ELC25" s="5"/>
      <c r="ELD25" s="5"/>
      <c r="ELE25" s="5"/>
      <c r="ELF25" s="5"/>
      <c r="ELG25" s="5"/>
      <c r="ELH25" s="5"/>
      <c r="ELI25" s="5"/>
      <c r="ELJ25" s="5"/>
      <c r="ELK25" s="5"/>
      <c r="ELL25" s="5"/>
      <c r="ELM25" s="5"/>
      <c r="ELN25" s="5"/>
      <c r="ELO25" s="5"/>
      <c r="ELP25" s="5"/>
      <c r="ELQ25" s="5"/>
      <c r="ELR25" s="5"/>
      <c r="ELS25" s="5"/>
      <c r="ELT25" s="5"/>
      <c r="ELU25" s="5"/>
      <c r="ELV25" s="5"/>
      <c r="ELW25" s="5"/>
      <c r="ELX25" s="5"/>
      <c r="ELY25" s="5"/>
      <c r="ELZ25" s="5"/>
      <c r="EMA25" s="5"/>
      <c r="EMB25" s="5"/>
      <c r="EMC25" s="5"/>
      <c r="EMD25" s="5"/>
      <c r="EME25" s="5"/>
      <c r="EMF25" s="5"/>
      <c r="EMG25" s="5"/>
      <c r="EMH25" s="5"/>
      <c r="EMI25" s="5"/>
      <c r="EMJ25" s="5"/>
      <c r="EMK25" s="5"/>
      <c r="EML25" s="5"/>
      <c r="EMM25" s="5"/>
      <c r="EMN25" s="5"/>
      <c r="EMO25" s="5"/>
      <c r="EMP25" s="5"/>
      <c r="EMQ25" s="5"/>
      <c r="EMR25" s="5"/>
      <c r="EMS25" s="5"/>
      <c r="EMT25" s="5"/>
      <c r="EMU25" s="5"/>
      <c r="EMV25" s="5"/>
      <c r="EMW25" s="5"/>
      <c r="EMX25" s="5"/>
      <c r="EMY25" s="5"/>
      <c r="EMZ25" s="5"/>
      <c r="ENA25" s="5"/>
      <c r="ENB25" s="5"/>
      <c r="ENC25" s="5"/>
      <c r="END25" s="5"/>
      <c r="ENE25" s="5"/>
      <c r="ENF25" s="5"/>
      <c r="ENG25" s="5"/>
      <c r="ENH25" s="5"/>
      <c r="ENI25" s="5"/>
      <c r="ENJ25" s="5"/>
      <c r="ENK25" s="5"/>
      <c r="ENL25" s="5"/>
      <c r="ENM25" s="5"/>
      <c r="ENN25" s="5"/>
      <c r="ENO25" s="5"/>
      <c r="ENP25" s="5"/>
      <c r="ENQ25" s="5"/>
      <c r="ENR25" s="5"/>
      <c r="ENS25" s="5"/>
      <c r="ENT25" s="5"/>
      <c r="ENU25" s="5"/>
      <c r="ENV25" s="5"/>
      <c r="ENW25" s="5"/>
      <c r="ENX25" s="5"/>
      <c r="ENY25" s="5"/>
      <c r="ENZ25" s="5"/>
      <c r="EOA25" s="5"/>
      <c r="EOB25" s="5"/>
      <c r="EOC25" s="5"/>
      <c r="EOD25" s="5"/>
      <c r="EOE25" s="5"/>
      <c r="EOF25" s="5"/>
      <c r="EOG25" s="5"/>
      <c r="EOH25" s="5"/>
      <c r="EOI25" s="5"/>
      <c r="EOJ25" s="5"/>
      <c r="EOK25" s="5"/>
      <c r="EOL25" s="5"/>
      <c r="EOM25" s="5"/>
      <c r="EON25" s="5"/>
      <c r="EOO25" s="5"/>
      <c r="EOP25" s="5"/>
      <c r="EOQ25" s="5"/>
      <c r="EOR25" s="5"/>
      <c r="EOS25" s="5"/>
      <c r="EOT25" s="5"/>
      <c r="EOU25" s="5"/>
      <c r="EOV25" s="5"/>
      <c r="EOW25" s="5"/>
      <c r="EOX25" s="5"/>
      <c r="EOY25" s="5"/>
      <c r="EOZ25" s="5"/>
      <c r="EPA25" s="5"/>
      <c r="EPB25" s="5"/>
      <c r="EPC25" s="5"/>
      <c r="EPD25" s="5"/>
      <c r="EPE25" s="5"/>
      <c r="EPF25" s="5"/>
      <c r="EPG25" s="5"/>
      <c r="EPH25" s="5"/>
      <c r="EPI25" s="5"/>
      <c r="EPJ25" s="5"/>
      <c r="EPK25" s="5"/>
      <c r="EPL25" s="5"/>
      <c r="EPM25" s="5"/>
      <c r="EPN25" s="5"/>
      <c r="EPO25" s="5"/>
      <c r="EPP25" s="5"/>
      <c r="EPQ25" s="5"/>
      <c r="EPR25" s="5"/>
      <c r="EPS25" s="5"/>
      <c r="EPT25" s="5"/>
      <c r="EPU25" s="5"/>
      <c r="EPV25" s="5"/>
      <c r="EPW25" s="5"/>
      <c r="EPX25" s="5"/>
      <c r="EPY25" s="5"/>
      <c r="EPZ25" s="5"/>
      <c r="EQA25" s="5"/>
      <c r="EQB25" s="5"/>
      <c r="EQC25" s="5"/>
      <c r="EQD25" s="5"/>
      <c r="EQE25" s="5"/>
      <c r="EQF25" s="5"/>
      <c r="EQG25" s="5"/>
      <c r="EQH25" s="5"/>
      <c r="EQI25" s="5"/>
      <c r="EQJ25" s="5"/>
      <c r="EQK25" s="5"/>
      <c r="EQL25" s="5"/>
      <c r="EQM25" s="5"/>
      <c r="EQN25" s="5"/>
      <c r="EQO25" s="5"/>
      <c r="EQP25" s="5"/>
      <c r="EQQ25" s="5"/>
      <c r="EQR25" s="5"/>
      <c r="EQS25" s="5"/>
      <c r="EQT25" s="5"/>
      <c r="EQU25" s="5"/>
      <c r="EQV25" s="5"/>
      <c r="EQW25" s="5"/>
      <c r="EQX25" s="5"/>
      <c r="EQY25" s="5"/>
      <c r="EQZ25" s="5"/>
      <c r="ERA25" s="5"/>
      <c r="ERB25" s="5"/>
      <c r="ERC25" s="5"/>
      <c r="ERD25" s="5"/>
      <c r="ERE25" s="5"/>
      <c r="ERF25" s="5"/>
      <c r="ERG25" s="5"/>
      <c r="ERH25" s="5"/>
      <c r="ERI25" s="5"/>
      <c r="ERJ25" s="5"/>
      <c r="ERK25" s="5"/>
      <c r="ERL25" s="5"/>
      <c r="ERM25" s="5"/>
      <c r="ERN25" s="5"/>
      <c r="ERO25" s="5"/>
      <c r="ERP25" s="5"/>
      <c r="ERQ25" s="5"/>
      <c r="ERR25" s="5"/>
      <c r="ERS25" s="5"/>
      <c r="ERT25" s="5"/>
      <c r="ERU25" s="5"/>
      <c r="ERV25" s="5"/>
      <c r="ERW25" s="5"/>
      <c r="ERX25" s="5"/>
      <c r="ERY25" s="5"/>
      <c r="ERZ25" s="5"/>
      <c r="ESA25" s="5"/>
      <c r="ESB25" s="5"/>
      <c r="ESC25" s="5"/>
      <c r="ESD25" s="5"/>
      <c r="ESE25" s="5"/>
      <c r="ESF25" s="5"/>
      <c r="ESG25" s="5"/>
      <c r="ESH25" s="5"/>
      <c r="ESI25" s="5"/>
      <c r="ESJ25" s="5"/>
      <c r="ESK25" s="5"/>
      <c r="ESL25" s="5"/>
      <c r="ESM25" s="5"/>
      <c r="ESN25" s="5"/>
      <c r="ESO25" s="5"/>
      <c r="ESP25" s="5"/>
      <c r="ESQ25" s="5"/>
      <c r="ESR25" s="5"/>
      <c r="ESS25" s="5"/>
      <c r="EST25" s="5"/>
      <c r="ESU25" s="5"/>
      <c r="ESV25" s="5"/>
      <c r="ESW25" s="5"/>
      <c r="ESX25" s="5"/>
      <c r="ESY25" s="5"/>
      <c r="ESZ25" s="5"/>
      <c r="ETA25" s="5"/>
      <c r="ETB25" s="5"/>
      <c r="ETC25" s="5"/>
      <c r="ETD25" s="5"/>
      <c r="ETE25" s="5"/>
      <c r="ETF25" s="5"/>
      <c r="ETG25" s="5"/>
      <c r="ETH25" s="5"/>
      <c r="ETI25" s="5"/>
      <c r="ETJ25" s="5"/>
      <c r="ETK25" s="5"/>
      <c r="ETL25" s="5"/>
      <c r="ETM25" s="5"/>
      <c r="ETN25" s="5"/>
      <c r="ETO25" s="5"/>
      <c r="ETP25" s="5"/>
      <c r="ETQ25" s="5"/>
      <c r="ETR25" s="5"/>
      <c r="ETS25" s="5"/>
      <c r="ETT25" s="5"/>
      <c r="ETU25" s="5"/>
      <c r="ETV25" s="5"/>
      <c r="ETW25" s="5"/>
      <c r="ETX25" s="5"/>
      <c r="ETY25" s="5"/>
      <c r="ETZ25" s="5"/>
      <c r="EUA25" s="5"/>
      <c r="EUB25" s="5"/>
      <c r="EUC25" s="5"/>
      <c r="EUD25" s="5"/>
      <c r="EUE25" s="5"/>
      <c r="EUF25" s="5"/>
      <c r="EUG25" s="5"/>
      <c r="EUH25" s="5"/>
      <c r="EUI25" s="5"/>
      <c r="EUJ25" s="5"/>
      <c r="EUK25" s="5"/>
      <c r="EUL25" s="5"/>
      <c r="EUM25" s="5"/>
      <c r="EUN25" s="5"/>
      <c r="EUO25" s="5"/>
      <c r="EUP25" s="5"/>
      <c r="EUQ25" s="5"/>
      <c r="EUR25" s="5"/>
      <c r="EUS25" s="5"/>
      <c r="EUT25" s="5"/>
      <c r="EUU25" s="5"/>
      <c r="EUV25" s="5"/>
      <c r="EUW25" s="5"/>
      <c r="EUX25" s="5"/>
      <c r="EUY25" s="5"/>
      <c r="EUZ25" s="5"/>
      <c r="EVA25" s="5"/>
      <c r="EVB25" s="5"/>
      <c r="EVC25" s="5"/>
      <c r="EVD25" s="5"/>
      <c r="EVE25" s="5"/>
      <c r="EVF25" s="5"/>
      <c r="EVG25" s="5"/>
      <c r="EVH25" s="5"/>
      <c r="EVI25" s="5"/>
      <c r="EVJ25" s="5"/>
      <c r="EVK25" s="5"/>
      <c r="EVL25" s="5"/>
      <c r="EVM25" s="5"/>
      <c r="EVN25" s="5"/>
      <c r="EVO25" s="5"/>
      <c r="EVP25" s="5"/>
      <c r="EVQ25" s="5"/>
      <c r="EVR25" s="5"/>
      <c r="EVS25" s="5"/>
      <c r="EVT25" s="5"/>
      <c r="EVU25" s="5"/>
      <c r="EVV25" s="5"/>
      <c r="EVW25" s="5"/>
      <c r="EVX25" s="5"/>
      <c r="EVY25" s="5"/>
      <c r="EVZ25" s="5"/>
      <c r="EWA25" s="5"/>
      <c r="EWB25" s="5"/>
      <c r="EWC25" s="5"/>
      <c r="EWD25" s="5"/>
      <c r="EWE25" s="5"/>
      <c r="EWF25" s="5"/>
      <c r="EWG25" s="5"/>
      <c r="EWH25" s="5"/>
      <c r="EWI25" s="5"/>
      <c r="EWJ25" s="5"/>
      <c r="EWK25" s="5"/>
      <c r="EWL25" s="5"/>
      <c r="EWM25" s="5"/>
      <c r="EWN25" s="5"/>
      <c r="EWO25" s="5"/>
      <c r="EWP25" s="5"/>
      <c r="EWQ25" s="5"/>
      <c r="EWR25" s="5"/>
      <c r="EWS25" s="5"/>
      <c r="EWT25" s="5"/>
      <c r="EWU25" s="5"/>
      <c r="EWV25" s="5"/>
      <c r="EWW25" s="5"/>
      <c r="EWX25" s="5"/>
      <c r="EWY25" s="5"/>
      <c r="EWZ25" s="5"/>
      <c r="EXA25" s="5"/>
      <c r="EXB25" s="5"/>
      <c r="EXC25" s="5"/>
      <c r="EXD25" s="5"/>
      <c r="EXE25" s="5"/>
      <c r="EXF25" s="5"/>
      <c r="EXG25" s="5"/>
      <c r="EXH25" s="5"/>
      <c r="EXI25" s="5"/>
      <c r="EXJ25" s="5"/>
      <c r="EXK25" s="5"/>
      <c r="EXL25" s="5"/>
      <c r="EXM25" s="5"/>
      <c r="EXN25" s="5"/>
      <c r="EXO25" s="5"/>
      <c r="EXP25" s="5"/>
      <c r="EXQ25" s="5"/>
      <c r="EXR25" s="5"/>
      <c r="EXS25" s="5"/>
      <c r="EXT25" s="5"/>
      <c r="EXU25" s="5"/>
      <c r="EXV25" s="5"/>
      <c r="EXW25" s="5"/>
      <c r="EXX25" s="5"/>
      <c r="EXY25" s="5"/>
      <c r="EXZ25" s="5"/>
      <c r="EYA25" s="5"/>
      <c r="EYB25" s="5"/>
      <c r="EYC25" s="5"/>
      <c r="EYD25" s="5"/>
      <c r="EYE25" s="5"/>
      <c r="EYF25" s="5"/>
      <c r="EYG25" s="5"/>
      <c r="EYH25" s="5"/>
      <c r="EYI25" s="5"/>
      <c r="EYJ25" s="5"/>
      <c r="EYK25" s="5"/>
      <c r="EYL25" s="5"/>
      <c r="EYM25" s="5"/>
      <c r="EYN25" s="5"/>
      <c r="EYO25" s="5"/>
      <c r="EYP25" s="5"/>
      <c r="EYQ25" s="5"/>
      <c r="EYR25" s="5"/>
      <c r="EYS25" s="5"/>
      <c r="EYT25" s="5"/>
      <c r="EYU25" s="5"/>
      <c r="EYV25" s="5"/>
      <c r="EYW25" s="5"/>
      <c r="EYX25" s="5"/>
      <c r="EYY25" s="5"/>
      <c r="EYZ25" s="5"/>
      <c r="EZA25" s="5"/>
      <c r="EZB25" s="5"/>
      <c r="EZC25" s="5"/>
      <c r="EZD25" s="5"/>
      <c r="EZE25" s="5"/>
      <c r="EZF25" s="5"/>
      <c r="EZG25" s="5"/>
      <c r="EZH25" s="5"/>
      <c r="EZI25" s="5"/>
      <c r="EZJ25" s="5"/>
      <c r="EZK25" s="5"/>
      <c r="EZL25" s="5"/>
      <c r="EZM25" s="5"/>
      <c r="EZN25" s="5"/>
      <c r="EZO25" s="5"/>
      <c r="EZP25" s="5"/>
      <c r="EZQ25" s="5"/>
      <c r="EZR25" s="5"/>
      <c r="EZS25" s="5"/>
      <c r="EZT25" s="5"/>
      <c r="EZU25" s="5"/>
      <c r="EZV25" s="5"/>
      <c r="EZW25" s="5"/>
      <c r="EZX25" s="5"/>
      <c r="EZY25" s="5"/>
      <c r="EZZ25" s="5"/>
      <c r="FAA25" s="5"/>
      <c r="FAB25" s="5"/>
      <c r="FAC25" s="5"/>
      <c r="FAD25" s="5"/>
      <c r="FAE25" s="5"/>
      <c r="FAF25" s="5"/>
      <c r="FAG25" s="5"/>
      <c r="FAH25" s="5"/>
      <c r="FAI25" s="5"/>
      <c r="FAJ25" s="5"/>
      <c r="FAK25" s="5"/>
      <c r="FAL25" s="5"/>
      <c r="FAM25" s="5"/>
      <c r="FAN25" s="5"/>
      <c r="FAO25" s="5"/>
      <c r="FAP25" s="5"/>
      <c r="FAQ25" s="5"/>
      <c r="FAR25" s="5"/>
      <c r="FAS25" s="5"/>
      <c r="FAT25" s="5"/>
      <c r="FAU25" s="5"/>
      <c r="FAV25" s="5"/>
      <c r="FAW25" s="5"/>
      <c r="FAX25" s="5"/>
      <c r="FAY25" s="5"/>
      <c r="FAZ25" s="5"/>
      <c r="FBA25" s="5"/>
      <c r="FBB25" s="5"/>
      <c r="FBC25" s="5"/>
      <c r="FBD25" s="5"/>
      <c r="FBE25" s="5"/>
      <c r="FBF25" s="5"/>
      <c r="FBG25" s="5"/>
      <c r="FBH25" s="5"/>
      <c r="FBI25" s="5"/>
      <c r="FBJ25" s="5"/>
      <c r="FBK25" s="5"/>
      <c r="FBL25" s="5"/>
      <c r="FBM25" s="5"/>
      <c r="FBN25" s="5"/>
      <c r="FBO25" s="5"/>
      <c r="FBP25" s="5"/>
      <c r="FBQ25" s="5"/>
      <c r="FBR25" s="5"/>
      <c r="FBS25" s="5"/>
      <c r="FBT25" s="5"/>
      <c r="FBU25" s="5"/>
      <c r="FBV25" s="5"/>
      <c r="FBW25" s="5"/>
      <c r="FBX25" s="5"/>
      <c r="FBY25" s="5"/>
      <c r="FBZ25" s="5"/>
      <c r="FCA25" s="5"/>
      <c r="FCB25" s="5"/>
      <c r="FCC25" s="5"/>
      <c r="FCD25" s="5"/>
      <c r="FCE25" s="5"/>
      <c r="FCF25" s="5"/>
      <c r="FCG25" s="5"/>
      <c r="FCH25" s="5"/>
      <c r="FCI25" s="5"/>
      <c r="FCJ25" s="5"/>
      <c r="FCK25" s="5"/>
      <c r="FCL25" s="5"/>
      <c r="FCM25" s="5"/>
      <c r="FCN25" s="5"/>
      <c r="FCO25" s="5"/>
      <c r="FCP25" s="5"/>
      <c r="FCQ25" s="5"/>
      <c r="FCR25" s="5"/>
      <c r="FCS25" s="5"/>
      <c r="FCT25" s="5"/>
      <c r="FCU25" s="5"/>
      <c r="FCV25" s="5"/>
      <c r="FCW25" s="5"/>
      <c r="FCX25" s="5"/>
      <c r="FCY25" s="5"/>
      <c r="FCZ25" s="5"/>
      <c r="FDA25" s="5"/>
      <c r="FDB25" s="5"/>
      <c r="FDC25" s="5"/>
      <c r="FDD25" s="5"/>
      <c r="FDE25" s="5"/>
      <c r="FDF25" s="5"/>
      <c r="FDG25" s="5"/>
      <c r="FDH25" s="5"/>
      <c r="FDI25" s="5"/>
      <c r="FDJ25" s="5"/>
      <c r="FDK25" s="5"/>
      <c r="FDL25" s="5"/>
      <c r="FDM25" s="5"/>
      <c r="FDN25" s="5"/>
      <c r="FDO25" s="5"/>
      <c r="FDP25" s="5"/>
      <c r="FDQ25" s="5"/>
      <c r="FDR25" s="5"/>
      <c r="FDS25" s="5"/>
      <c r="FDT25" s="5"/>
      <c r="FDU25" s="5"/>
      <c r="FDV25" s="5"/>
      <c r="FDW25" s="5"/>
      <c r="FDX25" s="5"/>
      <c r="FDY25" s="5"/>
      <c r="FDZ25" s="5"/>
      <c r="FEA25" s="5"/>
      <c r="FEB25" s="5"/>
      <c r="FEC25" s="5"/>
      <c r="FED25" s="5"/>
      <c r="FEE25" s="5"/>
      <c r="FEF25" s="5"/>
      <c r="FEG25" s="5"/>
      <c r="FEH25" s="5"/>
      <c r="FEI25" s="5"/>
      <c r="FEJ25" s="5"/>
      <c r="FEK25" s="5"/>
      <c r="FEL25" s="5"/>
      <c r="FEM25" s="5"/>
      <c r="FEN25" s="5"/>
      <c r="FEO25" s="5"/>
      <c r="FEP25" s="5"/>
      <c r="FEQ25" s="5"/>
      <c r="FER25" s="5"/>
      <c r="FES25" s="5"/>
      <c r="FET25" s="5"/>
      <c r="FEU25" s="5"/>
      <c r="FEV25" s="5"/>
      <c r="FEW25" s="5"/>
      <c r="FEX25" s="5"/>
      <c r="FEY25" s="5"/>
      <c r="FEZ25" s="5"/>
      <c r="FFA25" s="5"/>
      <c r="FFB25" s="5"/>
      <c r="FFC25" s="5"/>
      <c r="FFD25" s="5"/>
      <c r="FFE25" s="5"/>
      <c r="FFF25" s="5"/>
      <c r="FFG25" s="5"/>
      <c r="FFH25" s="5"/>
      <c r="FFI25" s="5"/>
      <c r="FFJ25" s="5"/>
      <c r="FFK25" s="5"/>
      <c r="FFL25" s="5"/>
      <c r="FFM25" s="5"/>
      <c r="FFN25" s="5"/>
      <c r="FFO25" s="5"/>
      <c r="FFP25" s="5"/>
      <c r="FFQ25" s="5"/>
      <c r="FFR25" s="5"/>
      <c r="FFS25" s="5"/>
      <c r="FFT25" s="5"/>
      <c r="FFU25" s="5"/>
      <c r="FFV25" s="5"/>
      <c r="FFW25" s="5"/>
      <c r="FFX25" s="5"/>
      <c r="FFY25" s="5"/>
      <c r="FFZ25" s="5"/>
      <c r="FGA25" s="5"/>
      <c r="FGB25" s="5"/>
      <c r="FGC25" s="5"/>
      <c r="FGD25" s="5"/>
      <c r="FGE25" s="5"/>
      <c r="FGF25" s="5"/>
      <c r="FGG25" s="5"/>
      <c r="FGH25" s="5"/>
      <c r="FGI25" s="5"/>
      <c r="FGJ25" s="5"/>
      <c r="FGK25" s="5"/>
      <c r="FGL25" s="5"/>
      <c r="FGM25" s="5"/>
      <c r="FGN25" s="5"/>
      <c r="FGO25" s="5"/>
      <c r="FGP25" s="5"/>
      <c r="FGQ25" s="5"/>
      <c r="FGR25" s="5"/>
      <c r="FGS25" s="5"/>
      <c r="FGT25" s="5"/>
      <c r="FGU25" s="5"/>
      <c r="FGV25" s="5"/>
      <c r="FGW25" s="5"/>
      <c r="FGX25" s="5"/>
      <c r="FGY25" s="5"/>
      <c r="FGZ25" s="5"/>
      <c r="FHA25" s="5"/>
      <c r="FHB25" s="5"/>
      <c r="FHC25" s="5"/>
      <c r="FHD25" s="5"/>
      <c r="FHE25" s="5"/>
      <c r="FHF25" s="5"/>
      <c r="FHG25" s="5"/>
      <c r="FHH25" s="5"/>
      <c r="FHI25" s="5"/>
      <c r="FHJ25" s="5"/>
      <c r="FHK25" s="5"/>
      <c r="FHL25" s="5"/>
      <c r="FHM25" s="5"/>
      <c r="FHN25" s="5"/>
      <c r="FHO25" s="5"/>
      <c r="FHP25" s="5"/>
      <c r="FHQ25" s="5"/>
      <c r="FHR25" s="5"/>
      <c r="FHS25" s="5"/>
      <c r="FHT25" s="5"/>
      <c r="FHU25" s="5"/>
      <c r="FHV25" s="5"/>
      <c r="FHW25" s="5"/>
      <c r="FHX25" s="5"/>
      <c r="FHY25" s="5"/>
      <c r="FHZ25" s="5"/>
      <c r="FIA25" s="5"/>
      <c r="FIB25" s="5"/>
      <c r="FIC25" s="5"/>
      <c r="FID25" s="5"/>
      <c r="FIE25" s="5"/>
      <c r="FIF25" s="5"/>
      <c r="FIG25" s="5"/>
      <c r="FIH25" s="5"/>
      <c r="FII25" s="5"/>
      <c r="FIJ25" s="5"/>
      <c r="FIK25" s="5"/>
      <c r="FIL25" s="5"/>
      <c r="FIM25" s="5"/>
      <c r="FIN25" s="5"/>
      <c r="FIO25" s="5"/>
      <c r="FIP25" s="5"/>
      <c r="FIQ25" s="5"/>
      <c r="FIR25" s="5"/>
      <c r="FIS25" s="5"/>
      <c r="FIT25" s="5"/>
      <c r="FIU25" s="5"/>
      <c r="FIV25" s="5"/>
      <c r="FIW25" s="5"/>
      <c r="FIX25" s="5"/>
      <c r="FIY25" s="5"/>
      <c r="FIZ25" s="5"/>
      <c r="FJA25" s="5"/>
      <c r="FJB25" s="5"/>
      <c r="FJC25" s="5"/>
      <c r="FJD25" s="5"/>
      <c r="FJE25" s="5"/>
      <c r="FJF25" s="5"/>
      <c r="FJG25" s="5"/>
      <c r="FJH25" s="5"/>
      <c r="FJI25" s="5"/>
      <c r="FJJ25" s="5"/>
      <c r="FJK25" s="5"/>
      <c r="FJL25" s="5"/>
      <c r="FJM25" s="5"/>
      <c r="FJN25" s="5"/>
      <c r="FJO25" s="5"/>
      <c r="FJP25" s="5"/>
      <c r="FJQ25" s="5"/>
      <c r="FJR25" s="5"/>
      <c r="FJS25" s="5"/>
      <c r="FJT25" s="5"/>
      <c r="FJU25" s="5"/>
      <c r="FJV25" s="5"/>
      <c r="FJW25" s="5"/>
      <c r="FJX25" s="5"/>
      <c r="FJY25" s="5"/>
      <c r="FJZ25" s="5"/>
      <c r="FKA25" s="5"/>
      <c r="FKB25" s="5"/>
      <c r="FKC25" s="5"/>
      <c r="FKD25" s="5"/>
      <c r="FKE25" s="5"/>
      <c r="FKF25" s="5"/>
      <c r="FKG25" s="5"/>
      <c r="FKH25" s="5"/>
      <c r="FKI25" s="5"/>
      <c r="FKJ25" s="5"/>
      <c r="FKK25" s="5"/>
      <c r="FKL25" s="5"/>
      <c r="FKM25" s="5"/>
      <c r="FKN25" s="5"/>
      <c r="FKO25" s="5"/>
      <c r="FKP25" s="5"/>
      <c r="FKQ25" s="5"/>
      <c r="FKR25" s="5"/>
      <c r="FKS25" s="5"/>
      <c r="FKT25" s="5"/>
      <c r="FKU25" s="5"/>
      <c r="FKV25" s="5"/>
      <c r="FKW25" s="5"/>
      <c r="FKX25" s="5"/>
      <c r="FKY25" s="5"/>
      <c r="FKZ25" s="5"/>
      <c r="FLA25" s="5"/>
      <c r="FLB25" s="5"/>
      <c r="FLC25" s="5"/>
      <c r="FLD25" s="5"/>
      <c r="FLE25" s="5"/>
      <c r="FLF25" s="5"/>
      <c r="FLG25" s="5"/>
      <c r="FLH25" s="5"/>
      <c r="FLI25" s="5"/>
      <c r="FLJ25" s="5"/>
      <c r="FLK25" s="5"/>
      <c r="FLL25" s="5"/>
      <c r="FLM25" s="5"/>
      <c r="FLN25" s="5"/>
      <c r="FLO25" s="5"/>
      <c r="FLP25" s="5"/>
      <c r="FLQ25" s="5"/>
      <c r="FLR25" s="5"/>
      <c r="FLS25" s="5"/>
      <c r="FLT25" s="5"/>
      <c r="FLU25" s="5"/>
      <c r="FLV25" s="5"/>
      <c r="FLW25" s="5"/>
      <c r="FLX25" s="5"/>
      <c r="FLY25" s="5"/>
      <c r="FLZ25" s="5"/>
      <c r="FMA25" s="5"/>
      <c r="FMB25" s="5"/>
      <c r="FMC25" s="5"/>
      <c r="FMD25" s="5"/>
      <c r="FME25" s="5"/>
      <c r="FMF25" s="5"/>
      <c r="FMG25" s="5"/>
      <c r="FMH25" s="5"/>
      <c r="FMI25" s="5"/>
      <c r="FMJ25" s="5"/>
      <c r="FMK25" s="5"/>
      <c r="FML25" s="5"/>
      <c r="FMM25" s="5"/>
      <c r="FMN25" s="5"/>
      <c r="FMO25" s="5"/>
      <c r="FMP25" s="5"/>
      <c r="FMQ25" s="5"/>
      <c r="FMR25" s="5"/>
      <c r="FMS25" s="5"/>
      <c r="FMT25" s="5"/>
      <c r="FMU25" s="5"/>
      <c r="FMV25" s="5"/>
      <c r="FMW25" s="5"/>
      <c r="FMX25" s="5"/>
      <c r="FMY25" s="5"/>
      <c r="FMZ25" s="5"/>
      <c r="FNA25" s="5"/>
      <c r="FNB25" s="5"/>
      <c r="FNC25" s="5"/>
      <c r="FND25" s="5"/>
      <c r="FNE25" s="5"/>
      <c r="FNF25" s="5"/>
      <c r="FNG25" s="5"/>
      <c r="FNH25" s="5"/>
      <c r="FNI25" s="5"/>
      <c r="FNJ25" s="5"/>
      <c r="FNK25" s="5"/>
      <c r="FNL25" s="5"/>
      <c r="FNM25" s="5"/>
      <c r="FNN25" s="5"/>
      <c r="FNO25" s="5"/>
      <c r="FNP25" s="5"/>
      <c r="FNQ25" s="5"/>
      <c r="FNR25" s="5"/>
      <c r="FNS25" s="5"/>
      <c r="FNT25" s="5"/>
      <c r="FNU25" s="5"/>
      <c r="FNV25" s="5"/>
      <c r="FNW25" s="5"/>
      <c r="FNX25" s="5"/>
      <c r="FNY25" s="5"/>
      <c r="FNZ25" s="5"/>
      <c r="FOA25" s="5"/>
      <c r="FOB25" s="5"/>
      <c r="FOC25" s="5"/>
      <c r="FOD25" s="5"/>
      <c r="FOE25" s="5"/>
      <c r="FOF25" s="5"/>
      <c r="FOG25" s="5"/>
      <c r="FOH25" s="5"/>
      <c r="FOI25" s="5"/>
      <c r="FOJ25" s="5"/>
      <c r="FOK25" s="5"/>
      <c r="FOL25" s="5"/>
      <c r="FOM25" s="5"/>
      <c r="FON25" s="5"/>
      <c r="FOO25" s="5"/>
      <c r="FOP25" s="5"/>
      <c r="FOQ25" s="5"/>
      <c r="FOR25" s="5"/>
      <c r="FOS25" s="5"/>
      <c r="FOT25" s="5"/>
      <c r="FOU25" s="5"/>
      <c r="FOV25" s="5"/>
      <c r="FOW25" s="5"/>
      <c r="FOX25" s="5"/>
      <c r="FOY25" s="5"/>
      <c r="FOZ25" s="5"/>
      <c r="FPA25" s="5"/>
      <c r="FPB25" s="5"/>
      <c r="FPC25" s="5"/>
      <c r="FPD25" s="5"/>
      <c r="FPE25" s="5"/>
      <c r="FPF25" s="5"/>
      <c r="FPG25" s="5"/>
      <c r="FPH25" s="5"/>
      <c r="FPI25" s="5"/>
      <c r="FPJ25" s="5"/>
      <c r="FPK25" s="5"/>
      <c r="FPL25" s="5"/>
      <c r="FPM25" s="5"/>
      <c r="FPN25" s="5"/>
      <c r="FPO25" s="5"/>
      <c r="FPP25" s="5"/>
      <c r="FPQ25" s="5"/>
      <c r="FPR25" s="5"/>
      <c r="FPS25" s="5"/>
      <c r="FPT25" s="5"/>
      <c r="FPU25" s="5"/>
      <c r="FPV25" s="5"/>
      <c r="FPW25" s="5"/>
      <c r="FPX25" s="5"/>
      <c r="FPY25" s="5"/>
      <c r="FPZ25" s="5"/>
      <c r="FQA25" s="5"/>
      <c r="FQB25" s="5"/>
      <c r="FQC25" s="5"/>
      <c r="FQD25" s="5"/>
      <c r="FQE25" s="5"/>
      <c r="FQF25" s="5"/>
      <c r="FQG25" s="5"/>
      <c r="FQH25" s="5"/>
      <c r="FQI25" s="5"/>
      <c r="FQJ25" s="5"/>
      <c r="FQK25" s="5"/>
      <c r="FQL25" s="5"/>
      <c r="FQM25" s="5"/>
      <c r="FQN25" s="5"/>
      <c r="FQO25" s="5"/>
      <c r="FQP25" s="5"/>
      <c r="FQQ25" s="5"/>
      <c r="FQR25" s="5"/>
      <c r="FQS25" s="5"/>
      <c r="FQT25" s="5"/>
      <c r="FQU25" s="5"/>
      <c r="FQV25" s="5"/>
      <c r="FQW25" s="5"/>
      <c r="FQX25" s="5"/>
      <c r="FQY25" s="5"/>
      <c r="FQZ25" s="5"/>
      <c r="FRA25" s="5"/>
      <c r="FRB25" s="5"/>
      <c r="FRC25" s="5"/>
      <c r="FRD25" s="5"/>
      <c r="FRE25" s="5"/>
      <c r="FRF25" s="5"/>
      <c r="FRG25" s="5"/>
      <c r="FRH25" s="5"/>
      <c r="FRI25" s="5"/>
      <c r="FRJ25" s="5"/>
      <c r="FRK25" s="5"/>
      <c r="FRL25" s="5"/>
      <c r="FRM25" s="5"/>
      <c r="FRN25" s="5"/>
      <c r="FRO25" s="5"/>
      <c r="FRP25" s="5"/>
      <c r="FRQ25" s="5"/>
      <c r="FRR25" s="5"/>
      <c r="FRS25" s="5"/>
      <c r="FRT25" s="5"/>
      <c r="FRU25" s="5"/>
      <c r="FRV25" s="5"/>
      <c r="FRW25" s="5"/>
      <c r="FRX25" s="5"/>
      <c r="FRY25" s="5"/>
      <c r="FRZ25" s="5"/>
      <c r="FSA25" s="5"/>
      <c r="FSB25" s="5"/>
      <c r="FSC25" s="5"/>
      <c r="FSD25" s="5"/>
      <c r="FSE25" s="5"/>
      <c r="FSF25" s="5"/>
      <c r="FSG25" s="5"/>
      <c r="FSH25" s="5"/>
      <c r="FSI25" s="5"/>
      <c r="FSJ25" s="5"/>
      <c r="FSK25" s="5"/>
      <c r="FSL25" s="5"/>
      <c r="FSM25" s="5"/>
      <c r="FSN25" s="5"/>
      <c r="FSO25" s="5"/>
      <c r="FSP25" s="5"/>
      <c r="FSQ25" s="5"/>
      <c r="FSR25" s="5"/>
      <c r="FSS25" s="5"/>
      <c r="FST25" s="5"/>
      <c r="FSU25" s="5"/>
      <c r="FSV25" s="5"/>
      <c r="FSW25" s="5"/>
      <c r="FSX25" s="5"/>
      <c r="FSY25" s="5"/>
      <c r="FSZ25" s="5"/>
      <c r="FTA25" s="5"/>
      <c r="FTB25" s="5"/>
      <c r="FTC25" s="5"/>
      <c r="FTD25" s="5"/>
      <c r="FTE25" s="5"/>
      <c r="FTF25" s="5"/>
      <c r="FTG25" s="5"/>
      <c r="FTH25" s="5"/>
      <c r="FTI25" s="5"/>
      <c r="FTJ25" s="5"/>
      <c r="FTK25" s="5"/>
      <c r="FTL25" s="5"/>
      <c r="FTM25" s="5"/>
      <c r="FTN25" s="5"/>
      <c r="FTO25" s="5"/>
      <c r="FTP25" s="5"/>
      <c r="FTQ25" s="5"/>
      <c r="FTR25" s="5"/>
      <c r="FTS25" s="5"/>
      <c r="FTT25" s="5"/>
      <c r="FTU25" s="5"/>
      <c r="FTV25" s="5"/>
      <c r="FTW25" s="5"/>
      <c r="FTX25" s="5"/>
      <c r="FTY25" s="5"/>
      <c r="FTZ25" s="5"/>
      <c r="FUA25" s="5"/>
      <c r="FUB25" s="5"/>
      <c r="FUC25" s="5"/>
      <c r="FUD25" s="5"/>
      <c r="FUE25" s="5"/>
      <c r="FUF25" s="5"/>
      <c r="FUG25" s="5"/>
      <c r="FUH25" s="5"/>
      <c r="FUI25" s="5"/>
      <c r="FUJ25" s="5"/>
      <c r="FUK25" s="5"/>
      <c r="FUL25" s="5"/>
      <c r="FUM25" s="5"/>
      <c r="FUN25" s="5"/>
      <c r="FUO25" s="5"/>
      <c r="FUP25" s="5"/>
      <c r="FUQ25" s="5"/>
      <c r="FUR25" s="5"/>
      <c r="FUS25" s="5"/>
      <c r="FUT25" s="5"/>
      <c r="FUU25" s="5"/>
      <c r="FUV25" s="5"/>
      <c r="FUW25" s="5"/>
      <c r="FUX25" s="5"/>
      <c r="FUY25" s="5"/>
      <c r="FUZ25" s="5"/>
      <c r="FVA25" s="5"/>
      <c r="FVB25" s="5"/>
      <c r="FVC25" s="5"/>
      <c r="FVD25" s="5"/>
      <c r="FVE25" s="5"/>
      <c r="FVF25" s="5"/>
      <c r="FVG25" s="5"/>
      <c r="FVH25" s="5"/>
      <c r="FVI25" s="5"/>
      <c r="FVJ25" s="5"/>
      <c r="FVK25" s="5"/>
      <c r="FVL25" s="5"/>
      <c r="FVM25" s="5"/>
      <c r="FVN25" s="5"/>
      <c r="FVO25" s="5"/>
      <c r="FVP25" s="5"/>
      <c r="FVQ25" s="5"/>
      <c r="FVR25" s="5"/>
      <c r="FVS25" s="5"/>
      <c r="FVT25" s="5"/>
      <c r="FVU25" s="5"/>
      <c r="FVV25" s="5"/>
      <c r="FVW25" s="5"/>
      <c r="FVX25" s="5"/>
      <c r="FVY25" s="5"/>
      <c r="FVZ25" s="5"/>
      <c r="FWA25" s="5"/>
      <c r="FWB25" s="5"/>
      <c r="FWC25" s="5"/>
      <c r="FWD25" s="5"/>
      <c r="FWE25" s="5"/>
      <c r="FWF25" s="5"/>
      <c r="FWG25" s="5"/>
      <c r="FWH25" s="5"/>
      <c r="FWI25" s="5"/>
      <c r="FWJ25" s="5"/>
      <c r="FWK25" s="5"/>
      <c r="FWL25" s="5"/>
      <c r="FWM25" s="5"/>
      <c r="FWN25" s="5"/>
      <c r="FWO25" s="5"/>
      <c r="FWP25" s="5"/>
      <c r="FWQ25" s="5"/>
      <c r="FWR25" s="5"/>
      <c r="FWS25" s="5"/>
      <c r="FWT25" s="5"/>
      <c r="FWU25" s="5"/>
      <c r="FWV25" s="5"/>
      <c r="FWW25" s="5"/>
      <c r="FWX25" s="5"/>
      <c r="FWY25" s="5"/>
      <c r="FWZ25" s="5"/>
      <c r="FXA25" s="5"/>
      <c r="FXB25" s="5"/>
      <c r="FXC25" s="5"/>
      <c r="FXD25" s="5"/>
      <c r="FXE25" s="5"/>
      <c r="FXF25" s="5"/>
      <c r="FXG25" s="5"/>
      <c r="FXH25" s="5"/>
      <c r="FXI25" s="5"/>
      <c r="FXJ25" s="5"/>
      <c r="FXK25" s="5"/>
      <c r="FXL25" s="5"/>
      <c r="FXM25" s="5"/>
      <c r="FXN25" s="5"/>
      <c r="FXO25" s="5"/>
      <c r="FXP25" s="5"/>
      <c r="FXQ25" s="5"/>
      <c r="FXR25" s="5"/>
      <c r="FXS25" s="5"/>
      <c r="FXT25" s="5"/>
      <c r="FXU25" s="5"/>
      <c r="FXV25" s="5"/>
      <c r="FXW25" s="5"/>
      <c r="FXX25" s="5"/>
      <c r="FXY25" s="5"/>
      <c r="FXZ25" s="5"/>
      <c r="FYA25" s="5"/>
      <c r="FYB25" s="5"/>
      <c r="FYC25" s="5"/>
      <c r="FYD25" s="5"/>
      <c r="FYE25" s="5"/>
      <c r="FYF25" s="5"/>
      <c r="FYG25" s="5"/>
      <c r="FYH25" s="5"/>
      <c r="FYI25" s="5"/>
      <c r="FYJ25" s="5"/>
      <c r="FYK25" s="5"/>
      <c r="FYL25" s="5"/>
      <c r="FYM25" s="5"/>
      <c r="FYN25" s="5"/>
      <c r="FYO25" s="5"/>
      <c r="FYP25" s="5"/>
      <c r="FYQ25" s="5"/>
      <c r="FYR25" s="5"/>
      <c r="FYS25" s="5"/>
      <c r="FYT25" s="5"/>
      <c r="FYU25" s="5"/>
      <c r="FYV25" s="5"/>
      <c r="FYW25" s="5"/>
      <c r="FYX25" s="5"/>
      <c r="FYY25" s="5"/>
      <c r="FYZ25" s="5"/>
      <c r="FZA25" s="5"/>
      <c r="FZB25" s="5"/>
      <c r="FZC25" s="5"/>
      <c r="FZD25" s="5"/>
      <c r="FZE25" s="5"/>
      <c r="FZF25" s="5"/>
      <c r="FZG25" s="5"/>
      <c r="FZH25" s="5"/>
      <c r="FZI25" s="5"/>
      <c r="FZJ25" s="5"/>
      <c r="FZK25" s="5"/>
      <c r="FZL25" s="5"/>
      <c r="FZM25" s="5"/>
      <c r="FZN25" s="5"/>
      <c r="FZO25" s="5"/>
      <c r="FZP25" s="5"/>
      <c r="FZQ25" s="5"/>
      <c r="FZR25" s="5"/>
      <c r="FZS25" s="5"/>
      <c r="FZT25" s="5"/>
      <c r="FZU25" s="5"/>
      <c r="FZV25" s="5"/>
      <c r="FZW25" s="5"/>
      <c r="FZX25" s="5"/>
      <c r="FZY25" s="5"/>
      <c r="FZZ25" s="5"/>
      <c r="GAA25" s="5"/>
      <c r="GAB25" s="5"/>
      <c r="GAC25" s="5"/>
      <c r="GAD25" s="5"/>
      <c r="GAE25" s="5"/>
      <c r="GAF25" s="5"/>
      <c r="GAG25" s="5"/>
      <c r="GAH25" s="5"/>
      <c r="GAI25" s="5"/>
      <c r="GAJ25" s="5"/>
      <c r="GAK25" s="5"/>
      <c r="GAL25" s="5"/>
      <c r="GAM25" s="5"/>
      <c r="GAN25" s="5"/>
      <c r="GAO25" s="5"/>
      <c r="GAP25" s="5"/>
      <c r="GAQ25" s="5"/>
      <c r="GAR25" s="5"/>
      <c r="GAS25" s="5"/>
      <c r="GAT25" s="5"/>
      <c r="GAU25" s="5"/>
      <c r="GAV25" s="5"/>
      <c r="GAW25" s="5"/>
      <c r="GAX25" s="5"/>
      <c r="GAY25" s="5"/>
      <c r="GAZ25" s="5"/>
      <c r="GBA25" s="5"/>
      <c r="GBB25" s="5"/>
      <c r="GBC25" s="5"/>
      <c r="GBD25" s="5"/>
      <c r="GBE25" s="5"/>
      <c r="GBF25" s="5"/>
      <c r="GBG25" s="5"/>
      <c r="GBH25" s="5"/>
      <c r="GBI25" s="5"/>
      <c r="GBJ25" s="5"/>
      <c r="GBK25" s="5"/>
      <c r="GBL25" s="5"/>
      <c r="GBM25" s="5"/>
      <c r="GBN25" s="5"/>
      <c r="GBO25" s="5"/>
      <c r="GBP25" s="5"/>
      <c r="GBQ25" s="5"/>
      <c r="GBR25" s="5"/>
      <c r="GBS25" s="5"/>
      <c r="GBT25" s="5"/>
      <c r="GBU25" s="5"/>
      <c r="GBV25" s="5"/>
      <c r="GBW25" s="5"/>
      <c r="GBX25" s="5"/>
      <c r="GBY25" s="5"/>
      <c r="GBZ25" s="5"/>
      <c r="GCA25" s="5"/>
      <c r="GCB25" s="5"/>
      <c r="GCC25" s="5"/>
      <c r="GCD25" s="5"/>
      <c r="GCE25" s="5"/>
      <c r="GCF25" s="5"/>
      <c r="GCG25" s="5"/>
      <c r="GCH25" s="5"/>
      <c r="GCI25" s="5"/>
      <c r="GCJ25" s="5"/>
      <c r="GCK25" s="5"/>
      <c r="GCL25" s="5"/>
      <c r="GCM25" s="5"/>
      <c r="GCN25" s="5"/>
      <c r="GCO25" s="5"/>
      <c r="GCP25" s="5"/>
      <c r="GCQ25" s="5"/>
      <c r="GCR25" s="5"/>
      <c r="GCS25" s="5"/>
      <c r="GCT25" s="5"/>
      <c r="GCU25" s="5"/>
      <c r="GCV25" s="5"/>
      <c r="GCW25" s="5"/>
      <c r="GCX25" s="5"/>
      <c r="GCY25" s="5"/>
      <c r="GCZ25" s="5"/>
      <c r="GDA25" s="5"/>
      <c r="GDB25" s="5"/>
      <c r="GDC25" s="5"/>
      <c r="GDD25" s="5"/>
      <c r="GDE25" s="5"/>
      <c r="GDF25" s="5"/>
      <c r="GDG25" s="5"/>
      <c r="GDH25" s="5"/>
      <c r="GDI25" s="5"/>
      <c r="GDJ25" s="5"/>
      <c r="GDK25" s="5"/>
      <c r="GDL25" s="5"/>
      <c r="GDM25" s="5"/>
      <c r="GDN25" s="5"/>
      <c r="GDO25" s="5"/>
      <c r="GDP25" s="5"/>
      <c r="GDQ25" s="5"/>
      <c r="GDR25" s="5"/>
      <c r="GDS25" s="5"/>
      <c r="GDT25" s="5"/>
      <c r="GDU25" s="5"/>
      <c r="GDV25" s="5"/>
      <c r="GDW25" s="5"/>
      <c r="GDX25" s="5"/>
      <c r="GDY25" s="5"/>
      <c r="GDZ25" s="5"/>
      <c r="GEA25" s="5"/>
      <c r="GEB25" s="5"/>
      <c r="GEC25" s="5"/>
      <c r="GED25" s="5"/>
      <c r="GEE25" s="5"/>
      <c r="GEF25" s="5"/>
      <c r="GEG25" s="5"/>
      <c r="GEH25" s="5"/>
      <c r="GEI25" s="5"/>
      <c r="GEJ25" s="5"/>
      <c r="GEK25" s="5"/>
      <c r="GEL25" s="5"/>
      <c r="GEM25" s="5"/>
      <c r="GEN25" s="5"/>
      <c r="GEO25" s="5"/>
      <c r="GEP25" s="5"/>
      <c r="GEQ25" s="5"/>
      <c r="GER25" s="5"/>
      <c r="GES25" s="5"/>
      <c r="GET25" s="5"/>
      <c r="GEU25" s="5"/>
      <c r="GEV25" s="5"/>
      <c r="GEW25" s="5"/>
      <c r="GEX25" s="5"/>
      <c r="GEY25" s="5"/>
      <c r="GEZ25" s="5"/>
      <c r="GFA25" s="5"/>
      <c r="GFB25" s="5"/>
      <c r="GFC25" s="5"/>
      <c r="GFD25" s="5"/>
      <c r="GFE25" s="5"/>
      <c r="GFF25" s="5"/>
      <c r="GFG25" s="5"/>
      <c r="GFH25" s="5"/>
      <c r="GFI25" s="5"/>
      <c r="GFJ25" s="5"/>
      <c r="GFK25" s="5"/>
      <c r="GFL25" s="5"/>
      <c r="GFM25" s="5"/>
      <c r="GFN25" s="5"/>
      <c r="GFO25" s="5"/>
      <c r="GFP25" s="5"/>
      <c r="GFQ25" s="5"/>
      <c r="GFR25" s="5"/>
      <c r="GFS25" s="5"/>
      <c r="GFT25" s="5"/>
      <c r="GFU25" s="5"/>
      <c r="GFV25" s="5"/>
      <c r="GFW25" s="5"/>
      <c r="GFX25" s="5"/>
      <c r="GFY25" s="5"/>
      <c r="GFZ25" s="5"/>
      <c r="GGA25" s="5"/>
      <c r="GGB25" s="5"/>
      <c r="GGC25" s="5"/>
      <c r="GGD25" s="5"/>
      <c r="GGE25" s="5"/>
      <c r="GGF25" s="5"/>
      <c r="GGG25" s="5"/>
      <c r="GGH25" s="5"/>
      <c r="GGI25" s="5"/>
      <c r="GGJ25" s="5"/>
      <c r="GGK25" s="5"/>
      <c r="GGL25" s="5"/>
      <c r="GGM25" s="5"/>
      <c r="GGN25" s="5"/>
      <c r="GGO25" s="5"/>
      <c r="GGP25" s="5"/>
      <c r="GGQ25" s="5"/>
      <c r="GGR25" s="5"/>
      <c r="GGS25" s="5"/>
      <c r="GGT25" s="5"/>
      <c r="GGU25" s="5"/>
      <c r="GGV25" s="5"/>
      <c r="GGW25" s="5"/>
      <c r="GGX25" s="5"/>
      <c r="GGY25" s="5"/>
      <c r="GGZ25" s="5"/>
      <c r="GHA25" s="5"/>
      <c r="GHB25" s="5"/>
      <c r="GHC25" s="5"/>
      <c r="GHD25" s="5"/>
      <c r="GHE25" s="5"/>
      <c r="GHF25" s="5"/>
      <c r="GHG25" s="5"/>
      <c r="GHH25" s="5"/>
      <c r="GHI25" s="5"/>
      <c r="GHJ25" s="5"/>
      <c r="GHK25" s="5"/>
      <c r="GHL25" s="5"/>
      <c r="GHM25" s="5"/>
      <c r="GHN25" s="5"/>
      <c r="GHO25" s="5"/>
      <c r="GHP25" s="5"/>
      <c r="GHQ25" s="5"/>
      <c r="GHR25" s="5"/>
      <c r="GHS25" s="5"/>
      <c r="GHT25" s="5"/>
      <c r="GHU25" s="5"/>
      <c r="GHV25" s="5"/>
      <c r="GHW25" s="5"/>
      <c r="GHX25" s="5"/>
      <c r="GHY25" s="5"/>
      <c r="GHZ25" s="5"/>
      <c r="GIA25" s="5"/>
      <c r="GIB25" s="5"/>
      <c r="GIC25" s="5"/>
      <c r="GID25" s="5"/>
      <c r="GIE25" s="5"/>
      <c r="GIF25" s="5"/>
      <c r="GIG25" s="5"/>
      <c r="GIH25" s="5"/>
      <c r="GII25" s="5"/>
      <c r="GIJ25" s="5"/>
      <c r="GIK25" s="5"/>
      <c r="GIL25" s="5"/>
      <c r="GIM25" s="5"/>
      <c r="GIN25" s="5"/>
      <c r="GIO25" s="5"/>
      <c r="GIP25" s="5"/>
      <c r="GIQ25" s="5"/>
      <c r="GIR25" s="5"/>
      <c r="GIS25" s="5"/>
      <c r="GIT25" s="5"/>
      <c r="GIU25" s="5"/>
      <c r="GIV25" s="5"/>
      <c r="GIW25" s="5"/>
      <c r="GIX25" s="5"/>
      <c r="GIY25" s="5"/>
      <c r="GIZ25" s="5"/>
      <c r="GJA25" s="5"/>
      <c r="GJB25" s="5"/>
      <c r="GJC25" s="5"/>
      <c r="GJD25" s="5"/>
      <c r="GJE25" s="5"/>
      <c r="GJF25" s="5"/>
      <c r="GJG25" s="5"/>
      <c r="GJH25" s="5"/>
      <c r="GJI25" s="5"/>
      <c r="GJJ25" s="5"/>
      <c r="GJK25" s="5"/>
      <c r="GJL25" s="5"/>
      <c r="GJM25" s="5"/>
      <c r="GJN25" s="5"/>
      <c r="GJO25" s="5"/>
      <c r="GJP25" s="5"/>
      <c r="GJQ25" s="5"/>
      <c r="GJR25" s="5"/>
      <c r="GJS25" s="5"/>
      <c r="GJT25" s="5"/>
      <c r="GJU25" s="5"/>
      <c r="GJV25" s="5"/>
      <c r="GJW25" s="5"/>
      <c r="GJX25" s="5"/>
      <c r="GJY25" s="5"/>
      <c r="GJZ25" s="5"/>
      <c r="GKA25" s="5"/>
      <c r="GKB25" s="5"/>
      <c r="GKC25" s="5"/>
      <c r="GKD25" s="5"/>
      <c r="GKE25" s="5"/>
      <c r="GKF25" s="5"/>
      <c r="GKG25" s="5"/>
      <c r="GKH25" s="5"/>
      <c r="GKI25" s="5"/>
      <c r="GKJ25" s="5"/>
      <c r="GKK25" s="5"/>
      <c r="GKL25" s="5"/>
      <c r="GKM25" s="5"/>
      <c r="GKN25" s="5"/>
      <c r="GKO25" s="5"/>
      <c r="GKP25" s="5"/>
      <c r="GKQ25" s="5"/>
      <c r="GKR25" s="5"/>
      <c r="GKS25" s="5"/>
      <c r="GKT25" s="5"/>
      <c r="GKU25" s="5"/>
      <c r="GKV25" s="5"/>
      <c r="GKW25" s="5"/>
      <c r="GKX25" s="5"/>
      <c r="GKY25" s="5"/>
      <c r="GKZ25" s="5"/>
      <c r="GLA25" s="5"/>
      <c r="GLB25" s="5"/>
      <c r="GLC25" s="5"/>
      <c r="GLD25" s="5"/>
      <c r="GLE25" s="5"/>
      <c r="GLF25" s="5"/>
      <c r="GLG25" s="5"/>
      <c r="GLH25" s="5"/>
      <c r="GLI25" s="5"/>
      <c r="GLJ25" s="5"/>
      <c r="GLK25" s="5"/>
      <c r="GLL25" s="5"/>
      <c r="GLM25" s="5"/>
      <c r="GLN25" s="5"/>
      <c r="GLO25" s="5"/>
      <c r="GLP25" s="5"/>
      <c r="GLQ25" s="5"/>
      <c r="GLR25" s="5"/>
      <c r="GLS25" s="5"/>
      <c r="GLT25" s="5"/>
      <c r="GLU25" s="5"/>
      <c r="GLV25" s="5"/>
      <c r="GLW25" s="5"/>
      <c r="GLX25" s="5"/>
      <c r="GLY25" s="5"/>
      <c r="GLZ25" s="5"/>
      <c r="GMA25" s="5"/>
      <c r="GMB25" s="5"/>
      <c r="GMC25" s="5"/>
      <c r="GMD25" s="5"/>
      <c r="GME25" s="5"/>
      <c r="GMF25" s="5"/>
      <c r="GMG25" s="5"/>
      <c r="GMH25" s="5"/>
      <c r="GMI25" s="5"/>
      <c r="GMJ25" s="5"/>
      <c r="GMK25" s="5"/>
      <c r="GML25" s="5"/>
      <c r="GMM25" s="5"/>
      <c r="GMN25" s="5"/>
      <c r="GMO25" s="5"/>
      <c r="GMP25" s="5"/>
      <c r="GMQ25" s="5"/>
      <c r="GMR25" s="5"/>
      <c r="GMS25" s="5"/>
      <c r="GMT25" s="5"/>
      <c r="GMU25" s="5"/>
      <c r="GMV25" s="5"/>
      <c r="GMW25" s="5"/>
      <c r="GMX25" s="5"/>
      <c r="GMY25" s="5"/>
      <c r="GMZ25" s="5"/>
      <c r="GNA25" s="5"/>
      <c r="GNB25" s="5"/>
      <c r="GNC25" s="5"/>
      <c r="GND25" s="5"/>
      <c r="GNE25" s="5"/>
      <c r="GNF25" s="5"/>
      <c r="GNG25" s="5"/>
      <c r="GNH25" s="5"/>
      <c r="GNI25" s="5"/>
      <c r="GNJ25" s="5"/>
      <c r="GNK25" s="5"/>
      <c r="GNL25" s="5"/>
      <c r="GNM25" s="5"/>
      <c r="GNN25" s="5"/>
      <c r="GNO25" s="5"/>
      <c r="GNP25" s="5"/>
      <c r="GNQ25" s="5"/>
      <c r="GNR25" s="5"/>
      <c r="GNS25" s="5"/>
      <c r="GNT25" s="5"/>
      <c r="GNU25" s="5"/>
      <c r="GNV25" s="5"/>
      <c r="GNW25" s="5"/>
      <c r="GNX25" s="5"/>
      <c r="GNY25" s="5"/>
      <c r="GNZ25" s="5"/>
      <c r="GOA25" s="5"/>
      <c r="GOB25" s="5"/>
      <c r="GOC25" s="5"/>
      <c r="GOD25" s="5"/>
      <c r="GOE25" s="5"/>
      <c r="GOF25" s="5"/>
      <c r="GOG25" s="5"/>
      <c r="GOH25" s="5"/>
      <c r="GOI25" s="5"/>
      <c r="GOJ25" s="5"/>
      <c r="GOK25" s="5"/>
      <c r="GOL25" s="5"/>
      <c r="GOM25" s="5"/>
      <c r="GON25" s="5"/>
      <c r="GOO25" s="5"/>
      <c r="GOP25" s="5"/>
      <c r="GOQ25" s="5"/>
      <c r="GOR25" s="5"/>
      <c r="GOS25" s="5"/>
      <c r="GOT25" s="5"/>
      <c r="GOU25" s="5"/>
      <c r="GOV25" s="5"/>
      <c r="GOW25" s="5"/>
      <c r="GOX25" s="5"/>
      <c r="GOY25" s="5"/>
      <c r="GOZ25" s="5"/>
      <c r="GPA25" s="5"/>
      <c r="GPB25" s="5"/>
      <c r="GPC25" s="5"/>
      <c r="GPD25" s="5"/>
      <c r="GPE25" s="5"/>
      <c r="GPF25" s="5"/>
      <c r="GPG25" s="5"/>
      <c r="GPH25" s="5"/>
      <c r="GPI25" s="5"/>
      <c r="GPJ25" s="5"/>
      <c r="GPK25" s="5"/>
      <c r="GPL25" s="5"/>
      <c r="GPM25" s="5"/>
      <c r="GPN25" s="5"/>
      <c r="GPO25" s="5"/>
      <c r="GPP25" s="5"/>
      <c r="GPQ25" s="5"/>
      <c r="GPR25" s="5"/>
      <c r="GPS25" s="5"/>
      <c r="GPT25" s="5"/>
      <c r="GPU25" s="5"/>
      <c r="GPV25" s="5"/>
      <c r="GPW25" s="5"/>
      <c r="GPX25" s="5"/>
      <c r="GPY25" s="5"/>
      <c r="GPZ25" s="5"/>
      <c r="GQA25" s="5"/>
      <c r="GQB25" s="5"/>
      <c r="GQC25" s="5"/>
      <c r="GQD25" s="5"/>
      <c r="GQE25" s="5"/>
      <c r="GQF25" s="5"/>
      <c r="GQG25" s="5"/>
      <c r="GQH25" s="5"/>
      <c r="GQI25" s="5"/>
      <c r="GQJ25" s="5"/>
      <c r="GQK25" s="5"/>
      <c r="GQL25" s="5"/>
      <c r="GQM25" s="5"/>
      <c r="GQN25" s="5"/>
      <c r="GQO25" s="5"/>
      <c r="GQP25" s="5"/>
      <c r="GQQ25" s="5"/>
      <c r="GQR25" s="5"/>
      <c r="GQS25" s="5"/>
      <c r="GQT25" s="5"/>
      <c r="GQU25" s="5"/>
      <c r="GQV25" s="5"/>
      <c r="GQW25" s="5"/>
      <c r="GQX25" s="5"/>
      <c r="GQY25" s="5"/>
      <c r="GQZ25" s="5"/>
      <c r="GRA25" s="5"/>
      <c r="GRB25" s="5"/>
      <c r="GRC25" s="5"/>
      <c r="GRD25" s="5"/>
      <c r="GRE25" s="5"/>
      <c r="GRF25" s="5"/>
      <c r="GRG25" s="5"/>
      <c r="GRH25" s="5"/>
      <c r="GRI25" s="5"/>
      <c r="GRJ25" s="5"/>
      <c r="GRK25" s="5"/>
      <c r="GRL25" s="5"/>
      <c r="GRM25" s="5"/>
      <c r="GRN25" s="5"/>
      <c r="GRO25" s="5"/>
      <c r="GRP25" s="5"/>
      <c r="GRQ25" s="5"/>
      <c r="GRR25" s="5"/>
      <c r="GRS25" s="5"/>
      <c r="GRT25" s="5"/>
      <c r="GRU25" s="5"/>
      <c r="GRV25" s="5"/>
      <c r="GRW25" s="5"/>
      <c r="GRX25" s="5"/>
      <c r="GRY25" s="5"/>
      <c r="GRZ25" s="5"/>
      <c r="GSA25" s="5"/>
      <c r="GSB25" s="5"/>
      <c r="GSC25" s="5"/>
      <c r="GSD25" s="5"/>
      <c r="GSE25" s="5"/>
      <c r="GSF25" s="5"/>
      <c r="GSG25" s="5"/>
      <c r="GSH25" s="5"/>
      <c r="GSI25" s="5"/>
      <c r="GSJ25" s="5"/>
      <c r="GSK25" s="5"/>
      <c r="GSL25" s="5"/>
      <c r="GSM25" s="5"/>
      <c r="GSN25" s="5"/>
      <c r="GSO25" s="5"/>
      <c r="GSP25" s="5"/>
      <c r="GSQ25" s="5"/>
      <c r="GSR25" s="5"/>
      <c r="GSS25" s="5"/>
      <c r="GST25" s="5"/>
      <c r="GSU25" s="5"/>
      <c r="GSV25" s="5"/>
      <c r="GSW25" s="5"/>
      <c r="GSX25" s="5"/>
      <c r="GSY25" s="5"/>
      <c r="GSZ25" s="5"/>
      <c r="GTA25" s="5"/>
      <c r="GTB25" s="5"/>
      <c r="GTC25" s="5"/>
      <c r="GTD25" s="5"/>
      <c r="GTE25" s="5"/>
      <c r="GTF25" s="5"/>
      <c r="GTG25" s="5"/>
      <c r="GTH25" s="5"/>
      <c r="GTI25" s="5"/>
      <c r="GTJ25" s="5"/>
      <c r="GTK25" s="5"/>
      <c r="GTL25" s="5"/>
      <c r="GTM25" s="5"/>
      <c r="GTN25" s="5"/>
      <c r="GTO25" s="5"/>
      <c r="GTP25" s="5"/>
      <c r="GTQ25" s="5"/>
      <c r="GTR25" s="5"/>
      <c r="GTS25" s="5"/>
      <c r="GTT25" s="5"/>
      <c r="GTU25" s="5"/>
      <c r="GTV25" s="5"/>
      <c r="GTW25" s="5"/>
      <c r="GTX25" s="5"/>
      <c r="GTY25" s="5"/>
      <c r="GTZ25" s="5"/>
      <c r="GUA25" s="5"/>
      <c r="GUB25" s="5"/>
      <c r="GUC25" s="5"/>
      <c r="GUD25" s="5"/>
      <c r="GUE25" s="5"/>
      <c r="GUF25" s="5"/>
      <c r="GUG25" s="5"/>
      <c r="GUH25" s="5"/>
      <c r="GUI25" s="5"/>
      <c r="GUJ25" s="5"/>
      <c r="GUK25" s="5"/>
      <c r="GUL25" s="5"/>
      <c r="GUM25" s="5"/>
      <c r="GUN25" s="5"/>
      <c r="GUO25" s="5"/>
      <c r="GUP25" s="5"/>
      <c r="GUQ25" s="5"/>
      <c r="GUR25" s="5"/>
      <c r="GUS25" s="5"/>
      <c r="GUT25" s="5"/>
      <c r="GUU25" s="5"/>
      <c r="GUV25" s="5"/>
      <c r="GUW25" s="5"/>
      <c r="GUX25" s="5"/>
      <c r="GUY25" s="5"/>
      <c r="GUZ25" s="5"/>
      <c r="GVA25" s="5"/>
      <c r="GVB25" s="5"/>
      <c r="GVC25" s="5"/>
      <c r="GVD25" s="5"/>
      <c r="GVE25" s="5"/>
      <c r="GVF25" s="5"/>
      <c r="GVG25" s="5"/>
      <c r="GVH25" s="5"/>
      <c r="GVI25" s="5"/>
      <c r="GVJ25" s="5"/>
      <c r="GVK25" s="5"/>
      <c r="GVL25" s="5"/>
      <c r="GVM25" s="5"/>
      <c r="GVN25" s="5"/>
      <c r="GVO25" s="5"/>
      <c r="GVP25" s="5"/>
      <c r="GVQ25" s="5"/>
      <c r="GVR25" s="5"/>
      <c r="GVS25" s="5"/>
      <c r="GVT25" s="5"/>
      <c r="GVU25" s="5"/>
      <c r="GVV25" s="5"/>
      <c r="GVW25" s="5"/>
      <c r="GVX25" s="5"/>
      <c r="GVY25" s="5"/>
      <c r="GVZ25" s="5"/>
      <c r="GWA25" s="5"/>
      <c r="GWB25" s="5"/>
      <c r="GWC25" s="5"/>
      <c r="GWD25" s="5"/>
      <c r="GWE25" s="5"/>
      <c r="GWF25" s="5"/>
      <c r="GWG25" s="5"/>
      <c r="GWH25" s="5"/>
      <c r="GWI25" s="5"/>
      <c r="GWJ25" s="5"/>
      <c r="GWK25" s="5"/>
      <c r="GWL25" s="5"/>
      <c r="GWM25" s="5"/>
      <c r="GWN25" s="5"/>
      <c r="GWO25" s="5"/>
      <c r="GWP25" s="5"/>
      <c r="GWQ25" s="5"/>
      <c r="GWR25" s="5"/>
      <c r="GWS25" s="5"/>
      <c r="GWT25" s="5"/>
      <c r="GWU25" s="5"/>
      <c r="GWV25" s="5"/>
      <c r="GWW25" s="5"/>
      <c r="GWX25" s="5"/>
      <c r="GWY25" s="5"/>
      <c r="GWZ25" s="5"/>
      <c r="GXA25" s="5"/>
      <c r="GXB25" s="5"/>
      <c r="GXC25" s="5"/>
      <c r="GXD25" s="5"/>
      <c r="GXE25" s="5"/>
      <c r="GXF25" s="5"/>
      <c r="GXG25" s="5"/>
      <c r="GXH25" s="5"/>
      <c r="GXI25" s="5"/>
      <c r="GXJ25" s="5"/>
      <c r="GXK25" s="5"/>
      <c r="GXL25" s="5"/>
      <c r="GXM25" s="5"/>
      <c r="GXN25" s="5"/>
      <c r="GXO25" s="5"/>
      <c r="GXP25" s="5"/>
      <c r="GXQ25" s="5"/>
      <c r="GXR25" s="5"/>
      <c r="GXS25" s="5"/>
      <c r="GXT25" s="5"/>
      <c r="GXU25" s="5"/>
      <c r="GXV25" s="5"/>
      <c r="GXW25" s="5"/>
      <c r="GXX25" s="5"/>
      <c r="GXY25" s="5"/>
      <c r="GXZ25" s="5"/>
      <c r="GYA25" s="5"/>
      <c r="GYB25" s="5"/>
      <c r="GYC25" s="5"/>
      <c r="GYD25" s="5"/>
      <c r="GYE25" s="5"/>
      <c r="GYF25" s="5"/>
      <c r="GYG25" s="5"/>
      <c r="GYH25" s="5"/>
      <c r="GYI25" s="5"/>
      <c r="GYJ25" s="5"/>
      <c r="GYK25" s="5"/>
      <c r="GYL25" s="5"/>
      <c r="GYM25" s="5"/>
      <c r="GYN25" s="5"/>
      <c r="GYO25" s="5"/>
      <c r="GYP25" s="5"/>
      <c r="GYQ25" s="5"/>
      <c r="GYR25" s="5"/>
      <c r="GYS25" s="5"/>
      <c r="GYT25" s="5"/>
      <c r="GYU25" s="5"/>
      <c r="GYV25" s="5"/>
      <c r="GYW25" s="5"/>
      <c r="GYX25" s="5"/>
      <c r="GYY25" s="5"/>
      <c r="GYZ25" s="5"/>
      <c r="GZA25" s="5"/>
      <c r="GZB25" s="5"/>
      <c r="GZC25" s="5"/>
      <c r="GZD25" s="5"/>
      <c r="GZE25" s="5"/>
      <c r="GZF25" s="5"/>
      <c r="GZG25" s="5"/>
      <c r="GZH25" s="5"/>
      <c r="GZI25" s="5"/>
      <c r="GZJ25" s="5"/>
      <c r="GZK25" s="5"/>
      <c r="GZL25" s="5"/>
      <c r="GZM25" s="5"/>
      <c r="GZN25" s="5"/>
      <c r="GZO25" s="5"/>
      <c r="GZP25" s="5"/>
      <c r="GZQ25" s="5"/>
      <c r="GZR25" s="5"/>
      <c r="GZS25" s="5"/>
      <c r="GZT25" s="5"/>
      <c r="GZU25" s="5"/>
      <c r="GZV25" s="5"/>
      <c r="GZW25" s="5"/>
      <c r="GZX25" s="5"/>
      <c r="GZY25" s="5"/>
      <c r="GZZ25" s="5"/>
      <c r="HAA25" s="5"/>
      <c r="HAB25" s="5"/>
      <c r="HAC25" s="5"/>
      <c r="HAD25" s="5"/>
      <c r="HAE25" s="5"/>
      <c r="HAF25" s="5"/>
      <c r="HAG25" s="5"/>
      <c r="HAH25" s="5"/>
      <c r="HAI25" s="5"/>
      <c r="HAJ25" s="5"/>
      <c r="HAK25" s="5"/>
      <c r="HAL25" s="5"/>
      <c r="HAM25" s="5"/>
      <c r="HAN25" s="5"/>
      <c r="HAO25" s="5"/>
      <c r="HAP25" s="5"/>
      <c r="HAQ25" s="5"/>
      <c r="HAR25" s="5"/>
      <c r="HAS25" s="5"/>
      <c r="HAT25" s="5"/>
      <c r="HAU25" s="5"/>
      <c r="HAV25" s="5"/>
      <c r="HAW25" s="5"/>
      <c r="HAX25" s="5"/>
      <c r="HAY25" s="5"/>
      <c r="HAZ25" s="5"/>
      <c r="HBA25" s="5"/>
      <c r="HBB25" s="5"/>
      <c r="HBC25" s="5"/>
      <c r="HBD25" s="5"/>
      <c r="HBE25" s="5"/>
      <c r="HBF25" s="5"/>
      <c r="HBG25" s="5"/>
      <c r="HBH25" s="5"/>
      <c r="HBI25" s="5"/>
      <c r="HBJ25" s="5"/>
      <c r="HBK25" s="5"/>
      <c r="HBL25" s="5"/>
      <c r="HBM25" s="5"/>
      <c r="HBN25" s="5"/>
      <c r="HBO25" s="5"/>
      <c r="HBP25" s="5"/>
      <c r="HBQ25" s="5"/>
      <c r="HBR25" s="5"/>
      <c r="HBS25" s="5"/>
      <c r="HBT25" s="5"/>
      <c r="HBU25" s="5"/>
      <c r="HBV25" s="5"/>
      <c r="HBW25" s="5"/>
      <c r="HBX25" s="5"/>
      <c r="HBY25" s="5"/>
      <c r="HBZ25" s="5"/>
      <c r="HCA25" s="5"/>
      <c r="HCB25" s="5"/>
      <c r="HCC25" s="5"/>
      <c r="HCD25" s="5"/>
      <c r="HCE25" s="5"/>
      <c r="HCF25" s="5"/>
      <c r="HCG25" s="5"/>
      <c r="HCH25" s="5"/>
      <c r="HCI25" s="5"/>
      <c r="HCJ25" s="5"/>
      <c r="HCK25" s="5"/>
      <c r="HCL25" s="5"/>
      <c r="HCM25" s="5"/>
      <c r="HCN25" s="5"/>
      <c r="HCO25" s="5"/>
      <c r="HCP25" s="5"/>
      <c r="HCQ25" s="5"/>
      <c r="HCR25" s="5"/>
      <c r="HCS25" s="5"/>
      <c r="HCT25" s="5"/>
      <c r="HCU25" s="5"/>
      <c r="HCV25" s="5"/>
      <c r="HCW25" s="5"/>
      <c r="HCX25" s="5"/>
      <c r="HCY25" s="5"/>
      <c r="HCZ25" s="5"/>
      <c r="HDA25" s="5"/>
      <c r="HDB25" s="5"/>
      <c r="HDC25" s="5"/>
      <c r="HDD25" s="5"/>
      <c r="HDE25" s="5"/>
      <c r="HDF25" s="5"/>
      <c r="HDG25" s="5"/>
      <c r="HDH25" s="5"/>
      <c r="HDI25" s="5"/>
      <c r="HDJ25" s="5"/>
      <c r="HDK25" s="5"/>
      <c r="HDL25" s="5"/>
      <c r="HDM25" s="5"/>
      <c r="HDN25" s="5"/>
      <c r="HDO25" s="5"/>
      <c r="HDP25" s="5"/>
      <c r="HDQ25" s="5"/>
      <c r="HDR25" s="5"/>
      <c r="HDS25" s="5"/>
      <c r="HDT25" s="5"/>
      <c r="HDU25" s="5"/>
      <c r="HDV25" s="5"/>
      <c r="HDW25" s="5"/>
      <c r="HDX25" s="5"/>
      <c r="HDY25" s="5"/>
      <c r="HDZ25" s="5"/>
      <c r="HEA25" s="5"/>
      <c r="HEB25" s="5"/>
      <c r="HEC25" s="5"/>
      <c r="HED25" s="5"/>
      <c r="HEE25" s="5"/>
      <c r="HEF25" s="5"/>
      <c r="HEG25" s="5"/>
      <c r="HEH25" s="5"/>
      <c r="HEI25" s="5"/>
      <c r="HEJ25" s="5"/>
      <c r="HEK25" s="5"/>
      <c r="HEL25" s="5"/>
      <c r="HEM25" s="5"/>
      <c r="HEN25" s="5"/>
      <c r="HEO25" s="5"/>
      <c r="HEP25" s="5"/>
      <c r="HEQ25" s="5"/>
      <c r="HER25" s="5"/>
      <c r="HES25" s="5"/>
      <c r="HET25" s="5"/>
      <c r="HEU25" s="5"/>
      <c r="HEV25" s="5"/>
      <c r="HEW25" s="5"/>
      <c r="HEX25" s="5"/>
      <c r="HEY25" s="5"/>
      <c r="HEZ25" s="5"/>
      <c r="HFA25" s="5"/>
      <c r="HFB25" s="5"/>
      <c r="HFC25" s="5"/>
      <c r="HFD25" s="5"/>
      <c r="HFE25" s="5"/>
      <c r="HFF25" s="5"/>
      <c r="HFG25" s="5"/>
      <c r="HFH25" s="5"/>
      <c r="HFI25" s="5"/>
      <c r="HFJ25" s="5"/>
      <c r="HFK25" s="5"/>
      <c r="HFL25" s="5"/>
      <c r="HFM25" s="5"/>
      <c r="HFN25" s="5"/>
      <c r="HFO25" s="5"/>
      <c r="HFP25" s="5"/>
      <c r="HFQ25" s="5"/>
      <c r="HFR25" s="5"/>
      <c r="HFS25" s="5"/>
      <c r="HFT25" s="5"/>
      <c r="HFU25" s="5"/>
      <c r="HFV25" s="5"/>
      <c r="HFW25" s="5"/>
      <c r="HFX25" s="5"/>
      <c r="HFY25" s="5"/>
      <c r="HFZ25" s="5"/>
      <c r="HGA25" s="5"/>
      <c r="HGB25" s="5"/>
      <c r="HGC25" s="5"/>
      <c r="HGD25" s="5"/>
      <c r="HGE25" s="5"/>
      <c r="HGF25" s="5"/>
      <c r="HGG25" s="5"/>
      <c r="HGH25" s="5"/>
      <c r="HGI25" s="5"/>
      <c r="HGJ25" s="5"/>
      <c r="HGK25" s="5"/>
      <c r="HGL25" s="5"/>
      <c r="HGM25" s="5"/>
      <c r="HGN25" s="5"/>
      <c r="HGO25" s="5"/>
      <c r="HGP25" s="5"/>
      <c r="HGQ25" s="5"/>
      <c r="HGR25" s="5"/>
      <c r="HGS25" s="5"/>
      <c r="HGT25" s="5"/>
      <c r="HGU25" s="5"/>
      <c r="HGV25" s="5"/>
      <c r="HGW25" s="5"/>
      <c r="HGX25" s="5"/>
      <c r="HGY25" s="5"/>
      <c r="HGZ25" s="5"/>
      <c r="HHA25" s="5"/>
      <c r="HHB25" s="5"/>
      <c r="HHC25" s="5"/>
      <c r="HHD25" s="5"/>
      <c r="HHE25" s="5"/>
      <c r="HHF25" s="5"/>
      <c r="HHG25" s="5"/>
      <c r="HHH25" s="5"/>
      <c r="HHI25" s="5"/>
      <c r="HHJ25" s="5"/>
      <c r="HHK25" s="5"/>
      <c r="HHL25" s="5"/>
      <c r="HHM25" s="5"/>
      <c r="HHN25" s="5"/>
      <c r="HHO25" s="5"/>
      <c r="HHP25" s="5"/>
      <c r="HHQ25" s="5"/>
      <c r="HHR25" s="5"/>
      <c r="HHS25" s="5"/>
      <c r="HHT25" s="5"/>
      <c r="HHU25" s="5"/>
      <c r="HHV25" s="5"/>
      <c r="HHW25" s="5"/>
      <c r="HHX25" s="5"/>
      <c r="HHY25" s="5"/>
      <c r="HHZ25" s="5"/>
      <c r="HIA25" s="5"/>
      <c r="HIB25" s="5"/>
      <c r="HIC25" s="5"/>
      <c r="HID25" s="5"/>
      <c r="HIE25" s="5"/>
      <c r="HIF25" s="5"/>
      <c r="HIG25" s="5"/>
      <c r="HIH25" s="5"/>
      <c r="HII25" s="5"/>
      <c r="HIJ25" s="5"/>
      <c r="HIK25" s="5"/>
      <c r="HIL25" s="5"/>
      <c r="HIM25" s="5"/>
      <c r="HIN25" s="5"/>
      <c r="HIO25" s="5"/>
      <c r="HIP25" s="5"/>
      <c r="HIQ25" s="5"/>
      <c r="HIR25" s="5"/>
      <c r="HIS25" s="5"/>
      <c r="HIT25" s="5"/>
      <c r="HIU25" s="5"/>
      <c r="HIV25" s="5"/>
      <c r="HIW25" s="5"/>
      <c r="HIX25" s="5"/>
      <c r="HIY25" s="5"/>
      <c r="HIZ25" s="5"/>
      <c r="HJA25" s="5"/>
      <c r="HJB25" s="5"/>
      <c r="HJC25" s="5"/>
      <c r="HJD25" s="5"/>
      <c r="HJE25" s="5"/>
      <c r="HJF25" s="5"/>
      <c r="HJG25" s="5"/>
      <c r="HJH25" s="5"/>
      <c r="HJI25" s="5"/>
      <c r="HJJ25" s="5"/>
      <c r="HJK25" s="5"/>
      <c r="HJL25" s="5"/>
      <c r="HJM25" s="5"/>
      <c r="HJN25" s="5"/>
      <c r="HJO25" s="5"/>
      <c r="HJP25" s="5"/>
      <c r="HJQ25" s="5"/>
      <c r="HJR25" s="5"/>
      <c r="HJS25" s="5"/>
      <c r="HJT25" s="5"/>
      <c r="HJU25" s="5"/>
      <c r="HJV25" s="5"/>
      <c r="HJW25" s="5"/>
      <c r="HJX25" s="5"/>
      <c r="HJY25" s="5"/>
      <c r="HJZ25" s="5"/>
      <c r="HKA25" s="5"/>
      <c r="HKB25" s="5"/>
      <c r="HKC25" s="5"/>
      <c r="HKD25" s="5"/>
      <c r="HKE25" s="5"/>
      <c r="HKF25" s="5"/>
      <c r="HKG25" s="5"/>
      <c r="HKH25" s="5"/>
      <c r="HKI25" s="5"/>
      <c r="HKJ25" s="5"/>
      <c r="HKK25" s="5"/>
      <c r="HKL25" s="5"/>
      <c r="HKM25" s="5"/>
      <c r="HKN25" s="5"/>
      <c r="HKO25" s="5"/>
      <c r="HKP25" s="5"/>
      <c r="HKQ25" s="5"/>
      <c r="HKR25" s="5"/>
      <c r="HKS25" s="5"/>
      <c r="HKT25" s="5"/>
      <c r="HKU25" s="5"/>
      <c r="HKV25" s="5"/>
      <c r="HKW25" s="5"/>
      <c r="HKX25" s="5"/>
      <c r="HKY25" s="5"/>
      <c r="HKZ25" s="5"/>
      <c r="HLA25" s="5"/>
      <c r="HLB25" s="5"/>
      <c r="HLC25" s="5"/>
      <c r="HLD25" s="5"/>
      <c r="HLE25" s="5"/>
      <c r="HLF25" s="5"/>
      <c r="HLG25" s="5"/>
      <c r="HLH25" s="5"/>
      <c r="HLI25" s="5"/>
      <c r="HLJ25" s="5"/>
      <c r="HLK25" s="5"/>
      <c r="HLL25" s="5"/>
      <c r="HLM25" s="5"/>
      <c r="HLN25" s="5"/>
      <c r="HLO25" s="5"/>
      <c r="HLP25" s="5"/>
      <c r="HLQ25" s="5"/>
      <c r="HLR25" s="5"/>
      <c r="HLS25" s="5"/>
      <c r="HLT25" s="5"/>
      <c r="HLU25" s="5"/>
      <c r="HLV25" s="5"/>
      <c r="HLW25" s="5"/>
      <c r="HLX25" s="5"/>
      <c r="HLY25" s="5"/>
      <c r="HLZ25" s="5"/>
      <c r="HMA25" s="5"/>
      <c r="HMB25" s="5"/>
      <c r="HMC25" s="5"/>
      <c r="HMD25" s="5"/>
      <c r="HME25" s="5"/>
      <c r="HMF25" s="5"/>
      <c r="HMG25" s="5"/>
      <c r="HMH25" s="5"/>
      <c r="HMI25" s="5"/>
      <c r="HMJ25" s="5"/>
      <c r="HMK25" s="5"/>
      <c r="HML25" s="5"/>
      <c r="HMM25" s="5"/>
      <c r="HMN25" s="5"/>
      <c r="HMO25" s="5"/>
      <c r="HMP25" s="5"/>
      <c r="HMQ25" s="5"/>
      <c r="HMR25" s="5"/>
      <c r="HMS25" s="5"/>
      <c r="HMT25" s="5"/>
      <c r="HMU25" s="5"/>
      <c r="HMV25" s="5"/>
      <c r="HMW25" s="5"/>
      <c r="HMX25" s="5"/>
      <c r="HMY25" s="5"/>
      <c r="HMZ25" s="5"/>
      <c r="HNA25" s="5"/>
      <c r="HNB25" s="5"/>
      <c r="HNC25" s="5"/>
      <c r="HND25" s="5"/>
      <c r="HNE25" s="5"/>
      <c r="HNF25" s="5"/>
      <c r="HNG25" s="5"/>
      <c r="HNH25" s="5"/>
      <c r="HNI25" s="5"/>
      <c r="HNJ25" s="5"/>
      <c r="HNK25" s="5"/>
      <c r="HNL25" s="5"/>
      <c r="HNM25" s="5"/>
      <c r="HNN25" s="5"/>
      <c r="HNO25" s="5"/>
      <c r="HNP25" s="5"/>
      <c r="HNQ25" s="5"/>
      <c r="HNR25" s="5"/>
      <c r="HNS25" s="5"/>
      <c r="HNT25" s="5"/>
      <c r="HNU25" s="5"/>
      <c r="HNV25" s="5"/>
      <c r="HNW25" s="5"/>
      <c r="HNX25" s="5"/>
      <c r="HNY25" s="5"/>
      <c r="HNZ25" s="5"/>
      <c r="HOA25" s="5"/>
      <c r="HOB25" s="5"/>
      <c r="HOC25" s="5"/>
      <c r="HOD25" s="5"/>
      <c r="HOE25" s="5"/>
      <c r="HOF25" s="5"/>
      <c r="HOG25" s="5"/>
      <c r="HOH25" s="5"/>
      <c r="HOI25" s="5"/>
      <c r="HOJ25" s="5"/>
      <c r="HOK25" s="5"/>
      <c r="HOL25" s="5"/>
      <c r="HOM25" s="5"/>
      <c r="HON25" s="5"/>
      <c r="HOO25" s="5"/>
      <c r="HOP25" s="5"/>
      <c r="HOQ25" s="5"/>
      <c r="HOR25" s="5"/>
      <c r="HOS25" s="5"/>
      <c r="HOT25" s="5"/>
      <c r="HOU25" s="5"/>
      <c r="HOV25" s="5"/>
      <c r="HOW25" s="5"/>
      <c r="HOX25" s="5"/>
      <c r="HOY25" s="5"/>
      <c r="HOZ25" s="5"/>
      <c r="HPA25" s="5"/>
      <c r="HPB25" s="5"/>
      <c r="HPC25" s="5"/>
      <c r="HPD25" s="5"/>
      <c r="HPE25" s="5"/>
      <c r="HPF25" s="5"/>
      <c r="HPG25" s="5"/>
      <c r="HPH25" s="5"/>
      <c r="HPI25" s="5"/>
      <c r="HPJ25" s="5"/>
      <c r="HPK25" s="5"/>
      <c r="HPL25" s="5"/>
      <c r="HPM25" s="5"/>
      <c r="HPN25" s="5"/>
      <c r="HPO25" s="5"/>
      <c r="HPP25" s="5"/>
      <c r="HPQ25" s="5"/>
      <c r="HPR25" s="5"/>
      <c r="HPS25" s="5"/>
      <c r="HPT25" s="5"/>
      <c r="HPU25" s="5"/>
      <c r="HPV25" s="5"/>
      <c r="HPW25" s="5"/>
      <c r="HPX25" s="5"/>
      <c r="HPY25" s="5"/>
      <c r="HPZ25" s="5"/>
      <c r="HQA25" s="5"/>
      <c r="HQB25" s="5"/>
      <c r="HQC25" s="5"/>
      <c r="HQD25" s="5"/>
      <c r="HQE25" s="5"/>
      <c r="HQF25" s="5"/>
      <c r="HQG25" s="5"/>
      <c r="HQH25" s="5"/>
      <c r="HQI25" s="5"/>
      <c r="HQJ25" s="5"/>
      <c r="HQK25" s="5"/>
      <c r="HQL25" s="5"/>
      <c r="HQM25" s="5"/>
      <c r="HQN25" s="5"/>
      <c r="HQO25" s="5"/>
      <c r="HQP25" s="5"/>
      <c r="HQQ25" s="5"/>
      <c r="HQR25" s="5"/>
      <c r="HQS25" s="5"/>
      <c r="HQT25" s="5"/>
      <c r="HQU25" s="5"/>
      <c r="HQV25" s="5"/>
      <c r="HQW25" s="5"/>
      <c r="HQX25" s="5"/>
      <c r="HQY25" s="5"/>
      <c r="HQZ25" s="5"/>
      <c r="HRA25" s="5"/>
      <c r="HRB25" s="5"/>
      <c r="HRC25" s="5"/>
      <c r="HRD25" s="5"/>
      <c r="HRE25" s="5"/>
      <c r="HRF25" s="5"/>
      <c r="HRG25" s="5"/>
      <c r="HRH25" s="5"/>
      <c r="HRI25" s="5"/>
      <c r="HRJ25" s="5"/>
      <c r="HRK25" s="5"/>
      <c r="HRL25" s="5"/>
      <c r="HRM25" s="5"/>
      <c r="HRN25" s="5"/>
      <c r="HRO25" s="5"/>
      <c r="HRP25" s="5"/>
      <c r="HRQ25" s="5"/>
      <c r="HRR25" s="5"/>
      <c r="HRS25" s="5"/>
      <c r="HRT25" s="5"/>
      <c r="HRU25" s="5"/>
      <c r="HRV25" s="5"/>
      <c r="HRW25" s="5"/>
      <c r="HRX25" s="5"/>
      <c r="HRY25" s="5"/>
      <c r="HRZ25" s="5"/>
      <c r="HSA25" s="5"/>
      <c r="HSB25" s="5"/>
      <c r="HSC25" s="5"/>
      <c r="HSD25" s="5"/>
      <c r="HSE25" s="5"/>
      <c r="HSF25" s="5"/>
      <c r="HSG25" s="5"/>
      <c r="HSH25" s="5"/>
      <c r="HSI25" s="5"/>
      <c r="HSJ25" s="5"/>
      <c r="HSK25" s="5"/>
      <c r="HSL25" s="5"/>
      <c r="HSM25" s="5"/>
      <c r="HSN25" s="5"/>
      <c r="HSO25" s="5"/>
      <c r="HSP25" s="5"/>
      <c r="HSQ25" s="5"/>
      <c r="HSR25" s="5"/>
      <c r="HSS25" s="5"/>
      <c r="HST25" s="5"/>
      <c r="HSU25" s="5"/>
      <c r="HSV25" s="5"/>
      <c r="HSW25" s="5"/>
      <c r="HSX25" s="5"/>
      <c r="HSY25" s="5"/>
      <c r="HSZ25" s="5"/>
      <c r="HTA25" s="5"/>
      <c r="HTB25" s="5"/>
      <c r="HTC25" s="5"/>
      <c r="HTD25" s="5"/>
      <c r="HTE25" s="5"/>
      <c r="HTF25" s="5"/>
      <c r="HTG25" s="5"/>
      <c r="HTH25" s="5"/>
      <c r="HTI25" s="5"/>
      <c r="HTJ25" s="5"/>
      <c r="HTK25" s="5"/>
      <c r="HTL25" s="5"/>
      <c r="HTM25" s="5"/>
      <c r="HTN25" s="5"/>
      <c r="HTO25" s="5"/>
      <c r="HTP25" s="5"/>
      <c r="HTQ25" s="5"/>
      <c r="HTR25" s="5"/>
      <c r="HTS25" s="5"/>
      <c r="HTT25" s="5"/>
      <c r="HTU25" s="5"/>
      <c r="HTV25" s="5"/>
      <c r="HTW25" s="5"/>
      <c r="HTX25" s="5"/>
      <c r="HTY25" s="5"/>
      <c r="HTZ25" s="5"/>
      <c r="HUA25" s="5"/>
      <c r="HUB25" s="5"/>
      <c r="HUC25" s="5"/>
      <c r="HUD25" s="5"/>
      <c r="HUE25" s="5"/>
      <c r="HUF25" s="5"/>
      <c r="HUG25" s="5"/>
      <c r="HUH25" s="5"/>
      <c r="HUI25" s="5"/>
      <c r="HUJ25" s="5"/>
      <c r="HUK25" s="5"/>
      <c r="HUL25" s="5"/>
      <c r="HUM25" s="5"/>
      <c r="HUN25" s="5"/>
      <c r="HUO25" s="5"/>
      <c r="HUP25" s="5"/>
      <c r="HUQ25" s="5"/>
      <c r="HUR25" s="5"/>
      <c r="HUS25" s="5"/>
      <c r="HUT25" s="5"/>
      <c r="HUU25" s="5"/>
      <c r="HUV25" s="5"/>
      <c r="HUW25" s="5"/>
      <c r="HUX25" s="5"/>
      <c r="HUY25" s="5"/>
      <c r="HUZ25" s="5"/>
      <c r="HVA25" s="5"/>
      <c r="HVB25" s="5"/>
      <c r="HVC25" s="5"/>
      <c r="HVD25" s="5"/>
      <c r="HVE25" s="5"/>
      <c r="HVF25" s="5"/>
      <c r="HVG25" s="5"/>
      <c r="HVH25" s="5"/>
      <c r="HVI25" s="5"/>
      <c r="HVJ25" s="5"/>
      <c r="HVK25" s="5"/>
      <c r="HVL25" s="5"/>
      <c r="HVM25" s="5"/>
      <c r="HVN25" s="5"/>
      <c r="HVO25" s="5"/>
      <c r="HVP25" s="5"/>
      <c r="HVQ25" s="5"/>
      <c r="HVR25" s="5"/>
      <c r="HVS25" s="5"/>
      <c r="HVT25" s="5"/>
      <c r="HVU25" s="5"/>
      <c r="HVV25" s="5"/>
      <c r="HVW25" s="5"/>
      <c r="HVX25" s="5"/>
      <c r="HVY25" s="5"/>
      <c r="HVZ25" s="5"/>
      <c r="HWA25" s="5"/>
      <c r="HWB25" s="5"/>
      <c r="HWC25" s="5"/>
      <c r="HWD25" s="5"/>
      <c r="HWE25" s="5"/>
      <c r="HWF25" s="5"/>
      <c r="HWG25" s="5"/>
      <c r="HWH25" s="5"/>
      <c r="HWI25" s="5"/>
      <c r="HWJ25" s="5"/>
      <c r="HWK25" s="5"/>
      <c r="HWL25" s="5"/>
      <c r="HWM25" s="5"/>
      <c r="HWN25" s="5"/>
      <c r="HWO25" s="5"/>
      <c r="HWP25" s="5"/>
      <c r="HWQ25" s="5"/>
      <c r="HWR25" s="5"/>
      <c r="HWS25" s="5"/>
      <c r="HWT25" s="5"/>
      <c r="HWU25" s="5"/>
      <c r="HWV25" s="5"/>
      <c r="HWW25" s="5"/>
      <c r="HWX25" s="5"/>
      <c r="HWY25" s="5"/>
      <c r="HWZ25" s="5"/>
      <c r="HXA25" s="5"/>
      <c r="HXB25" s="5"/>
      <c r="HXC25" s="5"/>
      <c r="HXD25" s="5"/>
      <c r="HXE25" s="5"/>
      <c r="HXF25" s="5"/>
      <c r="HXG25" s="5"/>
      <c r="HXH25" s="5"/>
      <c r="HXI25" s="5"/>
      <c r="HXJ25" s="5"/>
      <c r="HXK25" s="5"/>
      <c r="HXL25" s="5"/>
      <c r="HXM25" s="5"/>
      <c r="HXN25" s="5"/>
      <c r="HXO25" s="5"/>
      <c r="HXP25" s="5"/>
      <c r="HXQ25" s="5"/>
      <c r="HXR25" s="5"/>
      <c r="HXS25" s="5"/>
      <c r="HXT25" s="5"/>
      <c r="HXU25" s="5"/>
      <c r="HXV25" s="5"/>
      <c r="HXW25" s="5"/>
      <c r="HXX25" s="5"/>
      <c r="HXY25" s="5"/>
      <c r="HXZ25" s="5"/>
      <c r="HYA25" s="5"/>
      <c r="HYB25" s="5"/>
      <c r="HYC25" s="5"/>
      <c r="HYD25" s="5"/>
      <c r="HYE25" s="5"/>
      <c r="HYF25" s="5"/>
      <c r="HYG25" s="5"/>
      <c r="HYH25" s="5"/>
      <c r="HYI25" s="5"/>
      <c r="HYJ25" s="5"/>
      <c r="HYK25" s="5"/>
      <c r="HYL25" s="5"/>
      <c r="HYM25" s="5"/>
      <c r="HYN25" s="5"/>
      <c r="HYO25" s="5"/>
      <c r="HYP25" s="5"/>
      <c r="HYQ25" s="5"/>
      <c r="HYR25" s="5"/>
      <c r="HYS25" s="5"/>
      <c r="HYT25" s="5"/>
      <c r="HYU25" s="5"/>
      <c r="HYV25" s="5"/>
      <c r="HYW25" s="5"/>
      <c r="HYX25" s="5"/>
      <c r="HYY25" s="5"/>
      <c r="HYZ25" s="5"/>
      <c r="HZA25" s="5"/>
      <c r="HZB25" s="5"/>
      <c r="HZC25" s="5"/>
      <c r="HZD25" s="5"/>
      <c r="HZE25" s="5"/>
      <c r="HZF25" s="5"/>
      <c r="HZG25" s="5"/>
      <c r="HZH25" s="5"/>
      <c r="HZI25" s="5"/>
      <c r="HZJ25" s="5"/>
      <c r="HZK25" s="5"/>
      <c r="HZL25" s="5"/>
      <c r="HZM25" s="5"/>
      <c r="HZN25" s="5"/>
      <c r="HZO25" s="5"/>
      <c r="HZP25" s="5"/>
      <c r="HZQ25" s="5"/>
      <c r="HZR25" s="5"/>
      <c r="HZS25" s="5"/>
      <c r="HZT25" s="5"/>
      <c r="HZU25" s="5"/>
      <c r="HZV25" s="5"/>
      <c r="HZW25" s="5"/>
      <c r="HZX25" s="5"/>
      <c r="HZY25" s="5"/>
      <c r="HZZ25" s="5"/>
      <c r="IAA25" s="5"/>
      <c r="IAB25" s="5"/>
      <c r="IAC25" s="5"/>
      <c r="IAD25" s="5"/>
      <c r="IAE25" s="5"/>
      <c r="IAF25" s="5"/>
      <c r="IAG25" s="5"/>
      <c r="IAH25" s="5"/>
      <c r="IAI25" s="5"/>
      <c r="IAJ25" s="5"/>
      <c r="IAK25" s="5"/>
      <c r="IAL25" s="5"/>
      <c r="IAM25" s="5"/>
      <c r="IAN25" s="5"/>
      <c r="IAO25" s="5"/>
      <c r="IAP25" s="5"/>
      <c r="IAQ25" s="5"/>
      <c r="IAR25" s="5"/>
      <c r="IAS25" s="5"/>
      <c r="IAT25" s="5"/>
      <c r="IAU25" s="5"/>
      <c r="IAV25" s="5"/>
      <c r="IAW25" s="5"/>
      <c r="IAX25" s="5"/>
      <c r="IAY25" s="5"/>
      <c r="IAZ25" s="5"/>
      <c r="IBA25" s="5"/>
      <c r="IBB25" s="5"/>
      <c r="IBC25" s="5"/>
      <c r="IBD25" s="5"/>
      <c r="IBE25" s="5"/>
      <c r="IBF25" s="5"/>
      <c r="IBG25" s="5"/>
      <c r="IBH25" s="5"/>
      <c r="IBI25" s="5"/>
      <c r="IBJ25" s="5"/>
      <c r="IBK25" s="5"/>
      <c r="IBL25" s="5"/>
      <c r="IBM25" s="5"/>
      <c r="IBN25" s="5"/>
      <c r="IBO25" s="5"/>
      <c r="IBP25" s="5"/>
      <c r="IBQ25" s="5"/>
      <c r="IBR25" s="5"/>
      <c r="IBS25" s="5"/>
      <c r="IBT25" s="5"/>
      <c r="IBU25" s="5"/>
      <c r="IBV25" s="5"/>
      <c r="IBW25" s="5"/>
      <c r="IBX25" s="5"/>
      <c r="IBY25" s="5"/>
      <c r="IBZ25" s="5"/>
      <c r="ICA25" s="5"/>
      <c r="ICB25" s="5"/>
      <c r="ICC25" s="5"/>
      <c r="ICD25" s="5"/>
      <c r="ICE25" s="5"/>
      <c r="ICF25" s="5"/>
      <c r="ICG25" s="5"/>
      <c r="ICH25" s="5"/>
      <c r="ICI25" s="5"/>
      <c r="ICJ25" s="5"/>
      <c r="ICK25" s="5"/>
      <c r="ICL25" s="5"/>
      <c r="ICM25" s="5"/>
      <c r="ICN25" s="5"/>
      <c r="ICO25" s="5"/>
      <c r="ICP25" s="5"/>
      <c r="ICQ25" s="5"/>
      <c r="ICR25" s="5"/>
      <c r="ICS25" s="5"/>
      <c r="ICT25" s="5"/>
      <c r="ICU25" s="5"/>
      <c r="ICV25" s="5"/>
      <c r="ICW25" s="5"/>
      <c r="ICX25" s="5"/>
      <c r="ICY25" s="5"/>
      <c r="ICZ25" s="5"/>
      <c r="IDA25" s="5"/>
      <c r="IDB25" s="5"/>
      <c r="IDC25" s="5"/>
      <c r="IDD25" s="5"/>
      <c r="IDE25" s="5"/>
      <c r="IDF25" s="5"/>
      <c r="IDG25" s="5"/>
      <c r="IDH25" s="5"/>
      <c r="IDI25" s="5"/>
      <c r="IDJ25" s="5"/>
      <c r="IDK25" s="5"/>
      <c r="IDL25" s="5"/>
      <c r="IDM25" s="5"/>
      <c r="IDN25" s="5"/>
      <c r="IDO25" s="5"/>
      <c r="IDP25" s="5"/>
      <c r="IDQ25" s="5"/>
      <c r="IDR25" s="5"/>
      <c r="IDS25" s="5"/>
      <c r="IDT25" s="5"/>
      <c r="IDU25" s="5"/>
      <c r="IDV25" s="5"/>
      <c r="IDW25" s="5"/>
      <c r="IDX25" s="5"/>
      <c r="IDY25" s="5"/>
      <c r="IDZ25" s="5"/>
      <c r="IEA25" s="5"/>
      <c r="IEB25" s="5"/>
      <c r="IEC25" s="5"/>
      <c r="IED25" s="5"/>
      <c r="IEE25" s="5"/>
      <c r="IEF25" s="5"/>
      <c r="IEG25" s="5"/>
      <c r="IEH25" s="5"/>
      <c r="IEI25" s="5"/>
      <c r="IEJ25" s="5"/>
      <c r="IEK25" s="5"/>
      <c r="IEL25" s="5"/>
      <c r="IEM25" s="5"/>
      <c r="IEN25" s="5"/>
      <c r="IEO25" s="5"/>
      <c r="IEP25" s="5"/>
      <c r="IEQ25" s="5"/>
      <c r="IER25" s="5"/>
      <c r="IES25" s="5"/>
      <c r="IET25" s="5"/>
      <c r="IEU25" s="5"/>
      <c r="IEV25" s="5"/>
      <c r="IEW25" s="5"/>
      <c r="IEX25" s="5"/>
      <c r="IEY25" s="5"/>
      <c r="IEZ25" s="5"/>
      <c r="IFA25" s="5"/>
      <c r="IFB25" s="5"/>
      <c r="IFC25" s="5"/>
      <c r="IFD25" s="5"/>
      <c r="IFE25" s="5"/>
      <c r="IFF25" s="5"/>
      <c r="IFG25" s="5"/>
      <c r="IFH25" s="5"/>
      <c r="IFI25" s="5"/>
      <c r="IFJ25" s="5"/>
      <c r="IFK25" s="5"/>
      <c r="IFL25" s="5"/>
      <c r="IFM25" s="5"/>
      <c r="IFN25" s="5"/>
      <c r="IFO25" s="5"/>
      <c r="IFP25" s="5"/>
      <c r="IFQ25" s="5"/>
      <c r="IFR25" s="5"/>
      <c r="IFS25" s="5"/>
      <c r="IFT25" s="5"/>
      <c r="IFU25" s="5"/>
      <c r="IFV25" s="5"/>
      <c r="IFW25" s="5"/>
      <c r="IFX25" s="5"/>
      <c r="IFY25" s="5"/>
      <c r="IFZ25" s="5"/>
      <c r="IGA25" s="5"/>
      <c r="IGB25" s="5"/>
      <c r="IGC25" s="5"/>
      <c r="IGD25" s="5"/>
      <c r="IGE25" s="5"/>
      <c r="IGF25" s="5"/>
      <c r="IGG25" s="5"/>
      <c r="IGH25" s="5"/>
      <c r="IGI25" s="5"/>
      <c r="IGJ25" s="5"/>
      <c r="IGK25" s="5"/>
      <c r="IGL25" s="5"/>
      <c r="IGM25" s="5"/>
      <c r="IGN25" s="5"/>
      <c r="IGO25" s="5"/>
      <c r="IGP25" s="5"/>
      <c r="IGQ25" s="5"/>
      <c r="IGR25" s="5"/>
      <c r="IGS25" s="5"/>
      <c r="IGT25" s="5"/>
      <c r="IGU25" s="5"/>
      <c r="IGV25" s="5"/>
      <c r="IGW25" s="5"/>
      <c r="IGX25" s="5"/>
      <c r="IGY25" s="5"/>
      <c r="IGZ25" s="5"/>
      <c r="IHA25" s="5"/>
      <c r="IHB25" s="5"/>
      <c r="IHC25" s="5"/>
      <c r="IHD25" s="5"/>
      <c r="IHE25" s="5"/>
      <c r="IHF25" s="5"/>
      <c r="IHG25" s="5"/>
      <c r="IHH25" s="5"/>
      <c r="IHI25" s="5"/>
      <c r="IHJ25" s="5"/>
      <c r="IHK25" s="5"/>
      <c r="IHL25" s="5"/>
      <c r="IHM25" s="5"/>
      <c r="IHN25" s="5"/>
      <c r="IHO25" s="5"/>
      <c r="IHP25" s="5"/>
      <c r="IHQ25" s="5"/>
      <c r="IHR25" s="5"/>
      <c r="IHS25" s="5"/>
      <c r="IHT25" s="5"/>
      <c r="IHU25" s="5"/>
      <c r="IHV25" s="5"/>
      <c r="IHW25" s="5"/>
      <c r="IHX25" s="5"/>
      <c r="IHY25" s="5"/>
      <c r="IHZ25" s="5"/>
      <c r="IIA25" s="5"/>
      <c r="IIB25" s="5"/>
      <c r="IIC25" s="5"/>
      <c r="IID25" s="5"/>
      <c r="IIE25" s="5"/>
      <c r="IIF25" s="5"/>
      <c r="IIG25" s="5"/>
      <c r="IIH25" s="5"/>
      <c r="III25" s="5"/>
      <c r="IIJ25" s="5"/>
      <c r="IIK25" s="5"/>
      <c r="IIL25" s="5"/>
      <c r="IIM25" s="5"/>
      <c r="IIN25" s="5"/>
      <c r="IIO25" s="5"/>
      <c r="IIP25" s="5"/>
      <c r="IIQ25" s="5"/>
      <c r="IIR25" s="5"/>
      <c r="IIS25" s="5"/>
      <c r="IIT25" s="5"/>
      <c r="IIU25" s="5"/>
      <c r="IIV25" s="5"/>
      <c r="IIW25" s="5"/>
      <c r="IIX25" s="5"/>
      <c r="IIY25" s="5"/>
      <c r="IIZ25" s="5"/>
      <c r="IJA25" s="5"/>
      <c r="IJB25" s="5"/>
      <c r="IJC25" s="5"/>
      <c r="IJD25" s="5"/>
      <c r="IJE25" s="5"/>
      <c r="IJF25" s="5"/>
      <c r="IJG25" s="5"/>
      <c r="IJH25" s="5"/>
      <c r="IJI25" s="5"/>
      <c r="IJJ25" s="5"/>
      <c r="IJK25" s="5"/>
      <c r="IJL25" s="5"/>
      <c r="IJM25" s="5"/>
      <c r="IJN25" s="5"/>
      <c r="IJO25" s="5"/>
      <c r="IJP25" s="5"/>
      <c r="IJQ25" s="5"/>
      <c r="IJR25" s="5"/>
      <c r="IJS25" s="5"/>
      <c r="IJT25" s="5"/>
      <c r="IJU25" s="5"/>
      <c r="IJV25" s="5"/>
      <c r="IJW25" s="5"/>
      <c r="IJX25" s="5"/>
      <c r="IJY25" s="5"/>
      <c r="IJZ25" s="5"/>
      <c r="IKA25" s="5"/>
      <c r="IKB25" s="5"/>
      <c r="IKC25" s="5"/>
      <c r="IKD25" s="5"/>
      <c r="IKE25" s="5"/>
      <c r="IKF25" s="5"/>
      <c r="IKG25" s="5"/>
      <c r="IKH25" s="5"/>
      <c r="IKI25" s="5"/>
      <c r="IKJ25" s="5"/>
      <c r="IKK25" s="5"/>
      <c r="IKL25" s="5"/>
      <c r="IKM25" s="5"/>
      <c r="IKN25" s="5"/>
      <c r="IKO25" s="5"/>
      <c r="IKP25" s="5"/>
      <c r="IKQ25" s="5"/>
      <c r="IKR25" s="5"/>
      <c r="IKS25" s="5"/>
      <c r="IKT25" s="5"/>
      <c r="IKU25" s="5"/>
      <c r="IKV25" s="5"/>
      <c r="IKW25" s="5"/>
      <c r="IKX25" s="5"/>
      <c r="IKY25" s="5"/>
      <c r="IKZ25" s="5"/>
      <c r="ILA25" s="5"/>
      <c r="ILB25" s="5"/>
      <c r="ILC25" s="5"/>
      <c r="ILD25" s="5"/>
      <c r="ILE25" s="5"/>
      <c r="ILF25" s="5"/>
      <c r="ILG25" s="5"/>
      <c r="ILH25" s="5"/>
      <c r="ILI25" s="5"/>
      <c r="ILJ25" s="5"/>
      <c r="ILK25" s="5"/>
      <c r="ILL25" s="5"/>
      <c r="ILM25" s="5"/>
      <c r="ILN25" s="5"/>
      <c r="ILO25" s="5"/>
      <c r="ILP25" s="5"/>
      <c r="ILQ25" s="5"/>
      <c r="ILR25" s="5"/>
      <c r="ILS25" s="5"/>
      <c r="ILT25" s="5"/>
      <c r="ILU25" s="5"/>
      <c r="ILV25" s="5"/>
      <c r="ILW25" s="5"/>
      <c r="ILX25" s="5"/>
      <c r="ILY25" s="5"/>
      <c r="ILZ25" s="5"/>
      <c r="IMA25" s="5"/>
      <c r="IMB25" s="5"/>
      <c r="IMC25" s="5"/>
      <c r="IMD25" s="5"/>
      <c r="IME25" s="5"/>
      <c r="IMF25" s="5"/>
      <c r="IMG25" s="5"/>
      <c r="IMH25" s="5"/>
      <c r="IMI25" s="5"/>
      <c r="IMJ25" s="5"/>
      <c r="IMK25" s="5"/>
      <c r="IML25" s="5"/>
      <c r="IMM25" s="5"/>
      <c r="IMN25" s="5"/>
      <c r="IMO25" s="5"/>
      <c r="IMP25" s="5"/>
      <c r="IMQ25" s="5"/>
      <c r="IMR25" s="5"/>
      <c r="IMS25" s="5"/>
      <c r="IMT25" s="5"/>
      <c r="IMU25" s="5"/>
      <c r="IMV25" s="5"/>
      <c r="IMW25" s="5"/>
      <c r="IMX25" s="5"/>
      <c r="IMY25" s="5"/>
      <c r="IMZ25" s="5"/>
      <c r="INA25" s="5"/>
      <c r="INB25" s="5"/>
      <c r="INC25" s="5"/>
      <c r="IND25" s="5"/>
      <c r="INE25" s="5"/>
      <c r="INF25" s="5"/>
      <c r="ING25" s="5"/>
      <c r="INH25" s="5"/>
      <c r="INI25" s="5"/>
      <c r="INJ25" s="5"/>
      <c r="INK25" s="5"/>
      <c r="INL25" s="5"/>
      <c r="INM25" s="5"/>
      <c r="INN25" s="5"/>
      <c r="INO25" s="5"/>
      <c r="INP25" s="5"/>
      <c r="INQ25" s="5"/>
      <c r="INR25" s="5"/>
      <c r="INS25" s="5"/>
      <c r="INT25" s="5"/>
      <c r="INU25" s="5"/>
      <c r="INV25" s="5"/>
      <c r="INW25" s="5"/>
      <c r="INX25" s="5"/>
      <c r="INY25" s="5"/>
      <c r="INZ25" s="5"/>
      <c r="IOA25" s="5"/>
      <c r="IOB25" s="5"/>
      <c r="IOC25" s="5"/>
      <c r="IOD25" s="5"/>
      <c r="IOE25" s="5"/>
      <c r="IOF25" s="5"/>
      <c r="IOG25" s="5"/>
      <c r="IOH25" s="5"/>
      <c r="IOI25" s="5"/>
      <c r="IOJ25" s="5"/>
      <c r="IOK25" s="5"/>
      <c r="IOL25" s="5"/>
      <c r="IOM25" s="5"/>
      <c r="ION25" s="5"/>
      <c r="IOO25" s="5"/>
      <c r="IOP25" s="5"/>
      <c r="IOQ25" s="5"/>
      <c r="IOR25" s="5"/>
      <c r="IOS25" s="5"/>
      <c r="IOT25" s="5"/>
      <c r="IOU25" s="5"/>
      <c r="IOV25" s="5"/>
      <c r="IOW25" s="5"/>
      <c r="IOX25" s="5"/>
      <c r="IOY25" s="5"/>
      <c r="IOZ25" s="5"/>
      <c r="IPA25" s="5"/>
      <c r="IPB25" s="5"/>
      <c r="IPC25" s="5"/>
      <c r="IPD25" s="5"/>
      <c r="IPE25" s="5"/>
      <c r="IPF25" s="5"/>
      <c r="IPG25" s="5"/>
      <c r="IPH25" s="5"/>
      <c r="IPI25" s="5"/>
      <c r="IPJ25" s="5"/>
      <c r="IPK25" s="5"/>
      <c r="IPL25" s="5"/>
      <c r="IPM25" s="5"/>
      <c r="IPN25" s="5"/>
      <c r="IPO25" s="5"/>
      <c r="IPP25" s="5"/>
      <c r="IPQ25" s="5"/>
      <c r="IPR25" s="5"/>
      <c r="IPS25" s="5"/>
      <c r="IPT25" s="5"/>
      <c r="IPU25" s="5"/>
      <c r="IPV25" s="5"/>
      <c r="IPW25" s="5"/>
      <c r="IPX25" s="5"/>
      <c r="IPY25" s="5"/>
      <c r="IPZ25" s="5"/>
      <c r="IQA25" s="5"/>
      <c r="IQB25" s="5"/>
      <c r="IQC25" s="5"/>
      <c r="IQD25" s="5"/>
      <c r="IQE25" s="5"/>
      <c r="IQF25" s="5"/>
      <c r="IQG25" s="5"/>
      <c r="IQH25" s="5"/>
      <c r="IQI25" s="5"/>
      <c r="IQJ25" s="5"/>
      <c r="IQK25" s="5"/>
      <c r="IQL25" s="5"/>
      <c r="IQM25" s="5"/>
      <c r="IQN25" s="5"/>
      <c r="IQO25" s="5"/>
      <c r="IQP25" s="5"/>
      <c r="IQQ25" s="5"/>
      <c r="IQR25" s="5"/>
      <c r="IQS25" s="5"/>
      <c r="IQT25" s="5"/>
      <c r="IQU25" s="5"/>
      <c r="IQV25" s="5"/>
      <c r="IQW25" s="5"/>
      <c r="IQX25" s="5"/>
      <c r="IQY25" s="5"/>
      <c r="IQZ25" s="5"/>
      <c r="IRA25" s="5"/>
      <c r="IRB25" s="5"/>
      <c r="IRC25" s="5"/>
      <c r="IRD25" s="5"/>
      <c r="IRE25" s="5"/>
      <c r="IRF25" s="5"/>
      <c r="IRG25" s="5"/>
      <c r="IRH25" s="5"/>
      <c r="IRI25" s="5"/>
      <c r="IRJ25" s="5"/>
      <c r="IRK25" s="5"/>
      <c r="IRL25" s="5"/>
      <c r="IRM25" s="5"/>
      <c r="IRN25" s="5"/>
      <c r="IRO25" s="5"/>
      <c r="IRP25" s="5"/>
      <c r="IRQ25" s="5"/>
      <c r="IRR25" s="5"/>
      <c r="IRS25" s="5"/>
      <c r="IRT25" s="5"/>
      <c r="IRU25" s="5"/>
      <c r="IRV25" s="5"/>
      <c r="IRW25" s="5"/>
      <c r="IRX25" s="5"/>
      <c r="IRY25" s="5"/>
      <c r="IRZ25" s="5"/>
      <c r="ISA25" s="5"/>
      <c r="ISB25" s="5"/>
      <c r="ISC25" s="5"/>
      <c r="ISD25" s="5"/>
      <c r="ISE25" s="5"/>
      <c r="ISF25" s="5"/>
      <c r="ISG25" s="5"/>
      <c r="ISH25" s="5"/>
      <c r="ISI25" s="5"/>
      <c r="ISJ25" s="5"/>
      <c r="ISK25" s="5"/>
      <c r="ISL25" s="5"/>
      <c r="ISM25" s="5"/>
      <c r="ISN25" s="5"/>
      <c r="ISO25" s="5"/>
      <c r="ISP25" s="5"/>
      <c r="ISQ25" s="5"/>
      <c r="ISR25" s="5"/>
      <c r="ISS25" s="5"/>
      <c r="IST25" s="5"/>
      <c r="ISU25" s="5"/>
      <c r="ISV25" s="5"/>
      <c r="ISW25" s="5"/>
      <c r="ISX25" s="5"/>
      <c r="ISY25" s="5"/>
      <c r="ISZ25" s="5"/>
      <c r="ITA25" s="5"/>
      <c r="ITB25" s="5"/>
      <c r="ITC25" s="5"/>
      <c r="ITD25" s="5"/>
      <c r="ITE25" s="5"/>
      <c r="ITF25" s="5"/>
      <c r="ITG25" s="5"/>
      <c r="ITH25" s="5"/>
      <c r="ITI25" s="5"/>
      <c r="ITJ25" s="5"/>
      <c r="ITK25" s="5"/>
      <c r="ITL25" s="5"/>
      <c r="ITM25" s="5"/>
      <c r="ITN25" s="5"/>
      <c r="ITO25" s="5"/>
      <c r="ITP25" s="5"/>
      <c r="ITQ25" s="5"/>
      <c r="ITR25" s="5"/>
      <c r="ITS25" s="5"/>
      <c r="ITT25" s="5"/>
      <c r="ITU25" s="5"/>
      <c r="ITV25" s="5"/>
      <c r="ITW25" s="5"/>
      <c r="ITX25" s="5"/>
      <c r="ITY25" s="5"/>
      <c r="ITZ25" s="5"/>
      <c r="IUA25" s="5"/>
      <c r="IUB25" s="5"/>
      <c r="IUC25" s="5"/>
      <c r="IUD25" s="5"/>
      <c r="IUE25" s="5"/>
      <c r="IUF25" s="5"/>
      <c r="IUG25" s="5"/>
      <c r="IUH25" s="5"/>
      <c r="IUI25" s="5"/>
      <c r="IUJ25" s="5"/>
      <c r="IUK25" s="5"/>
      <c r="IUL25" s="5"/>
      <c r="IUM25" s="5"/>
      <c r="IUN25" s="5"/>
      <c r="IUO25" s="5"/>
      <c r="IUP25" s="5"/>
      <c r="IUQ25" s="5"/>
      <c r="IUR25" s="5"/>
      <c r="IUS25" s="5"/>
      <c r="IUT25" s="5"/>
      <c r="IUU25" s="5"/>
      <c r="IUV25" s="5"/>
      <c r="IUW25" s="5"/>
      <c r="IUX25" s="5"/>
      <c r="IUY25" s="5"/>
      <c r="IUZ25" s="5"/>
      <c r="IVA25" s="5"/>
      <c r="IVB25" s="5"/>
      <c r="IVC25" s="5"/>
      <c r="IVD25" s="5"/>
      <c r="IVE25" s="5"/>
      <c r="IVF25" s="5"/>
      <c r="IVG25" s="5"/>
      <c r="IVH25" s="5"/>
      <c r="IVI25" s="5"/>
      <c r="IVJ25" s="5"/>
      <c r="IVK25" s="5"/>
      <c r="IVL25" s="5"/>
      <c r="IVM25" s="5"/>
      <c r="IVN25" s="5"/>
      <c r="IVO25" s="5"/>
      <c r="IVP25" s="5"/>
      <c r="IVQ25" s="5"/>
      <c r="IVR25" s="5"/>
      <c r="IVS25" s="5"/>
      <c r="IVT25" s="5"/>
      <c r="IVU25" s="5"/>
      <c r="IVV25" s="5"/>
      <c r="IVW25" s="5"/>
      <c r="IVX25" s="5"/>
      <c r="IVY25" s="5"/>
      <c r="IVZ25" s="5"/>
      <c r="IWA25" s="5"/>
      <c r="IWB25" s="5"/>
      <c r="IWC25" s="5"/>
      <c r="IWD25" s="5"/>
      <c r="IWE25" s="5"/>
      <c r="IWF25" s="5"/>
      <c r="IWG25" s="5"/>
      <c r="IWH25" s="5"/>
      <c r="IWI25" s="5"/>
      <c r="IWJ25" s="5"/>
      <c r="IWK25" s="5"/>
      <c r="IWL25" s="5"/>
      <c r="IWM25" s="5"/>
      <c r="IWN25" s="5"/>
      <c r="IWO25" s="5"/>
      <c r="IWP25" s="5"/>
      <c r="IWQ25" s="5"/>
      <c r="IWR25" s="5"/>
      <c r="IWS25" s="5"/>
      <c r="IWT25" s="5"/>
      <c r="IWU25" s="5"/>
      <c r="IWV25" s="5"/>
      <c r="IWW25" s="5"/>
      <c r="IWX25" s="5"/>
      <c r="IWY25" s="5"/>
      <c r="IWZ25" s="5"/>
      <c r="IXA25" s="5"/>
      <c r="IXB25" s="5"/>
      <c r="IXC25" s="5"/>
      <c r="IXD25" s="5"/>
      <c r="IXE25" s="5"/>
      <c r="IXF25" s="5"/>
      <c r="IXG25" s="5"/>
      <c r="IXH25" s="5"/>
      <c r="IXI25" s="5"/>
      <c r="IXJ25" s="5"/>
      <c r="IXK25" s="5"/>
      <c r="IXL25" s="5"/>
      <c r="IXM25" s="5"/>
      <c r="IXN25" s="5"/>
      <c r="IXO25" s="5"/>
      <c r="IXP25" s="5"/>
      <c r="IXQ25" s="5"/>
      <c r="IXR25" s="5"/>
      <c r="IXS25" s="5"/>
      <c r="IXT25" s="5"/>
      <c r="IXU25" s="5"/>
      <c r="IXV25" s="5"/>
      <c r="IXW25" s="5"/>
      <c r="IXX25" s="5"/>
      <c r="IXY25" s="5"/>
      <c r="IXZ25" s="5"/>
      <c r="IYA25" s="5"/>
      <c r="IYB25" s="5"/>
      <c r="IYC25" s="5"/>
      <c r="IYD25" s="5"/>
      <c r="IYE25" s="5"/>
      <c r="IYF25" s="5"/>
      <c r="IYG25" s="5"/>
      <c r="IYH25" s="5"/>
      <c r="IYI25" s="5"/>
      <c r="IYJ25" s="5"/>
      <c r="IYK25" s="5"/>
      <c r="IYL25" s="5"/>
      <c r="IYM25" s="5"/>
      <c r="IYN25" s="5"/>
      <c r="IYO25" s="5"/>
      <c r="IYP25" s="5"/>
      <c r="IYQ25" s="5"/>
      <c r="IYR25" s="5"/>
      <c r="IYS25" s="5"/>
      <c r="IYT25" s="5"/>
      <c r="IYU25" s="5"/>
      <c r="IYV25" s="5"/>
      <c r="IYW25" s="5"/>
      <c r="IYX25" s="5"/>
      <c r="IYY25" s="5"/>
      <c r="IYZ25" s="5"/>
      <c r="IZA25" s="5"/>
      <c r="IZB25" s="5"/>
      <c r="IZC25" s="5"/>
      <c r="IZD25" s="5"/>
      <c r="IZE25" s="5"/>
      <c r="IZF25" s="5"/>
      <c r="IZG25" s="5"/>
      <c r="IZH25" s="5"/>
      <c r="IZI25" s="5"/>
      <c r="IZJ25" s="5"/>
      <c r="IZK25" s="5"/>
      <c r="IZL25" s="5"/>
      <c r="IZM25" s="5"/>
      <c r="IZN25" s="5"/>
      <c r="IZO25" s="5"/>
      <c r="IZP25" s="5"/>
      <c r="IZQ25" s="5"/>
      <c r="IZR25" s="5"/>
      <c r="IZS25" s="5"/>
      <c r="IZT25" s="5"/>
      <c r="IZU25" s="5"/>
      <c r="IZV25" s="5"/>
      <c r="IZW25" s="5"/>
      <c r="IZX25" s="5"/>
      <c r="IZY25" s="5"/>
      <c r="IZZ25" s="5"/>
      <c r="JAA25" s="5"/>
      <c r="JAB25" s="5"/>
      <c r="JAC25" s="5"/>
      <c r="JAD25" s="5"/>
      <c r="JAE25" s="5"/>
      <c r="JAF25" s="5"/>
      <c r="JAG25" s="5"/>
      <c r="JAH25" s="5"/>
      <c r="JAI25" s="5"/>
      <c r="JAJ25" s="5"/>
      <c r="JAK25" s="5"/>
      <c r="JAL25" s="5"/>
      <c r="JAM25" s="5"/>
      <c r="JAN25" s="5"/>
      <c r="JAO25" s="5"/>
      <c r="JAP25" s="5"/>
      <c r="JAQ25" s="5"/>
      <c r="JAR25" s="5"/>
      <c r="JAS25" s="5"/>
      <c r="JAT25" s="5"/>
      <c r="JAU25" s="5"/>
      <c r="JAV25" s="5"/>
      <c r="JAW25" s="5"/>
      <c r="JAX25" s="5"/>
      <c r="JAY25" s="5"/>
      <c r="JAZ25" s="5"/>
      <c r="JBA25" s="5"/>
      <c r="JBB25" s="5"/>
      <c r="JBC25" s="5"/>
      <c r="JBD25" s="5"/>
      <c r="JBE25" s="5"/>
      <c r="JBF25" s="5"/>
      <c r="JBG25" s="5"/>
      <c r="JBH25" s="5"/>
      <c r="JBI25" s="5"/>
      <c r="JBJ25" s="5"/>
      <c r="JBK25" s="5"/>
      <c r="JBL25" s="5"/>
      <c r="JBM25" s="5"/>
      <c r="JBN25" s="5"/>
      <c r="JBO25" s="5"/>
      <c r="JBP25" s="5"/>
      <c r="JBQ25" s="5"/>
      <c r="JBR25" s="5"/>
      <c r="JBS25" s="5"/>
      <c r="JBT25" s="5"/>
      <c r="JBU25" s="5"/>
      <c r="JBV25" s="5"/>
      <c r="JBW25" s="5"/>
      <c r="JBX25" s="5"/>
      <c r="JBY25" s="5"/>
      <c r="JBZ25" s="5"/>
      <c r="JCA25" s="5"/>
      <c r="JCB25" s="5"/>
      <c r="JCC25" s="5"/>
      <c r="JCD25" s="5"/>
      <c r="JCE25" s="5"/>
      <c r="JCF25" s="5"/>
      <c r="JCG25" s="5"/>
      <c r="JCH25" s="5"/>
      <c r="JCI25" s="5"/>
      <c r="JCJ25" s="5"/>
      <c r="JCK25" s="5"/>
      <c r="JCL25" s="5"/>
      <c r="JCM25" s="5"/>
      <c r="JCN25" s="5"/>
      <c r="JCO25" s="5"/>
      <c r="JCP25" s="5"/>
      <c r="JCQ25" s="5"/>
      <c r="JCR25" s="5"/>
      <c r="JCS25" s="5"/>
      <c r="JCT25" s="5"/>
      <c r="JCU25" s="5"/>
      <c r="JCV25" s="5"/>
      <c r="JCW25" s="5"/>
      <c r="JCX25" s="5"/>
      <c r="JCY25" s="5"/>
      <c r="JCZ25" s="5"/>
      <c r="JDA25" s="5"/>
      <c r="JDB25" s="5"/>
      <c r="JDC25" s="5"/>
      <c r="JDD25" s="5"/>
      <c r="JDE25" s="5"/>
      <c r="JDF25" s="5"/>
      <c r="JDG25" s="5"/>
      <c r="JDH25" s="5"/>
      <c r="JDI25" s="5"/>
      <c r="JDJ25" s="5"/>
      <c r="JDK25" s="5"/>
      <c r="JDL25" s="5"/>
      <c r="JDM25" s="5"/>
      <c r="JDN25" s="5"/>
      <c r="JDO25" s="5"/>
      <c r="JDP25" s="5"/>
      <c r="JDQ25" s="5"/>
      <c r="JDR25" s="5"/>
      <c r="JDS25" s="5"/>
      <c r="JDT25" s="5"/>
      <c r="JDU25" s="5"/>
      <c r="JDV25" s="5"/>
      <c r="JDW25" s="5"/>
      <c r="JDX25" s="5"/>
      <c r="JDY25" s="5"/>
      <c r="JDZ25" s="5"/>
      <c r="JEA25" s="5"/>
      <c r="JEB25" s="5"/>
      <c r="JEC25" s="5"/>
      <c r="JED25" s="5"/>
      <c r="JEE25" s="5"/>
      <c r="JEF25" s="5"/>
      <c r="JEG25" s="5"/>
      <c r="JEH25" s="5"/>
      <c r="JEI25" s="5"/>
      <c r="JEJ25" s="5"/>
      <c r="JEK25" s="5"/>
      <c r="JEL25" s="5"/>
      <c r="JEM25" s="5"/>
      <c r="JEN25" s="5"/>
      <c r="JEO25" s="5"/>
      <c r="JEP25" s="5"/>
      <c r="JEQ25" s="5"/>
      <c r="JER25" s="5"/>
      <c r="JES25" s="5"/>
      <c r="JET25" s="5"/>
      <c r="JEU25" s="5"/>
      <c r="JEV25" s="5"/>
      <c r="JEW25" s="5"/>
      <c r="JEX25" s="5"/>
      <c r="JEY25" s="5"/>
      <c r="JEZ25" s="5"/>
      <c r="JFA25" s="5"/>
      <c r="JFB25" s="5"/>
      <c r="JFC25" s="5"/>
      <c r="JFD25" s="5"/>
      <c r="JFE25" s="5"/>
      <c r="JFF25" s="5"/>
      <c r="JFG25" s="5"/>
      <c r="JFH25" s="5"/>
      <c r="JFI25" s="5"/>
      <c r="JFJ25" s="5"/>
      <c r="JFK25" s="5"/>
      <c r="JFL25" s="5"/>
      <c r="JFM25" s="5"/>
      <c r="JFN25" s="5"/>
      <c r="JFO25" s="5"/>
      <c r="JFP25" s="5"/>
      <c r="JFQ25" s="5"/>
      <c r="JFR25" s="5"/>
      <c r="JFS25" s="5"/>
      <c r="JFT25" s="5"/>
      <c r="JFU25" s="5"/>
      <c r="JFV25" s="5"/>
      <c r="JFW25" s="5"/>
      <c r="JFX25" s="5"/>
      <c r="JFY25" s="5"/>
      <c r="JFZ25" s="5"/>
      <c r="JGA25" s="5"/>
      <c r="JGB25" s="5"/>
      <c r="JGC25" s="5"/>
      <c r="JGD25" s="5"/>
      <c r="JGE25" s="5"/>
      <c r="JGF25" s="5"/>
      <c r="JGG25" s="5"/>
      <c r="JGH25" s="5"/>
      <c r="JGI25" s="5"/>
      <c r="JGJ25" s="5"/>
      <c r="JGK25" s="5"/>
      <c r="JGL25" s="5"/>
      <c r="JGM25" s="5"/>
      <c r="JGN25" s="5"/>
      <c r="JGO25" s="5"/>
      <c r="JGP25" s="5"/>
      <c r="JGQ25" s="5"/>
      <c r="JGR25" s="5"/>
      <c r="JGS25" s="5"/>
      <c r="JGT25" s="5"/>
      <c r="JGU25" s="5"/>
      <c r="JGV25" s="5"/>
      <c r="JGW25" s="5"/>
      <c r="JGX25" s="5"/>
      <c r="JGY25" s="5"/>
      <c r="JGZ25" s="5"/>
      <c r="JHA25" s="5"/>
      <c r="JHB25" s="5"/>
      <c r="JHC25" s="5"/>
      <c r="JHD25" s="5"/>
      <c r="JHE25" s="5"/>
      <c r="JHF25" s="5"/>
      <c r="JHG25" s="5"/>
      <c r="JHH25" s="5"/>
      <c r="JHI25" s="5"/>
      <c r="JHJ25" s="5"/>
      <c r="JHK25" s="5"/>
      <c r="JHL25" s="5"/>
      <c r="JHM25" s="5"/>
      <c r="JHN25" s="5"/>
      <c r="JHO25" s="5"/>
      <c r="JHP25" s="5"/>
      <c r="JHQ25" s="5"/>
      <c r="JHR25" s="5"/>
      <c r="JHS25" s="5"/>
      <c r="JHT25" s="5"/>
      <c r="JHU25" s="5"/>
      <c r="JHV25" s="5"/>
      <c r="JHW25" s="5"/>
      <c r="JHX25" s="5"/>
      <c r="JHY25" s="5"/>
      <c r="JHZ25" s="5"/>
      <c r="JIA25" s="5"/>
      <c r="JIB25" s="5"/>
      <c r="JIC25" s="5"/>
      <c r="JID25" s="5"/>
      <c r="JIE25" s="5"/>
      <c r="JIF25" s="5"/>
      <c r="JIG25" s="5"/>
      <c r="JIH25" s="5"/>
      <c r="JII25" s="5"/>
      <c r="JIJ25" s="5"/>
      <c r="JIK25" s="5"/>
      <c r="JIL25" s="5"/>
      <c r="JIM25" s="5"/>
      <c r="JIN25" s="5"/>
      <c r="JIO25" s="5"/>
      <c r="JIP25" s="5"/>
      <c r="JIQ25" s="5"/>
      <c r="JIR25" s="5"/>
      <c r="JIS25" s="5"/>
      <c r="JIT25" s="5"/>
      <c r="JIU25" s="5"/>
      <c r="JIV25" s="5"/>
      <c r="JIW25" s="5"/>
      <c r="JIX25" s="5"/>
      <c r="JIY25" s="5"/>
      <c r="JIZ25" s="5"/>
      <c r="JJA25" s="5"/>
      <c r="JJB25" s="5"/>
      <c r="JJC25" s="5"/>
      <c r="JJD25" s="5"/>
      <c r="JJE25" s="5"/>
      <c r="JJF25" s="5"/>
      <c r="JJG25" s="5"/>
      <c r="JJH25" s="5"/>
      <c r="JJI25" s="5"/>
      <c r="JJJ25" s="5"/>
      <c r="JJK25" s="5"/>
      <c r="JJL25" s="5"/>
      <c r="JJM25" s="5"/>
      <c r="JJN25" s="5"/>
      <c r="JJO25" s="5"/>
      <c r="JJP25" s="5"/>
      <c r="JJQ25" s="5"/>
      <c r="JJR25" s="5"/>
      <c r="JJS25" s="5"/>
      <c r="JJT25" s="5"/>
      <c r="JJU25" s="5"/>
      <c r="JJV25" s="5"/>
      <c r="JJW25" s="5"/>
      <c r="JJX25" s="5"/>
      <c r="JJY25" s="5"/>
      <c r="JJZ25" s="5"/>
      <c r="JKA25" s="5"/>
      <c r="JKB25" s="5"/>
      <c r="JKC25" s="5"/>
      <c r="JKD25" s="5"/>
      <c r="JKE25" s="5"/>
      <c r="JKF25" s="5"/>
      <c r="JKG25" s="5"/>
      <c r="JKH25" s="5"/>
      <c r="JKI25" s="5"/>
      <c r="JKJ25" s="5"/>
      <c r="JKK25" s="5"/>
      <c r="JKL25" s="5"/>
      <c r="JKM25" s="5"/>
      <c r="JKN25" s="5"/>
      <c r="JKO25" s="5"/>
      <c r="JKP25" s="5"/>
      <c r="JKQ25" s="5"/>
      <c r="JKR25" s="5"/>
      <c r="JKS25" s="5"/>
      <c r="JKT25" s="5"/>
      <c r="JKU25" s="5"/>
      <c r="JKV25" s="5"/>
      <c r="JKW25" s="5"/>
      <c r="JKX25" s="5"/>
      <c r="JKY25" s="5"/>
      <c r="JKZ25" s="5"/>
      <c r="JLA25" s="5"/>
      <c r="JLB25" s="5"/>
      <c r="JLC25" s="5"/>
      <c r="JLD25" s="5"/>
      <c r="JLE25" s="5"/>
      <c r="JLF25" s="5"/>
      <c r="JLG25" s="5"/>
      <c r="JLH25" s="5"/>
      <c r="JLI25" s="5"/>
      <c r="JLJ25" s="5"/>
      <c r="JLK25" s="5"/>
      <c r="JLL25" s="5"/>
      <c r="JLM25" s="5"/>
      <c r="JLN25" s="5"/>
      <c r="JLO25" s="5"/>
      <c r="JLP25" s="5"/>
      <c r="JLQ25" s="5"/>
      <c r="JLR25" s="5"/>
      <c r="JLS25" s="5"/>
      <c r="JLT25" s="5"/>
      <c r="JLU25" s="5"/>
      <c r="JLV25" s="5"/>
      <c r="JLW25" s="5"/>
      <c r="JLX25" s="5"/>
      <c r="JLY25" s="5"/>
      <c r="JLZ25" s="5"/>
      <c r="JMA25" s="5"/>
      <c r="JMB25" s="5"/>
      <c r="JMC25" s="5"/>
      <c r="JMD25" s="5"/>
      <c r="JME25" s="5"/>
      <c r="JMF25" s="5"/>
      <c r="JMG25" s="5"/>
      <c r="JMH25" s="5"/>
      <c r="JMI25" s="5"/>
      <c r="JMJ25" s="5"/>
      <c r="JMK25" s="5"/>
      <c r="JML25" s="5"/>
      <c r="JMM25" s="5"/>
      <c r="JMN25" s="5"/>
      <c r="JMO25" s="5"/>
      <c r="JMP25" s="5"/>
      <c r="JMQ25" s="5"/>
      <c r="JMR25" s="5"/>
      <c r="JMS25" s="5"/>
      <c r="JMT25" s="5"/>
      <c r="JMU25" s="5"/>
      <c r="JMV25" s="5"/>
      <c r="JMW25" s="5"/>
      <c r="JMX25" s="5"/>
      <c r="JMY25" s="5"/>
      <c r="JMZ25" s="5"/>
      <c r="JNA25" s="5"/>
      <c r="JNB25" s="5"/>
      <c r="JNC25" s="5"/>
      <c r="JND25" s="5"/>
      <c r="JNE25" s="5"/>
      <c r="JNF25" s="5"/>
      <c r="JNG25" s="5"/>
      <c r="JNH25" s="5"/>
      <c r="JNI25" s="5"/>
      <c r="JNJ25" s="5"/>
      <c r="JNK25" s="5"/>
      <c r="JNL25" s="5"/>
      <c r="JNM25" s="5"/>
      <c r="JNN25" s="5"/>
      <c r="JNO25" s="5"/>
      <c r="JNP25" s="5"/>
      <c r="JNQ25" s="5"/>
      <c r="JNR25" s="5"/>
      <c r="JNS25" s="5"/>
      <c r="JNT25" s="5"/>
      <c r="JNU25" s="5"/>
      <c r="JNV25" s="5"/>
      <c r="JNW25" s="5"/>
      <c r="JNX25" s="5"/>
      <c r="JNY25" s="5"/>
      <c r="JNZ25" s="5"/>
      <c r="JOA25" s="5"/>
      <c r="JOB25" s="5"/>
      <c r="JOC25" s="5"/>
      <c r="JOD25" s="5"/>
      <c r="JOE25" s="5"/>
      <c r="JOF25" s="5"/>
      <c r="JOG25" s="5"/>
      <c r="JOH25" s="5"/>
      <c r="JOI25" s="5"/>
      <c r="JOJ25" s="5"/>
      <c r="JOK25" s="5"/>
      <c r="JOL25" s="5"/>
      <c r="JOM25" s="5"/>
      <c r="JON25" s="5"/>
      <c r="JOO25" s="5"/>
      <c r="JOP25" s="5"/>
      <c r="JOQ25" s="5"/>
      <c r="JOR25" s="5"/>
      <c r="JOS25" s="5"/>
      <c r="JOT25" s="5"/>
      <c r="JOU25" s="5"/>
      <c r="JOV25" s="5"/>
      <c r="JOW25" s="5"/>
      <c r="JOX25" s="5"/>
      <c r="JOY25" s="5"/>
      <c r="JOZ25" s="5"/>
      <c r="JPA25" s="5"/>
      <c r="JPB25" s="5"/>
      <c r="JPC25" s="5"/>
      <c r="JPD25" s="5"/>
      <c r="JPE25" s="5"/>
      <c r="JPF25" s="5"/>
      <c r="JPG25" s="5"/>
      <c r="JPH25" s="5"/>
      <c r="JPI25" s="5"/>
      <c r="JPJ25" s="5"/>
      <c r="JPK25" s="5"/>
      <c r="JPL25" s="5"/>
      <c r="JPM25" s="5"/>
      <c r="JPN25" s="5"/>
      <c r="JPO25" s="5"/>
      <c r="JPP25" s="5"/>
      <c r="JPQ25" s="5"/>
      <c r="JPR25" s="5"/>
      <c r="JPS25" s="5"/>
      <c r="JPT25" s="5"/>
      <c r="JPU25" s="5"/>
      <c r="JPV25" s="5"/>
      <c r="JPW25" s="5"/>
      <c r="JPX25" s="5"/>
      <c r="JPY25" s="5"/>
      <c r="JPZ25" s="5"/>
      <c r="JQA25" s="5"/>
      <c r="JQB25" s="5"/>
      <c r="JQC25" s="5"/>
      <c r="JQD25" s="5"/>
      <c r="JQE25" s="5"/>
      <c r="JQF25" s="5"/>
      <c r="JQG25" s="5"/>
      <c r="JQH25" s="5"/>
      <c r="JQI25" s="5"/>
      <c r="JQJ25" s="5"/>
      <c r="JQK25" s="5"/>
      <c r="JQL25" s="5"/>
      <c r="JQM25" s="5"/>
      <c r="JQN25" s="5"/>
      <c r="JQO25" s="5"/>
      <c r="JQP25" s="5"/>
      <c r="JQQ25" s="5"/>
      <c r="JQR25" s="5"/>
      <c r="JQS25" s="5"/>
      <c r="JQT25" s="5"/>
      <c r="JQU25" s="5"/>
      <c r="JQV25" s="5"/>
      <c r="JQW25" s="5"/>
      <c r="JQX25" s="5"/>
      <c r="JQY25" s="5"/>
      <c r="JQZ25" s="5"/>
      <c r="JRA25" s="5"/>
      <c r="JRB25" s="5"/>
      <c r="JRC25" s="5"/>
      <c r="JRD25" s="5"/>
      <c r="JRE25" s="5"/>
      <c r="JRF25" s="5"/>
      <c r="JRG25" s="5"/>
      <c r="JRH25" s="5"/>
      <c r="JRI25" s="5"/>
      <c r="JRJ25" s="5"/>
      <c r="JRK25" s="5"/>
      <c r="JRL25" s="5"/>
      <c r="JRM25" s="5"/>
      <c r="JRN25" s="5"/>
      <c r="JRO25" s="5"/>
      <c r="JRP25" s="5"/>
      <c r="JRQ25" s="5"/>
      <c r="JRR25" s="5"/>
      <c r="JRS25" s="5"/>
      <c r="JRT25" s="5"/>
      <c r="JRU25" s="5"/>
      <c r="JRV25" s="5"/>
      <c r="JRW25" s="5"/>
      <c r="JRX25" s="5"/>
      <c r="JRY25" s="5"/>
      <c r="JRZ25" s="5"/>
      <c r="JSA25" s="5"/>
      <c r="JSB25" s="5"/>
      <c r="JSC25" s="5"/>
      <c r="JSD25" s="5"/>
      <c r="JSE25" s="5"/>
      <c r="JSF25" s="5"/>
      <c r="JSG25" s="5"/>
      <c r="JSH25" s="5"/>
      <c r="JSI25" s="5"/>
      <c r="JSJ25" s="5"/>
      <c r="JSK25" s="5"/>
      <c r="JSL25" s="5"/>
      <c r="JSM25" s="5"/>
      <c r="JSN25" s="5"/>
      <c r="JSO25" s="5"/>
      <c r="JSP25" s="5"/>
      <c r="JSQ25" s="5"/>
      <c r="JSR25" s="5"/>
      <c r="JSS25" s="5"/>
      <c r="JST25" s="5"/>
      <c r="JSU25" s="5"/>
      <c r="JSV25" s="5"/>
      <c r="JSW25" s="5"/>
      <c r="JSX25" s="5"/>
      <c r="JSY25" s="5"/>
      <c r="JSZ25" s="5"/>
      <c r="JTA25" s="5"/>
      <c r="JTB25" s="5"/>
      <c r="JTC25" s="5"/>
      <c r="JTD25" s="5"/>
      <c r="JTE25" s="5"/>
      <c r="JTF25" s="5"/>
      <c r="JTG25" s="5"/>
      <c r="JTH25" s="5"/>
      <c r="JTI25" s="5"/>
      <c r="JTJ25" s="5"/>
      <c r="JTK25" s="5"/>
      <c r="JTL25" s="5"/>
      <c r="JTM25" s="5"/>
      <c r="JTN25" s="5"/>
      <c r="JTO25" s="5"/>
      <c r="JTP25" s="5"/>
      <c r="JTQ25" s="5"/>
      <c r="JTR25" s="5"/>
      <c r="JTS25" s="5"/>
      <c r="JTT25" s="5"/>
      <c r="JTU25" s="5"/>
      <c r="JTV25" s="5"/>
      <c r="JTW25" s="5"/>
      <c r="JTX25" s="5"/>
      <c r="JTY25" s="5"/>
      <c r="JTZ25" s="5"/>
      <c r="JUA25" s="5"/>
      <c r="JUB25" s="5"/>
      <c r="JUC25" s="5"/>
      <c r="JUD25" s="5"/>
      <c r="JUE25" s="5"/>
      <c r="JUF25" s="5"/>
      <c r="JUG25" s="5"/>
      <c r="JUH25" s="5"/>
      <c r="JUI25" s="5"/>
      <c r="JUJ25" s="5"/>
      <c r="JUK25" s="5"/>
      <c r="JUL25" s="5"/>
      <c r="JUM25" s="5"/>
      <c r="JUN25" s="5"/>
      <c r="JUO25" s="5"/>
      <c r="JUP25" s="5"/>
      <c r="JUQ25" s="5"/>
      <c r="JUR25" s="5"/>
      <c r="JUS25" s="5"/>
      <c r="JUT25" s="5"/>
      <c r="JUU25" s="5"/>
      <c r="JUV25" s="5"/>
      <c r="JUW25" s="5"/>
      <c r="JUX25" s="5"/>
      <c r="JUY25" s="5"/>
      <c r="JUZ25" s="5"/>
      <c r="JVA25" s="5"/>
      <c r="JVB25" s="5"/>
      <c r="JVC25" s="5"/>
      <c r="JVD25" s="5"/>
      <c r="JVE25" s="5"/>
      <c r="JVF25" s="5"/>
      <c r="JVG25" s="5"/>
      <c r="JVH25" s="5"/>
      <c r="JVI25" s="5"/>
      <c r="JVJ25" s="5"/>
      <c r="JVK25" s="5"/>
      <c r="JVL25" s="5"/>
      <c r="JVM25" s="5"/>
      <c r="JVN25" s="5"/>
      <c r="JVO25" s="5"/>
      <c r="JVP25" s="5"/>
      <c r="JVQ25" s="5"/>
      <c r="JVR25" s="5"/>
      <c r="JVS25" s="5"/>
      <c r="JVT25" s="5"/>
      <c r="JVU25" s="5"/>
      <c r="JVV25" s="5"/>
      <c r="JVW25" s="5"/>
      <c r="JVX25" s="5"/>
      <c r="JVY25" s="5"/>
      <c r="JVZ25" s="5"/>
      <c r="JWA25" s="5"/>
      <c r="JWB25" s="5"/>
      <c r="JWC25" s="5"/>
      <c r="JWD25" s="5"/>
      <c r="JWE25" s="5"/>
      <c r="JWF25" s="5"/>
      <c r="JWG25" s="5"/>
      <c r="JWH25" s="5"/>
      <c r="JWI25" s="5"/>
      <c r="JWJ25" s="5"/>
      <c r="JWK25" s="5"/>
      <c r="JWL25" s="5"/>
      <c r="JWM25" s="5"/>
      <c r="JWN25" s="5"/>
      <c r="JWO25" s="5"/>
      <c r="JWP25" s="5"/>
      <c r="JWQ25" s="5"/>
      <c r="JWR25" s="5"/>
      <c r="JWS25" s="5"/>
      <c r="JWT25" s="5"/>
      <c r="JWU25" s="5"/>
      <c r="JWV25" s="5"/>
      <c r="JWW25" s="5"/>
      <c r="JWX25" s="5"/>
      <c r="JWY25" s="5"/>
      <c r="JWZ25" s="5"/>
      <c r="JXA25" s="5"/>
      <c r="JXB25" s="5"/>
      <c r="JXC25" s="5"/>
      <c r="JXD25" s="5"/>
      <c r="JXE25" s="5"/>
      <c r="JXF25" s="5"/>
      <c r="JXG25" s="5"/>
      <c r="JXH25" s="5"/>
      <c r="JXI25" s="5"/>
      <c r="JXJ25" s="5"/>
      <c r="JXK25" s="5"/>
      <c r="JXL25" s="5"/>
      <c r="JXM25" s="5"/>
      <c r="JXN25" s="5"/>
      <c r="JXO25" s="5"/>
      <c r="JXP25" s="5"/>
      <c r="JXQ25" s="5"/>
      <c r="JXR25" s="5"/>
      <c r="JXS25" s="5"/>
      <c r="JXT25" s="5"/>
      <c r="JXU25" s="5"/>
      <c r="JXV25" s="5"/>
      <c r="JXW25" s="5"/>
      <c r="JXX25" s="5"/>
      <c r="JXY25" s="5"/>
      <c r="JXZ25" s="5"/>
      <c r="JYA25" s="5"/>
      <c r="JYB25" s="5"/>
      <c r="JYC25" s="5"/>
      <c r="JYD25" s="5"/>
      <c r="JYE25" s="5"/>
      <c r="JYF25" s="5"/>
      <c r="JYG25" s="5"/>
      <c r="JYH25" s="5"/>
      <c r="JYI25" s="5"/>
      <c r="JYJ25" s="5"/>
      <c r="JYK25" s="5"/>
      <c r="JYL25" s="5"/>
      <c r="JYM25" s="5"/>
      <c r="JYN25" s="5"/>
      <c r="JYO25" s="5"/>
      <c r="JYP25" s="5"/>
      <c r="JYQ25" s="5"/>
      <c r="JYR25" s="5"/>
      <c r="JYS25" s="5"/>
      <c r="JYT25" s="5"/>
      <c r="JYU25" s="5"/>
      <c r="JYV25" s="5"/>
      <c r="JYW25" s="5"/>
      <c r="JYX25" s="5"/>
      <c r="JYY25" s="5"/>
      <c r="JYZ25" s="5"/>
      <c r="JZA25" s="5"/>
      <c r="JZB25" s="5"/>
      <c r="JZC25" s="5"/>
      <c r="JZD25" s="5"/>
      <c r="JZE25" s="5"/>
      <c r="JZF25" s="5"/>
      <c r="JZG25" s="5"/>
      <c r="JZH25" s="5"/>
      <c r="JZI25" s="5"/>
      <c r="JZJ25" s="5"/>
      <c r="JZK25" s="5"/>
      <c r="JZL25" s="5"/>
      <c r="JZM25" s="5"/>
      <c r="JZN25" s="5"/>
      <c r="JZO25" s="5"/>
      <c r="JZP25" s="5"/>
      <c r="JZQ25" s="5"/>
      <c r="JZR25" s="5"/>
      <c r="JZS25" s="5"/>
      <c r="JZT25" s="5"/>
      <c r="JZU25" s="5"/>
      <c r="JZV25" s="5"/>
      <c r="JZW25" s="5"/>
      <c r="JZX25" s="5"/>
      <c r="JZY25" s="5"/>
      <c r="JZZ25" s="5"/>
      <c r="KAA25" s="5"/>
      <c r="KAB25" s="5"/>
      <c r="KAC25" s="5"/>
      <c r="KAD25" s="5"/>
      <c r="KAE25" s="5"/>
      <c r="KAF25" s="5"/>
      <c r="KAG25" s="5"/>
      <c r="KAH25" s="5"/>
      <c r="KAI25" s="5"/>
      <c r="KAJ25" s="5"/>
      <c r="KAK25" s="5"/>
      <c r="KAL25" s="5"/>
      <c r="KAM25" s="5"/>
      <c r="KAN25" s="5"/>
      <c r="KAO25" s="5"/>
      <c r="KAP25" s="5"/>
      <c r="KAQ25" s="5"/>
      <c r="KAR25" s="5"/>
      <c r="KAS25" s="5"/>
      <c r="KAT25" s="5"/>
      <c r="KAU25" s="5"/>
      <c r="KAV25" s="5"/>
      <c r="KAW25" s="5"/>
      <c r="KAX25" s="5"/>
      <c r="KAY25" s="5"/>
      <c r="KAZ25" s="5"/>
      <c r="KBA25" s="5"/>
      <c r="KBB25" s="5"/>
      <c r="KBC25" s="5"/>
      <c r="KBD25" s="5"/>
      <c r="KBE25" s="5"/>
      <c r="KBF25" s="5"/>
      <c r="KBG25" s="5"/>
      <c r="KBH25" s="5"/>
      <c r="KBI25" s="5"/>
      <c r="KBJ25" s="5"/>
      <c r="KBK25" s="5"/>
      <c r="KBL25" s="5"/>
      <c r="KBM25" s="5"/>
      <c r="KBN25" s="5"/>
      <c r="KBO25" s="5"/>
      <c r="KBP25" s="5"/>
      <c r="KBQ25" s="5"/>
      <c r="KBR25" s="5"/>
      <c r="KBS25" s="5"/>
      <c r="KBT25" s="5"/>
      <c r="KBU25" s="5"/>
      <c r="KBV25" s="5"/>
      <c r="KBW25" s="5"/>
      <c r="KBX25" s="5"/>
      <c r="KBY25" s="5"/>
      <c r="KBZ25" s="5"/>
      <c r="KCA25" s="5"/>
      <c r="KCB25" s="5"/>
      <c r="KCC25" s="5"/>
      <c r="KCD25" s="5"/>
      <c r="KCE25" s="5"/>
      <c r="KCF25" s="5"/>
      <c r="KCG25" s="5"/>
      <c r="KCH25" s="5"/>
      <c r="KCI25" s="5"/>
      <c r="KCJ25" s="5"/>
      <c r="KCK25" s="5"/>
      <c r="KCL25" s="5"/>
      <c r="KCM25" s="5"/>
      <c r="KCN25" s="5"/>
      <c r="KCO25" s="5"/>
      <c r="KCP25" s="5"/>
      <c r="KCQ25" s="5"/>
      <c r="KCR25" s="5"/>
      <c r="KCS25" s="5"/>
      <c r="KCT25" s="5"/>
      <c r="KCU25" s="5"/>
      <c r="KCV25" s="5"/>
      <c r="KCW25" s="5"/>
      <c r="KCX25" s="5"/>
      <c r="KCY25" s="5"/>
      <c r="KCZ25" s="5"/>
      <c r="KDA25" s="5"/>
      <c r="KDB25" s="5"/>
      <c r="KDC25" s="5"/>
      <c r="KDD25" s="5"/>
      <c r="KDE25" s="5"/>
      <c r="KDF25" s="5"/>
      <c r="KDG25" s="5"/>
      <c r="KDH25" s="5"/>
      <c r="KDI25" s="5"/>
      <c r="KDJ25" s="5"/>
      <c r="KDK25" s="5"/>
      <c r="KDL25" s="5"/>
      <c r="KDM25" s="5"/>
      <c r="KDN25" s="5"/>
      <c r="KDO25" s="5"/>
      <c r="KDP25" s="5"/>
      <c r="KDQ25" s="5"/>
      <c r="KDR25" s="5"/>
      <c r="KDS25" s="5"/>
      <c r="KDT25" s="5"/>
      <c r="KDU25" s="5"/>
      <c r="KDV25" s="5"/>
      <c r="KDW25" s="5"/>
      <c r="KDX25" s="5"/>
      <c r="KDY25" s="5"/>
      <c r="KDZ25" s="5"/>
      <c r="KEA25" s="5"/>
      <c r="KEB25" s="5"/>
      <c r="KEC25" s="5"/>
      <c r="KED25" s="5"/>
      <c r="KEE25" s="5"/>
      <c r="KEF25" s="5"/>
      <c r="KEG25" s="5"/>
      <c r="KEH25" s="5"/>
      <c r="KEI25" s="5"/>
      <c r="KEJ25" s="5"/>
      <c r="KEK25" s="5"/>
      <c r="KEL25" s="5"/>
      <c r="KEM25" s="5"/>
      <c r="KEN25" s="5"/>
      <c r="KEO25" s="5"/>
      <c r="KEP25" s="5"/>
      <c r="KEQ25" s="5"/>
      <c r="KER25" s="5"/>
      <c r="KES25" s="5"/>
      <c r="KET25" s="5"/>
      <c r="KEU25" s="5"/>
      <c r="KEV25" s="5"/>
      <c r="KEW25" s="5"/>
      <c r="KEX25" s="5"/>
      <c r="KEY25" s="5"/>
      <c r="KEZ25" s="5"/>
      <c r="KFA25" s="5"/>
      <c r="KFB25" s="5"/>
      <c r="KFC25" s="5"/>
      <c r="KFD25" s="5"/>
      <c r="KFE25" s="5"/>
      <c r="KFF25" s="5"/>
      <c r="KFG25" s="5"/>
      <c r="KFH25" s="5"/>
      <c r="KFI25" s="5"/>
      <c r="KFJ25" s="5"/>
      <c r="KFK25" s="5"/>
      <c r="KFL25" s="5"/>
      <c r="KFM25" s="5"/>
      <c r="KFN25" s="5"/>
      <c r="KFO25" s="5"/>
      <c r="KFP25" s="5"/>
      <c r="KFQ25" s="5"/>
      <c r="KFR25" s="5"/>
      <c r="KFS25" s="5"/>
      <c r="KFT25" s="5"/>
      <c r="KFU25" s="5"/>
      <c r="KFV25" s="5"/>
      <c r="KFW25" s="5"/>
      <c r="KFX25" s="5"/>
      <c r="KFY25" s="5"/>
      <c r="KFZ25" s="5"/>
      <c r="KGA25" s="5"/>
      <c r="KGB25" s="5"/>
      <c r="KGC25" s="5"/>
      <c r="KGD25" s="5"/>
      <c r="KGE25" s="5"/>
      <c r="KGF25" s="5"/>
      <c r="KGG25" s="5"/>
      <c r="KGH25" s="5"/>
      <c r="KGI25" s="5"/>
      <c r="KGJ25" s="5"/>
      <c r="KGK25" s="5"/>
      <c r="KGL25" s="5"/>
      <c r="KGM25" s="5"/>
      <c r="KGN25" s="5"/>
      <c r="KGO25" s="5"/>
      <c r="KGP25" s="5"/>
      <c r="KGQ25" s="5"/>
      <c r="KGR25" s="5"/>
      <c r="KGS25" s="5"/>
      <c r="KGT25" s="5"/>
      <c r="KGU25" s="5"/>
      <c r="KGV25" s="5"/>
      <c r="KGW25" s="5"/>
      <c r="KGX25" s="5"/>
      <c r="KGY25" s="5"/>
      <c r="KGZ25" s="5"/>
      <c r="KHA25" s="5"/>
      <c r="KHB25" s="5"/>
      <c r="KHC25" s="5"/>
      <c r="KHD25" s="5"/>
      <c r="KHE25" s="5"/>
      <c r="KHF25" s="5"/>
      <c r="KHG25" s="5"/>
      <c r="KHH25" s="5"/>
      <c r="KHI25" s="5"/>
      <c r="KHJ25" s="5"/>
      <c r="KHK25" s="5"/>
      <c r="KHL25" s="5"/>
      <c r="KHM25" s="5"/>
      <c r="KHN25" s="5"/>
      <c r="KHO25" s="5"/>
      <c r="KHP25" s="5"/>
      <c r="KHQ25" s="5"/>
      <c r="KHR25" s="5"/>
      <c r="KHS25" s="5"/>
      <c r="KHT25" s="5"/>
      <c r="KHU25" s="5"/>
      <c r="KHV25" s="5"/>
      <c r="KHW25" s="5"/>
      <c r="KHX25" s="5"/>
      <c r="KHY25" s="5"/>
      <c r="KHZ25" s="5"/>
      <c r="KIA25" s="5"/>
      <c r="KIB25" s="5"/>
      <c r="KIC25" s="5"/>
      <c r="KID25" s="5"/>
      <c r="KIE25" s="5"/>
      <c r="KIF25" s="5"/>
      <c r="KIG25" s="5"/>
      <c r="KIH25" s="5"/>
      <c r="KII25" s="5"/>
      <c r="KIJ25" s="5"/>
      <c r="KIK25" s="5"/>
      <c r="KIL25" s="5"/>
      <c r="KIM25" s="5"/>
      <c r="KIN25" s="5"/>
      <c r="KIO25" s="5"/>
      <c r="KIP25" s="5"/>
      <c r="KIQ25" s="5"/>
      <c r="KIR25" s="5"/>
      <c r="KIS25" s="5"/>
      <c r="KIT25" s="5"/>
      <c r="KIU25" s="5"/>
      <c r="KIV25" s="5"/>
      <c r="KIW25" s="5"/>
      <c r="KIX25" s="5"/>
      <c r="KIY25" s="5"/>
      <c r="KIZ25" s="5"/>
      <c r="KJA25" s="5"/>
      <c r="KJB25" s="5"/>
      <c r="KJC25" s="5"/>
      <c r="KJD25" s="5"/>
      <c r="KJE25" s="5"/>
      <c r="KJF25" s="5"/>
      <c r="KJG25" s="5"/>
      <c r="KJH25" s="5"/>
      <c r="KJI25" s="5"/>
      <c r="KJJ25" s="5"/>
      <c r="KJK25" s="5"/>
      <c r="KJL25" s="5"/>
      <c r="KJM25" s="5"/>
      <c r="KJN25" s="5"/>
      <c r="KJO25" s="5"/>
      <c r="KJP25" s="5"/>
      <c r="KJQ25" s="5"/>
      <c r="KJR25" s="5"/>
      <c r="KJS25" s="5"/>
      <c r="KJT25" s="5"/>
      <c r="KJU25" s="5"/>
      <c r="KJV25" s="5"/>
      <c r="KJW25" s="5"/>
      <c r="KJX25" s="5"/>
      <c r="KJY25" s="5"/>
      <c r="KJZ25" s="5"/>
      <c r="KKA25" s="5"/>
      <c r="KKB25" s="5"/>
      <c r="KKC25" s="5"/>
      <c r="KKD25" s="5"/>
      <c r="KKE25" s="5"/>
      <c r="KKF25" s="5"/>
      <c r="KKG25" s="5"/>
      <c r="KKH25" s="5"/>
      <c r="KKI25" s="5"/>
      <c r="KKJ25" s="5"/>
      <c r="KKK25" s="5"/>
      <c r="KKL25" s="5"/>
      <c r="KKM25" s="5"/>
      <c r="KKN25" s="5"/>
      <c r="KKO25" s="5"/>
      <c r="KKP25" s="5"/>
      <c r="KKQ25" s="5"/>
      <c r="KKR25" s="5"/>
      <c r="KKS25" s="5"/>
      <c r="KKT25" s="5"/>
      <c r="KKU25" s="5"/>
      <c r="KKV25" s="5"/>
      <c r="KKW25" s="5"/>
      <c r="KKX25" s="5"/>
      <c r="KKY25" s="5"/>
      <c r="KKZ25" s="5"/>
      <c r="KLA25" s="5"/>
      <c r="KLB25" s="5"/>
      <c r="KLC25" s="5"/>
      <c r="KLD25" s="5"/>
      <c r="KLE25" s="5"/>
      <c r="KLF25" s="5"/>
      <c r="KLG25" s="5"/>
      <c r="KLH25" s="5"/>
      <c r="KLI25" s="5"/>
      <c r="KLJ25" s="5"/>
      <c r="KLK25" s="5"/>
      <c r="KLL25" s="5"/>
      <c r="KLM25" s="5"/>
      <c r="KLN25" s="5"/>
      <c r="KLO25" s="5"/>
      <c r="KLP25" s="5"/>
      <c r="KLQ25" s="5"/>
      <c r="KLR25" s="5"/>
      <c r="KLS25" s="5"/>
      <c r="KLT25" s="5"/>
      <c r="KLU25" s="5"/>
      <c r="KLV25" s="5"/>
      <c r="KLW25" s="5"/>
      <c r="KLX25" s="5"/>
      <c r="KLY25" s="5"/>
      <c r="KLZ25" s="5"/>
      <c r="KMA25" s="5"/>
      <c r="KMB25" s="5"/>
      <c r="KMC25" s="5"/>
      <c r="KMD25" s="5"/>
      <c r="KME25" s="5"/>
      <c r="KMF25" s="5"/>
      <c r="KMG25" s="5"/>
      <c r="KMH25" s="5"/>
      <c r="KMI25" s="5"/>
      <c r="KMJ25" s="5"/>
      <c r="KMK25" s="5"/>
      <c r="KML25" s="5"/>
      <c r="KMM25" s="5"/>
      <c r="KMN25" s="5"/>
      <c r="KMO25" s="5"/>
      <c r="KMP25" s="5"/>
      <c r="KMQ25" s="5"/>
      <c r="KMR25" s="5"/>
      <c r="KMS25" s="5"/>
      <c r="KMT25" s="5"/>
      <c r="KMU25" s="5"/>
      <c r="KMV25" s="5"/>
      <c r="KMW25" s="5"/>
      <c r="KMX25" s="5"/>
      <c r="KMY25" s="5"/>
      <c r="KMZ25" s="5"/>
      <c r="KNA25" s="5"/>
      <c r="KNB25" s="5"/>
      <c r="KNC25" s="5"/>
      <c r="KND25" s="5"/>
      <c r="KNE25" s="5"/>
      <c r="KNF25" s="5"/>
      <c r="KNG25" s="5"/>
      <c r="KNH25" s="5"/>
      <c r="KNI25" s="5"/>
      <c r="KNJ25" s="5"/>
      <c r="KNK25" s="5"/>
      <c r="KNL25" s="5"/>
      <c r="KNM25" s="5"/>
      <c r="KNN25" s="5"/>
      <c r="KNO25" s="5"/>
      <c r="KNP25" s="5"/>
      <c r="KNQ25" s="5"/>
      <c r="KNR25" s="5"/>
      <c r="KNS25" s="5"/>
      <c r="KNT25" s="5"/>
      <c r="KNU25" s="5"/>
      <c r="KNV25" s="5"/>
      <c r="KNW25" s="5"/>
      <c r="KNX25" s="5"/>
      <c r="KNY25" s="5"/>
      <c r="KNZ25" s="5"/>
      <c r="KOA25" s="5"/>
      <c r="KOB25" s="5"/>
      <c r="KOC25" s="5"/>
      <c r="KOD25" s="5"/>
      <c r="KOE25" s="5"/>
      <c r="KOF25" s="5"/>
      <c r="KOG25" s="5"/>
      <c r="KOH25" s="5"/>
      <c r="KOI25" s="5"/>
      <c r="KOJ25" s="5"/>
      <c r="KOK25" s="5"/>
      <c r="KOL25" s="5"/>
      <c r="KOM25" s="5"/>
      <c r="KON25" s="5"/>
      <c r="KOO25" s="5"/>
      <c r="KOP25" s="5"/>
      <c r="KOQ25" s="5"/>
      <c r="KOR25" s="5"/>
      <c r="KOS25" s="5"/>
      <c r="KOT25" s="5"/>
      <c r="KOU25" s="5"/>
      <c r="KOV25" s="5"/>
      <c r="KOW25" s="5"/>
      <c r="KOX25" s="5"/>
      <c r="KOY25" s="5"/>
      <c r="KOZ25" s="5"/>
      <c r="KPA25" s="5"/>
      <c r="KPB25" s="5"/>
      <c r="KPC25" s="5"/>
      <c r="KPD25" s="5"/>
      <c r="KPE25" s="5"/>
      <c r="KPF25" s="5"/>
      <c r="KPG25" s="5"/>
      <c r="KPH25" s="5"/>
      <c r="KPI25" s="5"/>
      <c r="KPJ25" s="5"/>
      <c r="KPK25" s="5"/>
      <c r="KPL25" s="5"/>
      <c r="KPM25" s="5"/>
      <c r="KPN25" s="5"/>
      <c r="KPO25" s="5"/>
      <c r="KPP25" s="5"/>
      <c r="KPQ25" s="5"/>
      <c r="KPR25" s="5"/>
      <c r="KPS25" s="5"/>
      <c r="KPT25" s="5"/>
      <c r="KPU25" s="5"/>
      <c r="KPV25" s="5"/>
      <c r="KPW25" s="5"/>
      <c r="KPX25" s="5"/>
      <c r="KPY25" s="5"/>
      <c r="KPZ25" s="5"/>
      <c r="KQA25" s="5"/>
      <c r="KQB25" s="5"/>
      <c r="KQC25" s="5"/>
      <c r="KQD25" s="5"/>
      <c r="KQE25" s="5"/>
      <c r="KQF25" s="5"/>
      <c r="KQG25" s="5"/>
      <c r="KQH25" s="5"/>
      <c r="KQI25" s="5"/>
      <c r="KQJ25" s="5"/>
      <c r="KQK25" s="5"/>
      <c r="KQL25" s="5"/>
      <c r="KQM25" s="5"/>
      <c r="KQN25" s="5"/>
      <c r="KQO25" s="5"/>
      <c r="KQP25" s="5"/>
      <c r="KQQ25" s="5"/>
      <c r="KQR25" s="5"/>
      <c r="KQS25" s="5"/>
      <c r="KQT25" s="5"/>
      <c r="KQU25" s="5"/>
      <c r="KQV25" s="5"/>
      <c r="KQW25" s="5"/>
      <c r="KQX25" s="5"/>
      <c r="KQY25" s="5"/>
      <c r="KQZ25" s="5"/>
      <c r="KRA25" s="5"/>
      <c r="KRB25" s="5"/>
      <c r="KRC25" s="5"/>
      <c r="KRD25" s="5"/>
      <c r="KRE25" s="5"/>
      <c r="KRF25" s="5"/>
      <c r="KRG25" s="5"/>
      <c r="KRH25" s="5"/>
      <c r="KRI25" s="5"/>
      <c r="KRJ25" s="5"/>
      <c r="KRK25" s="5"/>
      <c r="KRL25" s="5"/>
      <c r="KRM25" s="5"/>
      <c r="KRN25" s="5"/>
      <c r="KRO25" s="5"/>
      <c r="KRP25" s="5"/>
      <c r="KRQ25" s="5"/>
      <c r="KRR25" s="5"/>
      <c r="KRS25" s="5"/>
      <c r="KRT25" s="5"/>
      <c r="KRU25" s="5"/>
      <c r="KRV25" s="5"/>
      <c r="KRW25" s="5"/>
      <c r="KRX25" s="5"/>
      <c r="KRY25" s="5"/>
      <c r="KRZ25" s="5"/>
      <c r="KSA25" s="5"/>
      <c r="KSB25" s="5"/>
      <c r="KSC25" s="5"/>
      <c r="KSD25" s="5"/>
      <c r="KSE25" s="5"/>
      <c r="KSF25" s="5"/>
      <c r="KSG25" s="5"/>
      <c r="KSH25" s="5"/>
      <c r="KSI25" s="5"/>
      <c r="KSJ25" s="5"/>
      <c r="KSK25" s="5"/>
      <c r="KSL25" s="5"/>
      <c r="KSM25" s="5"/>
      <c r="KSN25" s="5"/>
      <c r="KSO25" s="5"/>
      <c r="KSP25" s="5"/>
      <c r="KSQ25" s="5"/>
      <c r="KSR25" s="5"/>
      <c r="KSS25" s="5"/>
      <c r="KST25" s="5"/>
      <c r="KSU25" s="5"/>
      <c r="KSV25" s="5"/>
      <c r="KSW25" s="5"/>
      <c r="KSX25" s="5"/>
      <c r="KSY25" s="5"/>
      <c r="KSZ25" s="5"/>
      <c r="KTA25" s="5"/>
      <c r="KTB25" s="5"/>
      <c r="KTC25" s="5"/>
      <c r="KTD25" s="5"/>
      <c r="KTE25" s="5"/>
      <c r="KTF25" s="5"/>
      <c r="KTG25" s="5"/>
      <c r="KTH25" s="5"/>
      <c r="KTI25" s="5"/>
      <c r="KTJ25" s="5"/>
      <c r="KTK25" s="5"/>
      <c r="KTL25" s="5"/>
      <c r="KTM25" s="5"/>
      <c r="KTN25" s="5"/>
      <c r="KTO25" s="5"/>
      <c r="KTP25" s="5"/>
      <c r="KTQ25" s="5"/>
      <c r="KTR25" s="5"/>
      <c r="KTS25" s="5"/>
      <c r="KTT25" s="5"/>
      <c r="KTU25" s="5"/>
      <c r="KTV25" s="5"/>
      <c r="KTW25" s="5"/>
      <c r="KTX25" s="5"/>
      <c r="KTY25" s="5"/>
      <c r="KTZ25" s="5"/>
      <c r="KUA25" s="5"/>
      <c r="KUB25" s="5"/>
      <c r="KUC25" s="5"/>
      <c r="KUD25" s="5"/>
      <c r="KUE25" s="5"/>
      <c r="KUF25" s="5"/>
      <c r="KUG25" s="5"/>
      <c r="KUH25" s="5"/>
      <c r="KUI25" s="5"/>
      <c r="KUJ25" s="5"/>
      <c r="KUK25" s="5"/>
      <c r="KUL25" s="5"/>
      <c r="KUM25" s="5"/>
      <c r="KUN25" s="5"/>
      <c r="KUO25" s="5"/>
      <c r="KUP25" s="5"/>
      <c r="KUQ25" s="5"/>
      <c r="KUR25" s="5"/>
      <c r="KUS25" s="5"/>
      <c r="KUT25" s="5"/>
      <c r="KUU25" s="5"/>
      <c r="KUV25" s="5"/>
      <c r="KUW25" s="5"/>
      <c r="KUX25" s="5"/>
      <c r="KUY25" s="5"/>
      <c r="KUZ25" s="5"/>
      <c r="KVA25" s="5"/>
      <c r="KVB25" s="5"/>
      <c r="KVC25" s="5"/>
      <c r="KVD25" s="5"/>
      <c r="KVE25" s="5"/>
      <c r="KVF25" s="5"/>
      <c r="KVG25" s="5"/>
      <c r="KVH25" s="5"/>
      <c r="KVI25" s="5"/>
      <c r="KVJ25" s="5"/>
      <c r="KVK25" s="5"/>
      <c r="KVL25" s="5"/>
      <c r="KVM25" s="5"/>
      <c r="KVN25" s="5"/>
      <c r="KVO25" s="5"/>
      <c r="KVP25" s="5"/>
      <c r="KVQ25" s="5"/>
      <c r="KVR25" s="5"/>
      <c r="KVS25" s="5"/>
      <c r="KVT25" s="5"/>
      <c r="KVU25" s="5"/>
      <c r="KVV25" s="5"/>
      <c r="KVW25" s="5"/>
      <c r="KVX25" s="5"/>
      <c r="KVY25" s="5"/>
      <c r="KVZ25" s="5"/>
      <c r="KWA25" s="5"/>
      <c r="KWB25" s="5"/>
      <c r="KWC25" s="5"/>
      <c r="KWD25" s="5"/>
      <c r="KWE25" s="5"/>
      <c r="KWF25" s="5"/>
      <c r="KWG25" s="5"/>
      <c r="KWH25" s="5"/>
      <c r="KWI25" s="5"/>
      <c r="KWJ25" s="5"/>
      <c r="KWK25" s="5"/>
      <c r="KWL25" s="5"/>
      <c r="KWM25" s="5"/>
      <c r="KWN25" s="5"/>
      <c r="KWO25" s="5"/>
      <c r="KWP25" s="5"/>
      <c r="KWQ25" s="5"/>
      <c r="KWR25" s="5"/>
      <c r="KWS25" s="5"/>
      <c r="KWT25" s="5"/>
      <c r="KWU25" s="5"/>
      <c r="KWV25" s="5"/>
      <c r="KWW25" s="5"/>
      <c r="KWX25" s="5"/>
      <c r="KWY25" s="5"/>
      <c r="KWZ25" s="5"/>
      <c r="KXA25" s="5"/>
      <c r="KXB25" s="5"/>
      <c r="KXC25" s="5"/>
      <c r="KXD25" s="5"/>
      <c r="KXE25" s="5"/>
      <c r="KXF25" s="5"/>
      <c r="KXG25" s="5"/>
      <c r="KXH25" s="5"/>
      <c r="KXI25" s="5"/>
      <c r="KXJ25" s="5"/>
      <c r="KXK25" s="5"/>
      <c r="KXL25" s="5"/>
      <c r="KXM25" s="5"/>
      <c r="KXN25" s="5"/>
      <c r="KXO25" s="5"/>
      <c r="KXP25" s="5"/>
      <c r="KXQ25" s="5"/>
      <c r="KXR25" s="5"/>
      <c r="KXS25" s="5"/>
      <c r="KXT25" s="5"/>
      <c r="KXU25" s="5"/>
      <c r="KXV25" s="5"/>
      <c r="KXW25" s="5"/>
      <c r="KXX25" s="5"/>
      <c r="KXY25" s="5"/>
      <c r="KXZ25" s="5"/>
      <c r="KYA25" s="5"/>
      <c r="KYB25" s="5"/>
      <c r="KYC25" s="5"/>
      <c r="KYD25" s="5"/>
      <c r="KYE25" s="5"/>
      <c r="KYF25" s="5"/>
      <c r="KYG25" s="5"/>
      <c r="KYH25" s="5"/>
      <c r="KYI25" s="5"/>
      <c r="KYJ25" s="5"/>
      <c r="KYK25" s="5"/>
      <c r="KYL25" s="5"/>
      <c r="KYM25" s="5"/>
      <c r="KYN25" s="5"/>
      <c r="KYO25" s="5"/>
      <c r="KYP25" s="5"/>
      <c r="KYQ25" s="5"/>
      <c r="KYR25" s="5"/>
      <c r="KYS25" s="5"/>
      <c r="KYT25" s="5"/>
      <c r="KYU25" s="5"/>
      <c r="KYV25" s="5"/>
      <c r="KYW25" s="5"/>
      <c r="KYX25" s="5"/>
      <c r="KYY25" s="5"/>
      <c r="KYZ25" s="5"/>
      <c r="KZA25" s="5"/>
      <c r="KZB25" s="5"/>
      <c r="KZC25" s="5"/>
      <c r="KZD25" s="5"/>
      <c r="KZE25" s="5"/>
      <c r="KZF25" s="5"/>
      <c r="KZG25" s="5"/>
      <c r="KZH25" s="5"/>
      <c r="KZI25" s="5"/>
      <c r="KZJ25" s="5"/>
      <c r="KZK25" s="5"/>
      <c r="KZL25" s="5"/>
      <c r="KZM25" s="5"/>
      <c r="KZN25" s="5"/>
      <c r="KZO25" s="5"/>
      <c r="KZP25" s="5"/>
      <c r="KZQ25" s="5"/>
      <c r="KZR25" s="5"/>
      <c r="KZS25" s="5"/>
      <c r="KZT25" s="5"/>
      <c r="KZU25" s="5"/>
      <c r="KZV25" s="5"/>
      <c r="KZW25" s="5"/>
      <c r="KZX25" s="5"/>
      <c r="KZY25" s="5"/>
      <c r="KZZ25" s="5"/>
      <c r="LAA25" s="5"/>
      <c r="LAB25" s="5"/>
      <c r="LAC25" s="5"/>
      <c r="LAD25" s="5"/>
      <c r="LAE25" s="5"/>
      <c r="LAF25" s="5"/>
      <c r="LAG25" s="5"/>
      <c r="LAH25" s="5"/>
      <c r="LAI25" s="5"/>
      <c r="LAJ25" s="5"/>
      <c r="LAK25" s="5"/>
      <c r="LAL25" s="5"/>
      <c r="LAM25" s="5"/>
      <c r="LAN25" s="5"/>
      <c r="LAO25" s="5"/>
      <c r="LAP25" s="5"/>
      <c r="LAQ25" s="5"/>
      <c r="LAR25" s="5"/>
      <c r="LAS25" s="5"/>
      <c r="LAT25" s="5"/>
      <c r="LAU25" s="5"/>
      <c r="LAV25" s="5"/>
      <c r="LAW25" s="5"/>
      <c r="LAX25" s="5"/>
      <c r="LAY25" s="5"/>
      <c r="LAZ25" s="5"/>
      <c r="LBA25" s="5"/>
      <c r="LBB25" s="5"/>
      <c r="LBC25" s="5"/>
      <c r="LBD25" s="5"/>
      <c r="LBE25" s="5"/>
      <c r="LBF25" s="5"/>
      <c r="LBG25" s="5"/>
      <c r="LBH25" s="5"/>
      <c r="LBI25" s="5"/>
      <c r="LBJ25" s="5"/>
      <c r="LBK25" s="5"/>
      <c r="LBL25" s="5"/>
      <c r="LBM25" s="5"/>
      <c r="LBN25" s="5"/>
      <c r="LBO25" s="5"/>
      <c r="LBP25" s="5"/>
      <c r="LBQ25" s="5"/>
      <c r="LBR25" s="5"/>
      <c r="LBS25" s="5"/>
      <c r="LBT25" s="5"/>
      <c r="LBU25" s="5"/>
      <c r="LBV25" s="5"/>
      <c r="LBW25" s="5"/>
      <c r="LBX25" s="5"/>
      <c r="LBY25" s="5"/>
      <c r="LBZ25" s="5"/>
      <c r="LCA25" s="5"/>
      <c r="LCB25" s="5"/>
      <c r="LCC25" s="5"/>
      <c r="LCD25" s="5"/>
      <c r="LCE25" s="5"/>
      <c r="LCF25" s="5"/>
      <c r="LCG25" s="5"/>
      <c r="LCH25" s="5"/>
      <c r="LCI25" s="5"/>
      <c r="LCJ25" s="5"/>
      <c r="LCK25" s="5"/>
      <c r="LCL25" s="5"/>
      <c r="LCM25" s="5"/>
      <c r="LCN25" s="5"/>
      <c r="LCO25" s="5"/>
      <c r="LCP25" s="5"/>
      <c r="LCQ25" s="5"/>
      <c r="LCR25" s="5"/>
      <c r="LCS25" s="5"/>
      <c r="LCT25" s="5"/>
      <c r="LCU25" s="5"/>
      <c r="LCV25" s="5"/>
      <c r="LCW25" s="5"/>
      <c r="LCX25" s="5"/>
      <c r="LCY25" s="5"/>
      <c r="LCZ25" s="5"/>
      <c r="LDA25" s="5"/>
      <c r="LDB25" s="5"/>
      <c r="LDC25" s="5"/>
      <c r="LDD25" s="5"/>
      <c r="LDE25" s="5"/>
      <c r="LDF25" s="5"/>
      <c r="LDG25" s="5"/>
      <c r="LDH25" s="5"/>
      <c r="LDI25" s="5"/>
      <c r="LDJ25" s="5"/>
      <c r="LDK25" s="5"/>
      <c r="LDL25" s="5"/>
      <c r="LDM25" s="5"/>
      <c r="LDN25" s="5"/>
      <c r="LDO25" s="5"/>
      <c r="LDP25" s="5"/>
      <c r="LDQ25" s="5"/>
      <c r="LDR25" s="5"/>
      <c r="LDS25" s="5"/>
      <c r="LDT25" s="5"/>
      <c r="LDU25" s="5"/>
      <c r="LDV25" s="5"/>
      <c r="LDW25" s="5"/>
      <c r="LDX25" s="5"/>
      <c r="LDY25" s="5"/>
      <c r="LDZ25" s="5"/>
      <c r="LEA25" s="5"/>
      <c r="LEB25" s="5"/>
      <c r="LEC25" s="5"/>
      <c r="LED25" s="5"/>
      <c r="LEE25" s="5"/>
      <c r="LEF25" s="5"/>
      <c r="LEG25" s="5"/>
      <c r="LEH25" s="5"/>
      <c r="LEI25" s="5"/>
      <c r="LEJ25" s="5"/>
      <c r="LEK25" s="5"/>
      <c r="LEL25" s="5"/>
      <c r="LEM25" s="5"/>
      <c r="LEN25" s="5"/>
      <c r="LEO25" s="5"/>
      <c r="LEP25" s="5"/>
      <c r="LEQ25" s="5"/>
      <c r="LER25" s="5"/>
      <c r="LES25" s="5"/>
      <c r="LET25" s="5"/>
      <c r="LEU25" s="5"/>
      <c r="LEV25" s="5"/>
      <c r="LEW25" s="5"/>
      <c r="LEX25" s="5"/>
      <c r="LEY25" s="5"/>
      <c r="LEZ25" s="5"/>
      <c r="LFA25" s="5"/>
      <c r="LFB25" s="5"/>
      <c r="LFC25" s="5"/>
      <c r="LFD25" s="5"/>
      <c r="LFE25" s="5"/>
      <c r="LFF25" s="5"/>
      <c r="LFG25" s="5"/>
      <c r="LFH25" s="5"/>
      <c r="LFI25" s="5"/>
      <c r="LFJ25" s="5"/>
      <c r="LFK25" s="5"/>
      <c r="LFL25" s="5"/>
      <c r="LFM25" s="5"/>
      <c r="LFN25" s="5"/>
      <c r="LFO25" s="5"/>
      <c r="LFP25" s="5"/>
      <c r="LFQ25" s="5"/>
      <c r="LFR25" s="5"/>
      <c r="LFS25" s="5"/>
      <c r="LFT25" s="5"/>
      <c r="LFU25" s="5"/>
      <c r="LFV25" s="5"/>
      <c r="LFW25" s="5"/>
      <c r="LFX25" s="5"/>
      <c r="LFY25" s="5"/>
      <c r="LFZ25" s="5"/>
      <c r="LGA25" s="5"/>
      <c r="LGB25" s="5"/>
      <c r="LGC25" s="5"/>
      <c r="LGD25" s="5"/>
      <c r="LGE25" s="5"/>
      <c r="LGF25" s="5"/>
      <c r="LGG25" s="5"/>
      <c r="LGH25" s="5"/>
      <c r="LGI25" s="5"/>
      <c r="LGJ25" s="5"/>
      <c r="LGK25" s="5"/>
      <c r="LGL25" s="5"/>
      <c r="LGM25" s="5"/>
      <c r="LGN25" s="5"/>
      <c r="LGO25" s="5"/>
      <c r="LGP25" s="5"/>
      <c r="LGQ25" s="5"/>
      <c r="LGR25" s="5"/>
      <c r="LGS25" s="5"/>
      <c r="LGT25" s="5"/>
      <c r="LGU25" s="5"/>
      <c r="LGV25" s="5"/>
      <c r="LGW25" s="5"/>
      <c r="LGX25" s="5"/>
      <c r="LGY25" s="5"/>
      <c r="LGZ25" s="5"/>
      <c r="LHA25" s="5"/>
      <c r="LHB25" s="5"/>
      <c r="LHC25" s="5"/>
      <c r="LHD25" s="5"/>
      <c r="LHE25" s="5"/>
      <c r="LHF25" s="5"/>
      <c r="LHG25" s="5"/>
      <c r="LHH25" s="5"/>
      <c r="LHI25" s="5"/>
      <c r="LHJ25" s="5"/>
      <c r="LHK25" s="5"/>
      <c r="LHL25" s="5"/>
      <c r="LHM25" s="5"/>
      <c r="LHN25" s="5"/>
      <c r="LHO25" s="5"/>
      <c r="LHP25" s="5"/>
      <c r="LHQ25" s="5"/>
      <c r="LHR25" s="5"/>
      <c r="LHS25" s="5"/>
      <c r="LHT25" s="5"/>
      <c r="LHU25" s="5"/>
      <c r="LHV25" s="5"/>
      <c r="LHW25" s="5"/>
      <c r="LHX25" s="5"/>
      <c r="LHY25" s="5"/>
      <c r="LHZ25" s="5"/>
      <c r="LIA25" s="5"/>
      <c r="LIB25" s="5"/>
      <c r="LIC25" s="5"/>
      <c r="LID25" s="5"/>
      <c r="LIE25" s="5"/>
      <c r="LIF25" s="5"/>
      <c r="LIG25" s="5"/>
      <c r="LIH25" s="5"/>
      <c r="LII25" s="5"/>
      <c r="LIJ25" s="5"/>
      <c r="LIK25" s="5"/>
      <c r="LIL25" s="5"/>
      <c r="LIM25" s="5"/>
      <c r="LIN25" s="5"/>
      <c r="LIO25" s="5"/>
      <c r="LIP25" s="5"/>
      <c r="LIQ25" s="5"/>
      <c r="LIR25" s="5"/>
      <c r="LIS25" s="5"/>
      <c r="LIT25" s="5"/>
      <c r="LIU25" s="5"/>
      <c r="LIV25" s="5"/>
      <c r="LIW25" s="5"/>
      <c r="LIX25" s="5"/>
      <c r="LIY25" s="5"/>
      <c r="LIZ25" s="5"/>
      <c r="LJA25" s="5"/>
      <c r="LJB25" s="5"/>
      <c r="LJC25" s="5"/>
      <c r="LJD25" s="5"/>
      <c r="LJE25" s="5"/>
      <c r="LJF25" s="5"/>
      <c r="LJG25" s="5"/>
      <c r="LJH25" s="5"/>
      <c r="LJI25" s="5"/>
      <c r="LJJ25" s="5"/>
      <c r="LJK25" s="5"/>
      <c r="LJL25" s="5"/>
      <c r="LJM25" s="5"/>
      <c r="LJN25" s="5"/>
      <c r="LJO25" s="5"/>
      <c r="LJP25" s="5"/>
      <c r="LJQ25" s="5"/>
      <c r="LJR25" s="5"/>
      <c r="LJS25" s="5"/>
      <c r="LJT25" s="5"/>
      <c r="LJU25" s="5"/>
      <c r="LJV25" s="5"/>
      <c r="LJW25" s="5"/>
      <c r="LJX25" s="5"/>
      <c r="LJY25" s="5"/>
      <c r="LJZ25" s="5"/>
      <c r="LKA25" s="5"/>
      <c r="LKB25" s="5"/>
      <c r="LKC25" s="5"/>
      <c r="LKD25" s="5"/>
      <c r="LKE25" s="5"/>
      <c r="LKF25" s="5"/>
      <c r="LKG25" s="5"/>
      <c r="LKH25" s="5"/>
      <c r="LKI25" s="5"/>
      <c r="LKJ25" s="5"/>
      <c r="LKK25" s="5"/>
      <c r="LKL25" s="5"/>
      <c r="LKM25" s="5"/>
      <c r="LKN25" s="5"/>
      <c r="LKO25" s="5"/>
      <c r="LKP25" s="5"/>
      <c r="LKQ25" s="5"/>
      <c r="LKR25" s="5"/>
      <c r="LKS25" s="5"/>
      <c r="LKT25" s="5"/>
      <c r="LKU25" s="5"/>
      <c r="LKV25" s="5"/>
      <c r="LKW25" s="5"/>
      <c r="LKX25" s="5"/>
      <c r="LKY25" s="5"/>
      <c r="LKZ25" s="5"/>
      <c r="LLA25" s="5"/>
      <c r="LLB25" s="5"/>
      <c r="LLC25" s="5"/>
      <c r="LLD25" s="5"/>
      <c r="LLE25" s="5"/>
      <c r="LLF25" s="5"/>
      <c r="LLG25" s="5"/>
      <c r="LLH25" s="5"/>
      <c r="LLI25" s="5"/>
      <c r="LLJ25" s="5"/>
      <c r="LLK25" s="5"/>
      <c r="LLL25" s="5"/>
      <c r="LLM25" s="5"/>
      <c r="LLN25" s="5"/>
      <c r="LLO25" s="5"/>
      <c r="LLP25" s="5"/>
      <c r="LLQ25" s="5"/>
      <c r="LLR25" s="5"/>
      <c r="LLS25" s="5"/>
      <c r="LLT25" s="5"/>
      <c r="LLU25" s="5"/>
      <c r="LLV25" s="5"/>
      <c r="LLW25" s="5"/>
      <c r="LLX25" s="5"/>
      <c r="LLY25" s="5"/>
      <c r="LLZ25" s="5"/>
      <c r="LMA25" s="5"/>
      <c r="LMB25" s="5"/>
      <c r="LMC25" s="5"/>
      <c r="LMD25" s="5"/>
      <c r="LME25" s="5"/>
      <c r="LMF25" s="5"/>
      <c r="LMG25" s="5"/>
      <c r="LMH25" s="5"/>
      <c r="LMI25" s="5"/>
      <c r="LMJ25" s="5"/>
      <c r="LMK25" s="5"/>
      <c r="LML25" s="5"/>
      <c r="LMM25" s="5"/>
      <c r="LMN25" s="5"/>
      <c r="LMO25" s="5"/>
      <c r="LMP25" s="5"/>
      <c r="LMQ25" s="5"/>
      <c r="LMR25" s="5"/>
      <c r="LMS25" s="5"/>
      <c r="LMT25" s="5"/>
      <c r="LMU25" s="5"/>
      <c r="LMV25" s="5"/>
      <c r="LMW25" s="5"/>
      <c r="LMX25" s="5"/>
      <c r="LMY25" s="5"/>
      <c r="LMZ25" s="5"/>
      <c r="LNA25" s="5"/>
      <c r="LNB25" s="5"/>
      <c r="LNC25" s="5"/>
      <c r="LND25" s="5"/>
      <c r="LNE25" s="5"/>
      <c r="LNF25" s="5"/>
      <c r="LNG25" s="5"/>
      <c r="LNH25" s="5"/>
      <c r="LNI25" s="5"/>
      <c r="LNJ25" s="5"/>
      <c r="LNK25" s="5"/>
      <c r="LNL25" s="5"/>
      <c r="LNM25" s="5"/>
      <c r="LNN25" s="5"/>
      <c r="LNO25" s="5"/>
      <c r="LNP25" s="5"/>
      <c r="LNQ25" s="5"/>
      <c r="LNR25" s="5"/>
      <c r="LNS25" s="5"/>
      <c r="LNT25" s="5"/>
      <c r="LNU25" s="5"/>
      <c r="LNV25" s="5"/>
      <c r="LNW25" s="5"/>
      <c r="LNX25" s="5"/>
      <c r="LNY25" s="5"/>
      <c r="LNZ25" s="5"/>
      <c r="LOA25" s="5"/>
      <c r="LOB25" s="5"/>
      <c r="LOC25" s="5"/>
      <c r="LOD25" s="5"/>
      <c r="LOE25" s="5"/>
      <c r="LOF25" s="5"/>
      <c r="LOG25" s="5"/>
      <c r="LOH25" s="5"/>
      <c r="LOI25" s="5"/>
      <c r="LOJ25" s="5"/>
      <c r="LOK25" s="5"/>
      <c r="LOL25" s="5"/>
      <c r="LOM25" s="5"/>
      <c r="LON25" s="5"/>
      <c r="LOO25" s="5"/>
      <c r="LOP25" s="5"/>
      <c r="LOQ25" s="5"/>
      <c r="LOR25" s="5"/>
      <c r="LOS25" s="5"/>
      <c r="LOT25" s="5"/>
      <c r="LOU25" s="5"/>
      <c r="LOV25" s="5"/>
      <c r="LOW25" s="5"/>
      <c r="LOX25" s="5"/>
      <c r="LOY25" s="5"/>
      <c r="LOZ25" s="5"/>
      <c r="LPA25" s="5"/>
      <c r="LPB25" s="5"/>
      <c r="LPC25" s="5"/>
      <c r="LPD25" s="5"/>
      <c r="LPE25" s="5"/>
      <c r="LPF25" s="5"/>
      <c r="LPG25" s="5"/>
      <c r="LPH25" s="5"/>
      <c r="LPI25" s="5"/>
      <c r="LPJ25" s="5"/>
      <c r="LPK25" s="5"/>
      <c r="LPL25" s="5"/>
      <c r="LPM25" s="5"/>
      <c r="LPN25" s="5"/>
      <c r="LPO25" s="5"/>
      <c r="LPP25" s="5"/>
      <c r="LPQ25" s="5"/>
      <c r="LPR25" s="5"/>
      <c r="LPS25" s="5"/>
      <c r="LPT25" s="5"/>
      <c r="LPU25" s="5"/>
      <c r="LPV25" s="5"/>
      <c r="LPW25" s="5"/>
      <c r="LPX25" s="5"/>
      <c r="LPY25" s="5"/>
      <c r="LPZ25" s="5"/>
      <c r="LQA25" s="5"/>
      <c r="LQB25" s="5"/>
      <c r="LQC25" s="5"/>
      <c r="LQD25" s="5"/>
      <c r="LQE25" s="5"/>
      <c r="LQF25" s="5"/>
      <c r="LQG25" s="5"/>
      <c r="LQH25" s="5"/>
      <c r="LQI25" s="5"/>
      <c r="LQJ25" s="5"/>
      <c r="LQK25" s="5"/>
      <c r="LQL25" s="5"/>
      <c r="LQM25" s="5"/>
      <c r="LQN25" s="5"/>
      <c r="LQO25" s="5"/>
      <c r="LQP25" s="5"/>
      <c r="LQQ25" s="5"/>
      <c r="LQR25" s="5"/>
      <c r="LQS25" s="5"/>
      <c r="LQT25" s="5"/>
      <c r="LQU25" s="5"/>
      <c r="LQV25" s="5"/>
      <c r="LQW25" s="5"/>
      <c r="LQX25" s="5"/>
      <c r="LQY25" s="5"/>
      <c r="LQZ25" s="5"/>
      <c r="LRA25" s="5"/>
      <c r="LRB25" s="5"/>
      <c r="LRC25" s="5"/>
      <c r="LRD25" s="5"/>
      <c r="LRE25" s="5"/>
      <c r="LRF25" s="5"/>
      <c r="LRG25" s="5"/>
      <c r="LRH25" s="5"/>
      <c r="LRI25" s="5"/>
      <c r="LRJ25" s="5"/>
      <c r="LRK25" s="5"/>
      <c r="LRL25" s="5"/>
      <c r="LRM25" s="5"/>
      <c r="LRN25" s="5"/>
      <c r="LRO25" s="5"/>
      <c r="LRP25" s="5"/>
      <c r="LRQ25" s="5"/>
      <c r="LRR25" s="5"/>
      <c r="LRS25" s="5"/>
      <c r="LRT25" s="5"/>
      <c r="LRU25" s="5"/>
      <c r="LRV25" s="5"/>
      <c r="LRW25" s="5"/>
      <c r="LRX25" s="5"/>
      <c r="LRY25" s="5"/>
      <c r="LRZ25" s="5"/>
      <c r="LSA25" s="5"/>
      <c r="LSB25" s="5"/>
      <c r="LSC25" s="5"/>
      <c r="LSD25" s="5"/>
      <c r="LSE25" s="5"/>
      <c r="LSF25" s="5"/>
      <c r="LSG25" s="5"/>
      <c r="LSH25" s="5"/>
      <c r="LSI25" s="5"/>
      <c r="LSJ25" s="5"/>
      <c r="LSK25" s="5"/>
      <c r="LSL25" s="5"/>
      <c r="LSM25" s="5"/>
      <c r="LSN25" s="5"/>
      <c r="LSO25" s="5"/>
      <c r="LSP25" s="5"/>
      <c r="LSQ25" s="5"/>
      <c r="LSR25" s="5"/>
      <c r="LSS25" s="5"/>
      <c r="LST25" s="5"/>
      <c r="LSU25" s="5"/>
      <c r="LSV25" s="5"/>
      <c r="LSW25" s="5"/>
      <c r="LSX25" s="5"/>
      <c r="LSY25" s="5"/>
      <c r="LSZ25" s="5"/>
      <c r="LTA25" s="5"/>
      <c r="LTB25" s="5"/>
      <c r="LTC25" s="5"/>
      <c r="LTD25" s="5"/>
      <c r="LTE25" s="5"/>
      <c r="LTF25" s="5"/>
      <c r="LTG25" s="5"/>
      <c r="LTH25" s="5"/>
      <c r="LTI25" s="5"/>
      <c r="LTJ25" s="5"/>
      <c r="LTK25" s="5"/>
      <c r="LTL25" s="5"/>
      <c r="LTM25" s="5"/>
      <c r="LTN25" s="5"/>
      <c r="LTO25" s="5"/>
      <c r="LTP25" s="5"/>
      <c r="LTQ25" s="5"/>
      <c r="LTR25" s="5"/>
      <c r="LTS25" s="5"/>
      <c r="LTT25" s="5"/>
      <c r="LTU25" s="5"/>
      <c r="LTV25" s="5"/>
      <c r="LTW25" s="5"/>
      <c r="LTX25" s="5"/>
      <c r="LTY25" s="5"/>
      <c r="LTZ25" s="5"/>
      <c r="LUA25" s="5"/>
      <c r="LUB25" s="5"/>
      <c r="LUC25" s="5"/>
      <c r="LUD25" s="5"/>
      <c r="LUE25" s="5"/>
      <c r="LUF25" s="5"/>
      <c r="LUG25" s="5"/>
      <c r="LUH25" s="5"/>
      <c r="LUI25" s="5"/>
      <c r="LUJ25" s="5"/>
      <c r="LUK25" s="5"/>
      <c r="LUL25" s="5"/>
      <c r="LUM25" s="5"/>
      <c r="LUN25" s="5"/>
      <c r="LUO25" s="5"/>
      <c r="LUP25" s="5"/>
      <c r="LUQ25" s="5"/>
      <c r="LUR25" s="5"/>
      <c r="LUS25" s="5"/>
      <c r="LUT25" s="5"/>
      <c r="LUU25" s="5"/>
      <c r="LUV25" s="5"/>
      <c r="LUW25" s="5"/>
      <c r="LUX25" s="5"/>
      <c r="LUY25" s="5"/>
      <c r="LUZ25" s="5"/>
      <c r="LVA25" s="5"/>
      <c r="LVB25" s="5"/>
      <c r="LVC25" s="5"/>
      <c r="LVD25" s="5"/>
      <c r="LVE25" s="5"/>
      <c r="LVF25" s="5"/>
      <c r="LVG25" s="5"/>
      <c r="LVH25" s="5"/>
      <c r="LVI25" s="5"/>
      <c r="LVJ25" s="5"/>
      <c r="LVK25" s="5"/>
      <c r="LVL25" s="5"/>
      <c r="LVM25" s="5"/>
      <c r="LVN25" s="5"/>
      <c r="LVO25" s="5"/>
      <c r="LVP25" s="5"/>
      <c r="LVQ25" s="5"/>
      <c r="LVR25" s="5"/>
      <c r="LVS25" s="5"/>
      <c r="LVT25" s="5"/>
      <c r="LVU25" s="5"/>
      <c r="LVV25" s="5"/>
      <c r="LVW25" s="5"/>
      <c r="LVX25" s="5"/>
      <c r="LVY25" s="5"/>
      <c r="LVZ25" s="5"/>
      <c r="LWA25" s="5"/>
      <c r="LWB25" s="5"/>
      <c r="LWC25" s="5"/>
      <c r="LWD25" s="5"/>
      <c r="LWE25" s="5"/>
      <c r="LWF25" s="5"/>
      <c r="LWG25" s="5"/>
      <c r="LWH25" s="5"/>
      <c r="LWI25" s="5"/>
      <c r="LWJ25" s="5"/>
      <c r="LWK25" s="5"/>
      <c r="LWL25" s="5"/>
      <c r="LWM25" s="5"/>
      <c r="LWN25" s="5"/>
      <c r="LWO25" s="5"/>
      <c r="LWP25" s="5"/>
      <c r="LWQ25" s="5"/>
      <c r="LWR25" s="5"/>
      <c r="LWS25" s="5"/>
      <c r="LWT25" s="5"/>
      <c r="LWU25" s="5"/>
      <c r="LWV25" s="5"/>
      <c r="LWW25" s="5"/>
      <c r="LWX25" s="5"/>
      <c r="LWY25" s="5"/>
      <c r="LWZ25" s="5"/>
      <c r="LXA25" s="5"/>
      <c r="LXB25" s="5"/>
      <c r="LXC25" s="5"/>
      <c r="LXD25" s="5"/>
      <c r="LXE25" s="5"/>
      <c r="LXF25" s="5"/>
      <c r="LXG25" s="5"/>
      <c r="LXH25" s="5"/>
      <c r="LXI25" s="5"/>
      <c r="LXJ25" s="5"/>
      <c r="LXK25" s="5"/>
      <c r="LXL25" s="5"/>
      <c r="LXM25" s="5"/>
      <c r="LXN25" s="5"/>
      <c r="LXO25" s="5"/>
      <c r="LXP25" s="5"/>
      <c r="LXQ25" s="5"/>
      <c r="LXR25" s="5"/>
      <c r="LXS25" s="5"/>
      <c r="LXT25" s="5"/>
      <c r="LXU25" s="5"/>
      <c r="LXV25" s="5"/>
      <c r="LXW25" s="5"/>
      <c r="LXX25" s="5"/>
      <c r="LXY25" s="5"/>
      <c r="LXZ25" s="5"/>
      <c r="LYA25" s="5"/>
      <c r="LYB25" s="5"/>
      <c r="LYC25" s="5"/>
      <c r="LYD25" s="5"/>
      <c r="LYE25" s="5"/>
      <c r="LYF25" s="5"/>
      <c r="LYG25" s="5"/>
      <c r="LYH25" s="5"/>
      <c r="LYI25" s="5"/>
      <c r="LYJ25" s="5"/>
      <c r="LYK25" s="5"/>
      <c r="LYL25" s="5"/>
      <c r="LYM25" s="5"/>
      <c r="LYN25" s="5"/>
      <c r="LYO25" s="5"/>
      <c r="LYP25" s="5"/>
      <c r="LYQ25" s="5"/>
      <c r="LYR25" s="5"/>
      <c r="LYS25" s="5"/>
      <c r="LYT25" s="5"/>
      <c r="LYU25" s="5"/>
      <c r="LYV25" s="5"/>
      <c r="LYW25" s="5"/>
      <c r="LYX25" s="5"/>
      <c r="LYY25" s="5"/>
      <c r="LYZ25" s="5"/>
      <c r="LZA25" s="5"/>
      <c r="LZB25" s="5"/>
      <c r="LZC25" s="5"/>
      <c r="LZD25" s="5"/>
      <c r="LZE25" s="5"/>
      <c r="LZF25" s="5"/>
      <c r="LZG25" s="5"/>
      <c r="LZH25" s="5"/>
      <c r="LZI25" s="5"/>
      <c r="LZJ25" s="5"/>
      <c r="LZK25" s="5"/>
      <c r="LZL25" s="5"/>
      <c r="LZM25" s="5"/>
      <c r="LZN25" s="5"/>
      <c r="LZO25" s="5"/>
      <c r="LZP25" s="5"/>
      <c r="LZQ25" s="5"/>
      <c r="LZR25" s="5"/>
      <c r="LZS25" s="5"/>
      <c r="LZT25" s="5"/>
      <c r="LZU25" s="5"/>
      <c r="LZV25" s="5"/>
      <c r="LZW25" s="5"/>
      <c r="LZX25" s="5"/>
      <c r="LZY25" s="5"/>
      <c r="LZZ25" s="5"/>
      <c r="MAA25" s="5"/>
      <c r="MAB25" s="5"/>
      <c r="MAC25" s="5"/>
      <c r="MAD25" s="5"/>
      <c r="MAE25" s="5"/>
      <c r="MAF25" s="5"/>
      <c r="MAG25" s="5"/>
      <c r="MAH25" s="5"/>
      <c r="MAI25" s="5"/>
      <c r="MAJ25" s="5"/>
      <c r="MAK25" s="5"/>
      <c r="MAL25" s="5"/>
      <c r="MAM25" s="5"/>
      <c r="MAN25" s="5"/>
      <c r="MAO25" s="5"/>
      <c r="MAP25" s="5"/>
      <c r="MAQ25" s="5"/>
      <c r="MAR25" s="5"/>
      <c r="MAS25" s="5"/>
      <c r="MAT25" s="5"/>
      <c r="MAU25" s="5"/>
      <c r="MAV25" s="5"/>
      <c r="MAW25" s="5"/>
      <c r="MAX25" s="5"/>
      <c r="MAY25" s="5"/>
      <c r="MAZ25" s="5"/>
      <c r="MBA25" s="5"/>
      <c r="MBB25" s="5"/>
      <c r="MBC25" s="5"/>
      <c r="MBD25" s="5"/>
      <c r="MBE25" s="5"/>
      <c r="MBF25" s="5"/>
      <c r="MBG25" s="5"/>
      <c r="MBH25" s="5"/>
      <c r="MBI25" s="5"/>
      <c r="MBJ25" s="5"/>
      <c r="MBK25" s="5"/>
      <c r="MBL25" s="5"/>
      <c r="MBM25" s="5"/>
      <c r="MBN25" s="5"/>
      <c r="MBO25" s="5"/>
      <c r="MBP25" s="5"/>
      <c r="MBQ25" s="5"/>
      <c r="MBR25" s="5"/>
      <c r="MBS25" s="5"/>
      <c r="MBT25" s="5"/>
      <c r="MBU25" s="5"/>
      <c r="MBV25" s="5"/>
      <c r="MBW25" s="5"/>
      <c r="MBX25" s="5"/>
      <c r="MBY25" s="5"/>
      <c r="MBZ25" s="5"/>
      <c r="MCA25" s="5"/>
      <c r="MCB25" s="5"/>
      <c r="MCC25" s="5"/>
      <c r="MCD25" s="5"/>
      <c r="MCE25" s="5"/>
      <c r="MCF25" s="5"/>
      <c r="MCG25" s="5"/>
      <c r="MCH25" s="5"/>
      <c r="MCI25" s="5"/>
      <c r="MCJ25" s="5"/>
      <c r="MCK25" s="5"/>
      <c r="MCL25" s="5"/>
      <c r="MCM25" s="5"/>
      <c r="MCN25" s="5"/>
      <c r="MCO25" s="5"/>
      <c r="MCP25" s="5"/>
      <c r="MCQ25" s="5"/>
      <c r="MCR25" s="5"/>
      <c r="MCS25" s="5"/>
      <c r="MCT25" s="5"/>
      <c r="MCU25" s="5"/>
      <c r="MCV25" s="5"/>
      <c r="MCW25" s="5"/>
      <c r="MCX25" s="5"/>
      <c r="MCY25" s="5"/>
      <c r="MCZ25" s="5"/>
      <c r="MDA25" s="5"/>
      <c r="MDB25" s="5"/>
      <c r="MDC25" s="5"/>
      <c r="MDD25" s="5"/>
      <c r="MDE25" s="5"/>
      <c r="MDF25" s="5"/>
      <c r="MDG25" s="5"/>
      <c r="MDH25" s="5"/>
      <c r="MDI25" s="5"/>
      <c r="MDJ25" s="5"/>
      <c r="MDK25" s="5"/>
      <c r="MDL25" s="5"/>
      <c r="MDM25" s="5"/>
      <c r="MDN25" s="5"/>
      <c r="MDO25" s="5"/>
      <c r="MDP25" s="5"/>
      <c r="MDQ25" s="5"/>
      <c r="MDR25" s="5"/>
      <c r="MDS25" s="5"/>
      <c r="MDT25" s="5"/>
      <c r="MDU25" s="5"/>
      <c r="MDV25" s="5"/>
      <c r="MDW25" s="5"/>
      <c r="MDX25" s="5"/>
      <c r="MDY25" s="5"/>
      <c r="MDZ25" s="5"/>
      <c r="MEA25" s="5"/>
      <c r="MEB25" s="5"/>
      <c r="MEC25" s="5"/>
      <c r="MED25" s="5"/>
      <c r="MEE25" s="5"/>
      <c r="MEF25" s="5"/>
      <c r="MEG25" s="5"/>
      <c r="MEH25" s="5"/>
      <c r="MEI25" s="5"/>
      <c r="MEJ25" s="5"/>
      <c r="MEK25" s="5"/>
      <c r="MEL25" s="5"/>
      <c r="MEM25" s="5"/>
      <c r="MEN25" s="5"/>
      <c r="MEO25" s="5"/>
      <c r="MEP25" s="5"/>
      <c r="MEQ25" s="5"/>
      <c r="MER25" s="5"/>
      <c r="MES25" s="5"/>
      <c r="MET25" s="5"/>
      <c r="MEU25" s="5"/>
      <c r="MEV25" s="5"/>
      <c r="MEW25" s="5"/>
      <c r="MEX25" s="5"/>
      <c r="MEY25" s="5"/>
      <c r="MEZ25" s="5"/>
      <c r="MFA25" s="5"/>
      <c r="MFB25" s="5"/>
      <c r="MFC25" s="5"/>
      <c r="MFD25" s="5"/>
      <c r="MFE25" s="5"/>
      <c r="MFF25" s="5"/>
      <c r="MFG25" s="5"/>
      <c r="MFH25" s="5"/>
      <c r="MFI25" s="5"/>
      <c r="MFJ25" s="5"/>
      <c r="MFK25" s="5"/>
      <c r="MFL25" s="5"/>
      <c r="MFM25" s="5"/>
      <c r="MFN25" s="5"/>
      <c r="MFO25" s="5"/>
      <c r="MFP25" s="5"/>
      <c r="MFQ25" s="5"/>
      <c r="MFR25" s="5"/>
      <c r="MFS25" s="5"/>
      <c r="MFT25" s="5"/>
      <c r="MFU25" s="5"/>
      <c r="MFV25" s="5"/>
      <c r="MFW25" s="5"/>
      <c r="MFX25" s="5"/>
      <c r="MFY25" s="5"/>
      <c r="MFZ25" s="5"/>
      <c r="MGA25" s="5"/>
      <c r="MGB25" s="5"/>
      <c r="MGC25" s="5"/>
      <c r="MGD25" s="5"/>
      <c r="MGE25" s="5"/>
      <c r="MGF25" s="5"/>
      <c r="MGG25" s="5"/>
      <c r="MGH25" s="5"/>
      <c r="MGI25" s="5"/>
      <c r="MGJ25" s="5"/>
      <c r="MGK25" s="5"/>
      <c r="MGL25" s="5"/>
      <c r="MGM25" s="5"/>
      <c r="MGN25" s="5"/>
      <c r="MGO25" s="5"/>
      <c r="MGP25" s="5"/>
      <c r="MGQ25" s="5"/>
      <c r="MGR25" s="5"/>
      <c r="MGS25" s="5"/>
      <c r="MGT25" s="5"/>
      <c r="MGU25" s="5"/>
      <c r="MGV25" s="5"/>
      <c r="MGW25" s="5"/>
      <c r="MGX25" s="5"/>
      <c r="MGY25" s="5"/>
      <c r="MGZ25" s="5"/>
      <c r="MHA25" s="5"/>
      <c r="MHB25" s="5"/>
      <c r="MHC25" s="5"/>
      <c r="MHD25" s="5"/>
      <c r="MHE25" s="5"/>
      <c r="MHF25" s="5"/>
      <c r="MHG25" s="5"/>
      <c r="MHH25" s="5"/>
      <c r="MHI25" s="5"/>
      <c r="MHJ25" s="5"/>
      <c r="MHK25" s="5"/>
      <c r="MHL25" s="5"/>
      <c r="MHM25" s="5"/>
      <c r="MHN25" s="5"/>
      <c r="MHO25" s="5"/>
      <c r="MHP25" s="5"/>
      <c r="MHQ25" s="5"/>
      <c r="MHR25" s="5"/>
      <c r="MHS25" s="5"/>
      <c r="MHT25" s="5"/>
      <c r="MHU25" s="5"/>
      <c r="MHV25" s="5"/>
      <c r="MHW25" s="5"/>
      <c r="MHX25" s="5"/>
      <c r="MHY25" s="5"/>
      <c r="MHZ25" s="5"/>
      <c r="MIA25" s="5"/>
      <c r="MIB25" s="5"/>
      <c r="MIC25" s="5"/>
      <c r="MID25" s="5"/>
      <c r="MIE25" s="5"/>
      <c r="MIF25" s="5"/>
      <c r="MIG25" s="5"/>
      <c r="MIH25" s="5"/>
      <c r="MII25" s="5"/>
      <c r="MIJ25" s="5"/>
      <c r="MIK25" s="5"/>
      <c r="MIL25" s="5"/>
      <c r="MIM25" s="5"/>
      <c r="MIN25" s="5"/>
      <c r="MIO25" s="5"/>
      <c r="MIP25" s="5"/>
      <c r="MIQ25" s="5"/>
      <c r="MIR25" s="5"/>
      <c r="MIS25" s="5"/>
      <c r="MIT25" s="5"/>
      <c r="MIU25" s="5"/>
      <c r="MIV25" s="5"/>
      <c r="MIW25" s="5"/>
      <c r="MIX25" s="5"/>
      <c r="MIY25" s="5"/>
      <c r="MIZ25" s="5"/>
      <c r="MJA25" s="5"/>
      <c r="MJB25" s="5"/>
      <c r="MJC25" s="5"/>
      <c r="MJD25" s="5"/>
      <c r="MJE25" s="5"/>
      <c r="MJF25" s="5"/>
      <c r="MJG25" s="5"/>
      <c r="MJH25" s="5"/>
      <c r="MJI25" s="5"/>
      <c r="MJJ25" s="5"/>
      <c r="MJK25" s="5"/>
      <c r="MJL25" s="5"/>
      <c r="MJM25" s="5"/>
      <c r="MJN25" s="5"/>
      <c r="MJO25" s="5"/>
      <c r="MJP25" s="5"/>
      <c r="MJQ25" s="5"/>
      <c r="MJR25" s="5"/>
      <c r="MJS25" s="5"/>
      <c r="MJT25" s="5"/>
      <c r="MJU25" s="5"/>
      <c r="MJV25" s="5"/>
      <c r="MJW25" s="5"/>
      <c r="MJX25" s="5"/>
      <c r="MJY25" s="5"/>
      <c r="MJZ25" s="5"/>
      <c r="MKA25" s="5"/>
      <c r="MKB25" s="5"/>
      <c r="MKC25" s="5"/>
      <c r="MKD25" s="5"/>
      <c r="MKE25" s="5"/>
      <c r="MKF25" s="5"/>
      <c r="MKG25" s="5"/>
      <c r="MKH25" s="5"/>
      <c r="MKI25" s="5"/>
      <c r="MKJ25" s="5"/>
      <c r="MKK25" s="5"/>
      <c r="MKL25" s="5"/>
      <c r="MKM25" s="5"/>
      <c r="MKN25" s="5"/>
      <c r="MKO25" s="5"/>
      <c r="MKP25" s="5"/>
      <c r="MKQ25" s="5"/>
      <c r="MKR25" s="5"/>
      <c r="MKS25" s="5"/>
      <c r="MKT25" s="5"/>
      <c r="MKU25" s="5"/>
      <c r="MKV25" s="5"/>
      <c r="MKW25" s="5"/>
      <c r="MKX25" s="5"/>
      <c r="MKY25" s="5"/>
      <c r="MKZ25" s="5"/>
      <c r="MLA25" s="5"/>
      <c r="MLB25" s="5"/>
      <c r="MLC25" s="5"/>
      <c r="MLD25" s="5"/>
      <c r="MLE25" s="5"/>
      <c r="MLF25" s="5"/>
      <c r="MLG25" s="5"/>
      <c r="MLH25" s="5"/>
      <c r="MLI25" s="5"/>
      <c r="MLJ25" s="5"/>
      <c r="MLK25" s="5"/>
      <c r="MLL25" s="5"/>
      <c r="MLM25" s="5"/>
      <c r="MLN25" s="5"/>
      <c r="MLO25" s="5"/>
      <c r="MLP25" s="5"/>
      <c r="MLQ25" s="5"/>
      <c r="MLR25" s="5"/>
      <c r="MLS25" s="5"/>
      <c r="MLT25" s="5"/>
      <c r="MLU25" s="5"/>
      <c r="MLV25" s="5"/>
      <c r="MLW25" s="5"/>
      <c r="MLX25" s="5"/>
      <c r="MLY25" s="5"/>
      <c r="MLZ25" s="5"/>
      <c r="MMA25" s="5"/>
      <c r="MMB25" s="5"/>
      <c r="MMC25" s="5"/>
      <c r="MMD25" s="5"/>
      <c r="MME25" s="5"/>
      <c r="MMF25" s="5"/>
      <c r="MMG25" s="5"/>
      <c r="MMH25" s="5"/>
      <c r="MMI25" s="5"/>
      <c r="MMJ25" s="5"/>
      <c r="MMK25" s="5"/>
      <c r="MML25" s="5"/>
      <c r="MMM25" s="5"/>
      <c r="MMN25" s="5"/>
      <c r="MMO25" s="5"/>
      <c r="MMP25" s="5"/>
      <c r="MMQ25" s="5"/>
      <c r="MMR25" s="5"/>
      <c r="MMS25" s="5"/>
      <c r="MMT25" s="5"/>
      <c r="MMU25" s="5"/>
      <c r="MMV25" s="5"/>
      <c r="MMW25" s="5"/>
      <c r="MMX25" s="5"/>
      <c r="MMY25" s="5"/>
      <c r="MMZ25" s="5"/>
      <c r="MNA25" s="5"/>
      <c r="MNB25" s="5"/>
      <c r="MNC25" s="5"/>
      <c r="MND25" s="5"/>
      <c r="MNE25" s="5"/>
      <c r="MNF25" s="5"/>
      <c r="MNG25" s="5"/>
      <c r="MNH25" s="5"/>
      <c r="MNI25" s="5"/>
      <c r="MNJ25" s="5"/>
      <c r="MNK25" s="5"/>
      <c r="MNL25" s="5"/>
      <c r="MNM25" s="5"/>
      <c r="MNN25" s="5"/>
      <c r="MNO25" s="5"/>
      <c r="MNP25" s="5"/>
      <c r="MNQ25" s="5"/>
      <c r="MNR25" s="5"/>
      <c r="MNS25" s="5"/>
      <c r="MNT25" s="5"/>
      <c r="MNU25" s="5"/>
      <c r="MNV25" s="5"/>
      <c r="MNW25" s="5"/>
      <c r="MNX25" s="5"/>
      <c r="MNY25" s="5"/>
      <c r="MNZ25" s="5"/>
      <c r="MOA25" s="5"/>
      <c r="MOB25" s="5"/>
      <c r="MOC25" s="5"/>
      <c r="MOD25" s="5"/>
      <c r="MOE25" s="5"/>
      <c r="MOF25" s="5"/>
      <c r="MOG25" s="5"/>
      <c r="MOH25" s="5"/>
      <c r="MOI25" s="5"/>
      <c r="MOJ25" s="5"/>
      <c r="MOK25" s="5"/>
      <c r="MOL25" s="5"/>
      <c r="MOM25" s="5"/>
      <c r="MON25" s="5"/>
      <c r="MOO25" s="5"/>
      <c r="MOP25" s="5"/>
      <c r="MOQ25" s="5"/>
      <c r="MOR25" s="5"/>
      <c r="MOS25" s="5"/>
      <c r="MOT25" s="5"/>
      <c r="MOU25" s="5"/>
      <c r="MOV25" s="5"/>
      <c r="MOW25" s="5"/>
      <c r="MOX25" s="5"/>
      <c r="MOY25" s="5"/>
      <c r="MOZ25" s="5"/>
      <c r="MPA25" s="5"/>
      <c r="MPB25" s="5"/>
      <c r="MPC25" s="5"/>
      <c r="MPD25" s="5"/>
      <c r="MPE25" s="5"/>
      <c r="MPF25" s="5"/>
      <c r="MPG25" s="5"/>
      <c r="MPH25" s="5"/>
      <c r="MPI25" s="5"/>
      <c r="MPJ25" s="5"/>
      <c r="MPK25" s="5"/>
      <c r="MPL25" s="5"/>
      <c r="MPM25" s="5"/>
      <c r="MPN25" s="5"/>
      <c r="MPO25" s="5"/>
      <c r="MPP25" s="5"/>
      <c r="MPQ25" s="5"/>
      <c r="MPR25" s="5"/>
      <c r="MPS25" s="5"/>
      <c r="MPT25" s="5"/>
      <c r="MPU25" s="5"/>
      <c r="MPV25" s="5"/>
      <c r="MPW25" s="5"/>
      <c r="MPX25" s="5"/>
      <c r="MPY25" s="5"/>
      <c r="MPZ25" s="5"/>
      <c r="MQA25" s="5"/>
      <c r="MQB25" s="5"/>
      <c r="MQC25" s="5"/>
      <c r="MQD25" s="5"/>
      <c r="MQE25" s="5"/>
      <c r="MQF25" s="5"/>
      <c r="MQG25" s="5"/>
      <c r="MQH25" s="5"/>
      <c r="MQI25" s="5"/>
      <c r="MQJ25" s="5"/>
      <c r="MQK25" s="5"/>
      <c r="MQL25" s="5"/>
      <c r="MQM25" s="5"/>
      <c r="MQN25" s="5"/>
      <c r="MQO25" s="5"/>
      <c r="MQP25" s="5"/>
      <c r="MQQ25" s="5"/>
      <c r="MQR25" s="5"/>
      <c r="MQS25" s="5"/>
      <c r="MQT25" s="5"/>
      <c r="MQU25" s="5"/>
      <c r="MQV25" s="5"/>
      <c r="MQW25" s="5"/>
      <c r="MQX25" s="5"/>
      <c r="MQY25" s="5"/>
      <c r="MQZ25" s="5"/>
      <c r="MRA25" s="5"/>
      <c r="MRB25" s="5"/>
      <c r="MRC25" s="5"/>
      <c r="MRD25" s="5"/>
      <c r="MRE25" s="5"/>
      <c r="MRF25" s="5"/>
      <c r="MRG25" s="5"/>
      <c r="MRH25" s="5"/>
      <c r="MRI25" s="5"/>
      <c r="MRJ25" s="5"/>
      <c r="MRK25" s="5"/>
      <c r="MRL25" s="5"/>
      <c r="MRM25" s="5"/>
      <c r="MRN25" s="5"/>
      <c r="MRO25" s="5"/>
      <c r="MRP25" s="5"/>
      <c r="MRQ25" s="5"/>
      <c r="MRR25" s="5"/>
      <c r="MRS25" s="5"/>
      <c r="MRT25" s="5"/>
      <c r="MRU25" s="5"/>
      <c r="MRV25" s="5"/>
      <c r="MRW25" s="5"/>
      <c r="MRX25" s="5"/>
      <c r="MRY25" s="5"/>
      <c r="MRZ25" s="5"/>
      <c r="MSA25" s="5"/>
      <c r="MSB25" s="5"/>
      <c r="MSC25" s="5"/>
      <c r="MSD25" s="5"/>
      <c r="MSE25" s="5"/>
      <c r="MSF25" s="5"/>
      <c r="MSG25" s="5"/>
      <c r="MSH25" s="5"/>
      <c r="MSI25" s="5"/>
      <c r="MSJ25" s="5"/>
      <c r="MSK25" s="5"/>
      <c r="MSL25" s="5"/>
      <c r="MSM25" s="5"/>
      <c r="MSN25" s="5"/>
      <c r="MSO25" s="5"/>
      <c r="MSP25" s="5"/>
      <c r="MSQ25" s="5"/>
      <c r="MSR25" s="5"/>
      <c r="MSS25" s="5"/>
      <c r="MST25" s="5"/>
      <c r="MSU25" s="5"/>
      <c r="MSV25" s="5"/>
      <c r="MSW25" s="5"/>
      <c r="MSX25" s="5"/>
      <c r="MSY25" s="5"/>
      <c r="MSZ25" s="5"/>
      <c r="MTA25" s="5"/>
      <c r="MTB25" s="5"/>
      <c r="MTC25" s="5"/>
      <c r="MTD25" s="5"/>
      <c r="MTE25" s="5"/>
      <c r="MTF25" s="5"/>
      <c r="MTG25" s="5"/>
      <c r="MTH25" s="5"/>
      <c r="MTI25" s="5"/>
      <c r="MTJ25" s="5"/>
      <c r="MTK25" s="5"/>
      <c r="MTL25" s="5"/>
      <c r="MTM25" s="5"/>
      <c r="MTN25" s="5"/>
      <c r="MTO25" s="5"/>
      <c r="MTP25" s="5"/>
      <c r="MTQ25" s="5"/>
      <c r="MTR25" s="5"/>
      <c r="MTS25" s="5"/>
      <c r="MTT25" s="5"/>
      <c r="MTU25" s="5"/>
      <c r="MTV25" s="5"/>
      <c r="MTW25" s="5"/>
      <c r="MTX25" s="5"/>
      <c r="MTY25" s="5"/>
      <c r="MTZ25" s="5"/>
      <c r="MUA25" s="5"/>
      <c r="MUB25" s="5"/>
      <c r="MUC25" s="5"/>
      <c r="MUD25" s="5"/>
      <c r="MUE25" s="5"/>
      <c r="MUF25" s="5"/>
      <c r="MUG25" s="5"/>
      <c r="MUH25" s="5"/>
      <c r="MUI25" s="5"/>
      <c r="MUJ25" s="5"/>
      <c r="MUK25" s="5"/>
      <c r="MUL25" s="5"/>
      <c r="MUM25" s="5"/>
      <c r="MUN25" s="5"/>
      <c r="MUO25" s="5"/>
      <c r="MUP25" s="5"/>
      <c r="MUQ25" s="5"/>
      <c r="MUR25" s="5"/>
      <c r="MUS25" s="5"/>
      <c r="MUT25" s="5"/>
      <c r="MUU25" s="5"/>
      <c r="MUV25" s="5"/>
      <c r="MUW25" s="5"/>
      <c r="MUX25" s="5"/>
      <c r="MUY25" s="5"/>
      <c r="MUZ25" s="5"/>
      <c r="MVA25" s="5"/>
      <c r="MVB25" s="5"/>
      <c r="MVC25" s="5"/>
      <c r="MVD25" s="5"/>
      <c r="MVE25" s="5"/>
      <c r="MVF25" s="5"/>
      <c r="MVG25" s="5"/>
      <c r="MVH25" s="5"/>
      <c r="MVI25" s="5"/>
      <c r="MVJ25" s="5"/>
      <c r="MVK25" s="5"/>
      <c r="MVL25" s="5"/>
      <c r="MVM25" s="5"/>
      <c r="MVN25" s="5"/>
      <c r="MVO25" s="5"/>
      <c r="MVP25" s="5"/>
      <c r="MVQ25" s="5"/>
      <c r="MVR25" s="5"/>
      <c r="MVS25" s="5"/>
      <c r="MVT25" s="5"/>
      <c r="MVU25" s="5"/>
      <c r="MVV25" s="5"/>
      <c r="MVW25" s="5"/>
      <c r="MVX25" s="5"/>
      <c r="MVY25" s="5"/>
      <c r="MVZ25" s="5"/>
      <c r="MWA25" s="5"/>
      <c r="MWB25" s="5"/>
      <c r="MWC25" s="5"/>
      <c r="MWD25" s="5"/>
      <c r="MWE25" s="5"/>
      <c r="MWF25" s="5"/>
      <c r="MWG25" s="5"/>
      <c r="MWH25" s="5"/>
      <c r="MWI25" s="5"/>
      <c r="MWJ25" s="5"/>
      <c r="MWK25" s="5"/>
      <c r="MWL25" s="5"/>
      <c r="MWM25" s="5"/>
      <c r="MWN25" s="5"/>
      <c r="MWO25" s="5"/>
      <c r="MWP25" s="5"/>
      <c r="MWQ25" s="5"/>
      <c r="MWR25" s="5"/>
      <c r="MWS25" s="5"/>
      <c r="MWT25" s="5"/>
      <c r="MWU25" s="5"/>
      <c r="MWV25" s="5"/>
      <c r="MWW25" s="5"/>
      <c r="MWX25" s="5"/>
      <c r="MWY25" s="5"/>
      <c r="MWZ25" s="5"/>
      <c r="MXA25" s="5"/>
      <c r="MXB25" s="5"/>
      <c r="MXC25" s="5"/>
      <c r="MXD25" s="5"/>
      <c r="MXE25" s="5"/>
      <c r="MXF25" s="5"/>
      <c r="MXG25" s="5"/>
      <c r="MXH25" s="5"/>
      <c r="MXI25" s="5"/>
      <c r="MXJ25" s="5"/>
      <c r="MXK25" s="5"/>
      <c r="MXL25" s="5"/>
      <c r="MXM25" s="5"/>
      <c r="MXN25" s="5"/>
      <c r="MXO25" s="5"/>
      <c r="MXP25" s="5"/>
      <c r="MXQ25" s="5"/>
      <c r="MXR25" s="5"/>
      <c r="MXS25" s="5"/>
      <c r="MXT25" s="5"/>
      <c r="MXU25" s="5"/>
      <c r="MXV25" s="5"/>
      <c r="MXW25" s="5"/>
      <c r="MXX25" s="5"/>
      <c r="MXY25" s="5"/>
      <c r="MXZ25" s="5"/>
      <c r="MYA25" s="5"/>
      <c r="MYB25" s="5"/>
      <c r="MYC25" s="5"/>
      <c r="MYD25" s="5"/>
      <c r="MYE25" s="5"/>
      <c r="MYF25" s="5"/>
      <c r="MYG25" s="5"/>
      <c r="MYH25" s="5"/>
      <c r="MYI25" s="5"/>
      <c r="MYJ25" s="5"/>
      <c r="MYK25" s="5"/>
      <c r="MYL25" s="5"/>
      <c r="MYM25" s="5"/>
      <c r="MYN25" s="5"/>
      <c r="MYO25" s="5"/>
      <c r="MYP25" s="5"/>
      <c r="MYQ25" s="5"/>
      <c r="MYR25" s="5"/>
      <c r="MYS25" s="5"/>
      <c r="MYT25" s="5"/>
      <c r="MYU25" s="5"/>
      <c r="MYV25" s="5"/>
      <c r="MYW25" s="5"/>
      <c r="MYX25" s="5"/>
      <c r="MYY25" s="5"/>
      <c r="MYZ25" s="5"/>
      <c r="MZA25" s="5"/>
      <c r="MZB25" s="5"/>
      <c r="MZC25" s="5"/>
      <c r="MZD25" s="5"/>
      <c r="MZE25" s="5"/>
      <c r="MZF25" s="5"/>
      <c r="MZG25" s="5"/>
      <c r="MZH25" s="5"/>
      <c r="MZI25" s="5"/>
      <c r="MZJ25" s="5"/>
      <c r="MZK25" s="5"/>
      <c r="MZL25" s="5"/>
      <c r="MZM25" s="5"/>
      <c r="MZN25" s="5"/>
      <c r="MZO25" s="5"/>
      <c r="MZP25" s="5"/>
      <c r="MZQ25" s="5"/>
      <c r="MZR25" s="5"/>
      <c r="MZS25" s="5"/>
      <c r="MZT25" s="5"/>
      <c r="MZU25" s="5"/>
      <c r="MZV25" s="5"/>
      <c r="MZW25" s="5"/>
      <c r="MZX25" s="5"/>
      <c r="MZY25" s="5"/>
      <c r="MZZ25" s="5"/>
      <c r="NAA25" s="5"/>
      <c r="NAB25" s="5"/>
      <c r="NAC25" s="5"/>
      <c r="NAD25" s="5"/>
      <c r="NAE25" s="5"/>
      <c r="NAF25" s="5"/>
      <c r="NAG25" s="5"/>
      <c r="NAH25" s="5"/>
      <c r="NAI25" s="5"/>
      <c r="NAJ25" s="5"/>
      <c r="NAK25" s="5"/>
      <c r="NAL25" s="5"/>
      <c r="NAM25" s="5"/>
      <c r="NAN25" s="5"/>
      <c r="NAO25" s="5"/>
      <c r="NAP25" s="5"/>
      <c r="NAQ25" s="5"/>
      <c r="NAR25" s="5"/>
      <c r="NAS25" s="5"/>
      <c r="NAT25" s="5"/>
      <c r="NAU25" s="5"/>
      <c r="NAV25" s="5"/>
      <c r="NAW25" s="5"/>
      <c r="NAX25" s="5"/>
      <c r="NAY25" s="5"/>
      <c r="NAZ25" s="5"/>
      <c r="NBA25" s="5"/>
      <c r="NBB25" s="5"/>
      <c r="NBC25" s="5"/>
      <c r="NBD25" s="5"/>
      <c r="NBE25" s="5"/>
      <c r="NBF25" s="5"/>
      <c r="NBG25" s="5"/>
      <c r="NBH25" s="5"/>
      <c r="NBI25" s="5"/>
      <c r="NBJ25" s="5"/>
      <c r="NBK25" s="5"/>
      <c r="NBL25" s="5"/>
      <c r="NBM25" s="5"/>
      <c r="NBN25" s="5"/>
      <c r="NBO25" s="5"/>
      <c r="NBP25" s="5"/>
      <c r="NBQ25" s="5"/>
      <c r="NBR25" s="5"/>
      <c r="NBS25" s="5"/>
      <c r="NBT25" s="5"/>
      <c r="NBU25" s="5"/>
      <c r="NBV25" s="5"/>
      <c r="NBW25" s="5"/>
      <c r="NBX25" s="5"/>
      <c r="NBY25" s="5"/>
      <c r="NBZ25" s="5"/>
      <c r="NCA25" s="5"/>
      <c r="NCB25" s="5"/>
      <c r="NCC25" s="5"/>
      <c r="NCD25" s="5"/>
      <c r="NCE25" s="5"/>
      <c r="NCF25" s="5"/>
      <c r="NCG25" s="5"/>
      <c r="NCH25" s="5"/>
      <c r="NCI25" s="5"/>
      <c r="NCJ25" s="5"/>
      <c r="NCK25" s="5"/>
      <c r="NCL25" s="5"/>
      <c r="NCM25" s="5"/>
      <c r="NCN25" s="5"/>
      <c r="NCO25" s="5"/>
      <c r="NCP25" s="5"/>
      <c r="NCQ25" s="5"/>
      <c r="NCR25" s="5"/>
      <c r="NCS25" s="5"/>
      <c r="NCT25" s="5"/>
      <c r="NCU25" s="5"/>
      <c r="NCV25" s="5"/>
      <c r="NCW25" s="5"/>
      <c r="NCX25" s="5"/>
      <c r="NCY25" s="5"/>
      <c r="NCZ25" s="5"/>
      <c r="NDA25" s="5"/>
      <c r="NDB25" s="5"/>
      <c r="NDC25" s="5"/>
      <c r="NDD25" s="5"/>
      <c r="NDE25" s="5"/>
      <c r="NDF25" s="5"/>
      <c r="NDG25" s="5"/>
      <c r="NDH25" s="5"/>
      <c r="NDI25" s="5"/>
      <c r="NDJ25" s="5"/>
      <c r="NDK25" s="5"/>
      <c r="NDL25" s="5"/>
      <c r="NDM25" s="5"/>
      <c r="NDN25" s="5"/>
      <c r="NDO25" s="5"/>
      <c r="NDP25" s="5"/>
      <c r="NDQ25" s="5"/>
      <c r="NDR25" s="5"/>
      <c r="NDS25" s="5"/>
      <c r="NDT25" s="5"/>
      <c r="NDU25" s="5"/>
      <c r="NDV25" s="5"/>
      <c r="NDW25" s="5"/>
      <c r="NDX25" s="5"/>
      <c r="NDY25" s="5"/>
      <c r="NDZ25" s="5"/>
      <c r="NEA25" s="5"/>
      <c r="NEB25" s="5"/>
      <c r="NEC25" s="5"/>
      <c r="NED25" s="5"/>
      <c r="NEE25" s="5"/>
      <c r="NEF25" s="5"/>
      <c r="NEG25" s="5"/>
      <c r="NEH25" s="5"/>
      <c r="NEI25" s="5"/>
      <c r="NEJ25" s="5"/>
      <c r="NEK25" s="5"/>
      <c r="NEL25" s="5"/>
      <c r="NEM25" s="5"/>
      <c r="NEN25" s="5"/>
      <c r="NEO25" s="5"/>
      <c r="NEP25" s="5"/>
      <c r="NEQ25" s="5"/>
      <c r="NER25" s="5"/>
      <c r="NES25" s="5"/>
      <c r="NET25" s="5"/>
      <c r="NEU25" s="5"/>
      <c r="NEV25" s="5"/>
      <c r="NEW25" s="5"/>
      <c r="NEX25" s="5"/>
      <c r="NEY25" s="5"/>
      <c r="NEZ25" s="5"/>
      <c r="NFA25" s="5"/>
      <c r="NFB25" s="5"/>
      <c r="NFC25" s="5"/>
      <c r="NFD25" s="5"/>
      <c r="NFE25" s="5"/>
      <c r="NFF25" s="5"/>
      <c r="NFG25" s="5"/>
      <c r="NFH25" s="5"/>
      <c r="NFI25" s="5"/>
      <c r="NFJ25" s="5"/>
      <c r="NFK25" s="5"/>
      <c r="NFL25" s="5"/>
      <c r="NFM25" s="5"/>
      <c r="NFN25" s="5"/>
      <c r="NFO25" s="5"/>
      <c r="NFP25" s="5"/>
      <c r="NFQ25" s="5"/>
      <c r="NFR25" s="5"/>
      <c r="NFS25" s="5"/>
      <c r="NFT25" s="5"/>
      <c r="NFU25" s="5"/>
      <c r="NFV25" s="5"/>
      <c r="NFW25" s="5"/>
      <c r="NFX25" s="5"/>
      <c r="NFY25" s="5"/>
      <c r="NFZ25" s="5"/>
      <c r="NGA25" s="5"/>
      <c r="NGB25" s="5"/>
      <c r="NGC25" s="5"/>
      <c r="NGD25" s="5"/>
      <c r="NGE25" s="5"/>
      <c r="NGF25" s="5"/>
      <c r="NGG25" s="5"/>
      <c r="NGH25" s="5"/>
      <c r="NGI25" s="5"/>
      <c r="NGJ25" s="5"/>
      <c r="NGK25" s="5"/>
      <c r="NGL25" s="5"/>
      <c r="NGM25" s="5"/>
      <c r="NGN25" s="5"/>
      <c r="NGO25" s="5"/>
      <c r="NGP25" s="5"/>
      <c r="NGQ25" s="5"/>
      <c r="NGR25" s="5"/>
      <c r="NGS25" s="5"/>
      <c r="NGT25" s="5"/>
      <c r="NGU25" s="5"/>
      <c r="NGV25" s="5"/>
      <c r="NGW25" s="5"/>
      <c r="NGX25" s="5"/>
      <c r="NGY25" s="5"/>
      <c r="NGZ25" s="5"/>
      <c r="NHA25" s="5"/>
      <c r="NHB25" s="5"/>
      <c r="NHC25" s="5"/>
      <c r="NHD25" s="5"/>
      <c r="NHE25" s="5"/>
      <c r="NHF25" s="5"/>
      <c r="NHG25" s="5"/>
      <c r="NHH25" s="5"/>
      <c r="NHI25" s="5"/>
      <c r="NHJ25" s="5"/>
      <c r="NHK25" s="5"/>
      <c r="NHL25" s="5"/>
      <c r="NHM25" s="5"/>
      <c r="NHN25" s="5"/>
      <c r="NHO25" s="5"/>
      <c r="NHP25" s="5"/>
      <c r="NHQ25" s="5"/>
      <c r="NHR25" s="5"/>
      <c r="NHS25" s="5"/>
      <c r="NHT25" s="5"/>
      <c r="NHU25" s="5"/>
      <c r="NHV25" s="5"/>
      <c r="NHW25" s="5"/>
      <c r="NHX25" s="5"/>
      <c r="NHY25" s="5"/>
      <c r="NHZ25" s="5"/>
      <c r="NIA25" s="5"/>
      <c r="NIB25" s="5"/>
      <c r="NIC25" s="5"/>
      <c r="NID25" s="5"/>
      <c r="NIE25" s="5"/>
      <c r="NIF25" s="5"/>
      <c r="NIG25" s="5"/>
      <c r="NIH25" s="5"/>
      <c r="NII25" s="5"/>
      <c r="NIJ25" s="5"/>
      <c r="NIK25" s="5"/>
      <c r="NIL25" s="5"/>
      <c r="NIM25" s="5"/>
      <c r="NIN25" s="5"/>
      <c r="NIO25" s="5"/>
      <c r="NIP25" s="5"/>
      <c r="NIQ25" s="5"/>
      <c r="NIR25" s="5"/>
      <c r="NIS25" s="5"/>
      <c r="NIT25" s="5"/>
      <c r="NIU25" s="5"/>
      <c r="NIV25" s="5"/>
      <c r="NIW25" s="5"/>
      <c r="NIX25" s="5"/>
      <c r="NIY25" s="5"/>
      <c r="NIZ25" s="5"/>
      <c r="NJA25" s="5"/>
      <c r="NJB25" s="5"/>
      <c r="NJC25" s="5"/>
      <c r="NJD25" s="5"/>
      <c r="NJE25" s="5"/>
      <c r="NJF25" s="5"/>
      <c r="NJG25" s="5"/>
      <c r="NJH25" s="5"/>
      <c r="NJI25" s="5"/>
      <c r="NJJ25" s="5"/>
      <c r="NJK25" s="5"/>
      <c r="NJL25" s="5"/>
      <c r="NJM25" s="5"/>
      <c r="NJN25" s="5"/>
      <c r="NJO25" s="5"/>
      <c r="NJP25" s="5"/>
      <c r="NJQ25" s="5"/>
      <c r="NJR25" s="5"/>
      <c r="NJS25" s="5"/>
      <c r="NJT25" s="5"/>
      <c r="NJU25" s="5"/>
      <c r="NJV25" s="5"/>
      <c r="NJW25" s="5"/>
      <c r="NJX25" s="5"/>
      <c r="NJY25" s="5"/>
      <c r="NJZ25" s="5"/>
      <c r="NKA25" s="5"/>
      <c r="NKB25" s="5"/>
      <c r="NKC25" s="5"/>
      <c r="NKD25" s="5"/>
      <c r="NKE25" s="5"/>
      <c r="NKF25" s="5"/>
      <c r="NKG25" s="5"/>
      <c r="NKH25" s="5"/>
      <c r="NKI25" s="5"/>
      <c r="NKJ25" s="5"/>
      <c r="NKK25" s="5"/>
      <c r="NKL25" s="5"/>
      <c r="NKM25" s="5"/>
      <c r="NKN25" s="5"/>
      <c r="NKO25" s="5"/>
      <c r="NKP25" s="5"/>
      <c r="NKQ25" s="5"/>
      <c r="NKR25" s="5"/>
      <c r="NKS25" s="5"/>
      <c r="NKT25" s="5"/>
      <c r="NKU25" s="5"/>
      <c r="NKV25" s="5"/>
      <c r="NKW25" s="5"/>
      <c r="NKX25" s="5"/>
      <c r="NKY25" s="5"/>
      <c r="NKZ25" s="5"/>
      <c r="NLA25" s="5"/>
      <c r="NLB25" s="5"/>
      <c r="NLC25" s="5"/>
      <c r="NLD25" s="5"/>
      <c r="NLE25" s="5"/>
      <c r="NLF25" s="5"/>
      <c r="NLG25" s="5"/>
      <c r="NLH25" s="5"/>
      <c r="NLI25" s="5"/>
      <c r="NLJ25" s="5"/>
      <c r="NLK25" s="5"/>
      <c r="NLL25" s="5"/>
      <c r="NLM25" s="5"/>
      <c r="NLN25" s="5"/>
      <c r="NLO25" s="5"/>
      <c r="NLP25" s="5"/>
      <c r="NLQ25" s="5"/>
      <c r="NLR25" s="5"/>
      <c r="NLS25" s="5"/>
      <c r="NLT25" s="5"/>
      <c r="NLU25" s="5"/>
      <c r="NLV25" s="5"/>
      <c r="NLW25" s="5"/>
      <c r="NLX25" s="5"/>
      <c r="NLY25" s="5"/>
      <c r="NLZ25" s="5"/>
      <c r="NMA25" s="5"/>
      <c r="NMB25" s="5"/>
      <c r="NMC25" s="5"/>
      <c r="NMD25" s="5"/>
      <c r="NME25" s="5"/>
      <c r="NMF25" s="5"/>
      <c r="NMG25" s="5"/>
      <c r="NMH25" s="5"/>
      <c r="NMI25" s="5"/>
      <c r="NMJ25" s="5"/>
      <c r="NMK25" s="5"/>
      <c r="NML25" s="5"/>
      <c r="NMM25" s="5"/>
      <c r="NMN25" s="5"/>
      <c r="NMO25" s="5"/>
      <c r="NMP25" s="5"/>
      <c r="NMQ25" s="5"/>
      <c r="NMR25" s="5"/>
      <c r="NMS25" s="5"/>
      <c r="NMT25" s="5"/>
      <c r="NMU25" s="5"/>
      <c r="NMV25" s="5"/>
      <c r="NMW25" s="5"/>
      <c r="NMX25" s="5"/>
      <c r="NMY25" s="5"/>
      <c r="NMZ25" s="5"/>
      <c r="NNA25" s="5"/>
      <c r="NNB25" s="5"/>
      <c r="NNC25" s="5"/>
      <c r="NND25" s="5"/>
      <c r="NNE25" s="5"/>
      <c r="NNF25" s="5"/>
      <c r="NNG25" s="5"/>
      <c r="NNH25" s="5"/>
      <c r="NNI25" s="5"/>
      <c r="NNJ25" s="5"/>
      <c r="NNK25" s="5"/>
      <c r="NNL25" s="5"/>
      <c r="NNM25" s="5"/>
      <c r="NNN25" s="5"/>
      <c r="NNO25" s="5"/>
      <c r="NNP25" s="5"/>
      <c r="NNQ25" s="5"/>
      <c r="NNR25" s="5"/>
      <c r="NNS25" s="5"/>
      <c r="NNT25" s="5"/>
      <c r="NNU25" s="5"/>
      <c r="NNV25" s="5"/>
      <c r="NNW25" s="5"/>
      <c r="NNX25" s="5"/>
      <c r="NNY25" s="5"/>
      <c r="NNZ25" s="5"/>
      <c r="NOA25" s="5"/>
      <c r="NOB25" s="5"/>
      <c r="NOC25" s="5"/>
      <c r="NOD25" s="5"/>
      <c r="NOE25" s="5"/>
      <c r="NOF25" s="5"/>
      <c r="NOG25" s="5"/>
      <c r="NOH25" s="5"/>
      <c r="NOI25" s="5"/>
      <c r="NOJ25" s="5"/>
      <c r="NOK25" s="5"/>
      <c r="NOL25" s="5"/>
      <c r="NOM25" s="5"/>
      <c r="NON25" s="5"/>
      <c r="NOO25" s="5"/>
      <c r="NOP25" s="5"/>
      <c r="NOQ25" s="5"/>
      <c r="NOR25" s="5"/>
      <c r="NOS25" s="5"/>
      <c r="NOT25" s="5"/>
      <c r="NOU25" s="5"/>
      <c r="NOV25" s="5"/>
      <c r="NOW25" s="5"/>
      <c r="NOX25" s="5"/>
      <c r="NOY25" s="5"/>
      <c r="NOZ25" s="5"/>
      <c r="NPA25" s="5"/>
      <c r="NPB25" s="5"/>
      <c r="NPC25" s="5"/>
      <c r="NPD25" s="5"/>
      <c r="NPE25" s="5"/>
      <c r="NPF25" s="5"/>
      <c r="NPG25" s="5"/>
      <c r="NPH25" s="5"/>
      <c r="NPI25" s="5"/>
      <c r="NPJ25" s="5"/>
      <c r="NPK25" s="5"/>
      <c r="NPL25" s="5"/>
      <c r="NPM25" s="5"/>
      <c r="NPN25" s="5"/>
      <c r="NPO25" s="5"/>
      <c r="NPP25" s="5"/>
      <c r="NPQ25" s="5"/>
      <c r="NPR25" s="5"/>
      <c r="NPS25" s="5"/>
      <c r="NPT25" s="5"/>
      <c r="NPU25" s="5"/>
      <c r="NPV25" s="5"/>
      <c r="NPW25" s="5"/>
      <c r="NPX25" s="5"/>
      <c r="NPY25" s="5"/>
      <c r="NPZ25" s="5"/>
      <c r="NQA25" s="5"/>
      <c r="NQB25" s="5"/>
      <c r="NQC25" s="5"/>
      <c r="NQD25" s="5"/>
      <c r="NQE25" s="5"/>
      <c r="NQF25" s="5"/>
      <c r="NQG25" s="5"/>
      <c r="NQH25" s="5"/>
      <c r="NQI25" s="5"/>
      <c r="NQJ25" s="5"/>
      <c r="NQK25" s="5"/>
      <c r="NQL25" s="5"/>
      <c r="NQM25" s="5"/>
      <c r="NQN25" s="5"/>
      <c r="NQO25" s="5"/>
      <c r="NQP25" s="5"/>
      <c r="NQQ25" s="5"/>
      <c r="NQR25" s="5"/>
      <c r="NQS25" s="5"/>
      <c r="NQT25" s="5"/>
      <c r="NQU25" s="5"/>
      <c r="NQV25" s="5"/>
      <c r="NQW25" s="5"/>
      <c r="NQX25" s="5"/>
      <c r="NQY25" s="5"/>
      <c r="NQZ25" s="5"/>
      <c r="NRA25" s="5"/>
      <c r="NRB25" s="5"/>
      <c r="NRC25" s="5"/>
      <c r="NRD25" s="5"/>
      <c r="NRE25" s="5"/>
      <c r="NRF25" s="5"/>
      <c r="NRG25" s="5"/>
      <c r="NRH25" s="5"/>
      <c r="NRI25" s="5"/>
      <c r="NRJ25" s="5"/>
      <c r="NRK25" s="5"/>
      <c r="NRL25" s="5"/>
      <c r="NRM25" s="5"/>
      <c r="NRN25" s="5"/>
      <c r="NRO25" s="5"/>
      <c r="NRP25" s="5"/>
      <c r="NRQ25" s="5"/>
      <c r="NRR25" s="5"/>
      <c r="NRS25" s="5"/>
      <c r="NRT25" s="5"/>
      <c r="NRU25" s="5"/>
      <c r="NRV25" s="5"/>
      <c r="NRW25" s="5"/>
      <c r="NRX25" s="5"/>
      <c r="NRY25" s="5"/>
      <c r="NRZ25" s="5"/>
      <c r="NSA25" s="5"/>
      <c r="NSB25" s="5"/>
      <c r="NSC25" s="5"/>
      <c r="NSD25" s="5"/>
      <c r="NSE25" s="5"/>
      <c r="NSF25" s="5"/>
      <c r="NSG25" s="5"/>
      <c r="NSH25" s="5"/>
      <c r="NSI25" s="5"/>
      <c r="NSJ25" s="5"/>
      <c r="NSK25" s="5"/>
      <c r="NSL25" s="5"/>
      <c r="NSM25" s="5"/>
      <c r="NSN25" s="5"/>
      <c r="NSO25" s="5"/>
      <c r="NSP25" s="5"/>
      <c r="NSQ25" s="5"/>
      <c r="NSR25" s="5"/>
      <c r="NSS25" s="5"/>
      <c r="NST25" s="5"/>
      <c r="NSU25" s="5"/>
      <c r="NSV25" s="5"/>
      <c r="NSW25" s="5"/>
      <c r="NSX25" s="5"/>
      <c r="NSY25" s="5"/>
      <c r="NSZ25" s="5"/>
      <c r="NTA25" s="5"/>
      <c r="NTB25" s="5"/>
      <c r="NTC25" s="5"/>
      <c r="NTD25" s="5"/>
      <c r="NTE25" s="5"/>
      <c r="NTF25" s="5"/>
      <c r="NTG25" s="5"/>
      <c r="NTH25" s="5"/>
      <c r="NTI25" s="5"/>
      <c r="NTJ25" s="5"/>
      <c r="NTK25" s="5"/>
      <c r="NTL25" s="5"/>
      <c r="NTM25" s="5"/>
      <c r="NTN25" s="5"/>
      <c r="NTO25" s="5"/>
      <c r="NTP25" s="5"/>
      <c r="NTQ25" s="5"/>
      <c r="NTR25" s="5"/>
      <c r="NTS25" s="5"/>
      <c r="NTT25" s="5"/>
      <c r="NTU25" s="5"/>
      <c r="NTV25" s="5"/>
      <c r="NTW25" s="5"/>
      <c r="NTX25" s="5"/>
      <c r="NTY25" s="5"/>
      <c r="NTZ25" s="5"/>
      <c r="NUA25" s="5"/>
      <c r="NUB25" s="5"/>
      <c r="NUC25" s="5"/>
      <c r="NUD25" s="5"/>
      <c r="NUE25" s="5"/>
      <c r="NUF25" s="5"/>
      <c r="NUG25" s="5"/>
      <c r="NUH25" s="5"/>
      <c r="NUI25" s="5"/>
      <c r="NUJ25" s="5"/>
      <c r="NUK25" s="5"/>
      <c r="NUL25" s="5"/>
      <c r="NUM25" s="5"/>
      <c r="NUN25" s="5"/>
      <c r="NUO25" s="5"/>
      <c r="NUP25" s="5"/>
      <c r="NUQ25" s="5"/>
      <c r="NUR25" s="5"/>
      <c r="NUS25" s="5"/>
      <c r="NUT25" s="5"/>
      <c r="NUU25" s="5"/>
      <c r="NUV25" s="5"/>
      <c r="NUW25" s="5"/>
      <c r="NUX25" s="5"/>
      <c r="NUY25" s="5"/>
      <c r="NUZ25" s="5"/>
      <c r="NVA25" s="5"/>
      <c r="NVB25" s="5"/>
      <c r="NVC25" s="5"/>
      <c r="NVD25" s="5"/>
      <c r="NVE25" s="5"/>
      <c r="NVF25" s="5"/>
      <c r="NVG25" s="5"/>
      <c r="NVH25" s="5"/>
      <c r="NVI25" s="5"/>
      <c r="NVJ25" s="5"/>
      <c r="NVK25" s="5"/>
      <c r="NVL25" s="5"/>
      <c r="NVM25" s="5"/>
      <c r="NVN25" s="5"/>
      <c r="NVO25" s="5"/>
      <c r="NVP25" s="5"/>
      <c r="NVQ25" s="5"/>
      <c r="NVR25" s="5"/>
      <c r="NVS25" s="5"/>
      <c r="NVT25" s="5"/>
      <c r="NVU25" s="5"/>
      <c r="NVV25" s="5"/>
      <c r="NVW25" s="5"/>
      <c r="NVX25" s="5"/>
      <c r="NVY25" s="5"/>
      <c r="NVZ25" s="5"/>
      <c r="NWA25" s="5"/>
      <c r="NWB25" s="5"/>
      <c r="NWC25" s="5"/>
      <c r="NWD25" s="5"/>
      <c r="NWE25" s="5"/>
      <c r="NWF25" s="5"/>
      <c r="NWG25" s="5"/>
      <c r="NWH25" s="5"/>
      <c r="NWI25" s="5"/>
      <c r="NWJ25" s="5"/>
      <c r="NWK25" s="5"/>
      <c r="NWL25" s="5"/>
      <c r="NWM25" s="5"/>
      <c r="NWN25" s="5"/>
      <c r="NWO25" s="5"/>
      <c r="NWP25" s="5"/>
      <c r="NWQ25" s="5"/>
      <c r="NWR25" s="5"/>
      <c r="NWS25" s="5"/>
      <c r="NWT25" s="5"/>
      <c r="NWU25" s="5"/>
      <c r="NWV25" s="5"/>
      <c r="NWW25" s="5"/>
      <c r="NWX25" s="5"/>
      <c r="NWY25" s="5"/>
      <c r="NWZ25" s="5"/>
      <c r="NXA25" s="5"/>
      <c r="NXB25" s="5"/>
      <c r="NXC25" s="5"/>
      <c r="NXD25" s="5"/>
      <c r="NXE25" s="5"/>
      <c r="NXF25" s="5"/>
      <c r="NXG25" s="5"/>
      <c r="NXH25" s="5"/>
      <c r="NXI25" s="5"/>
      <c r="NXJ25" s="5"/>
      <c r="NXK25" s="5"/>
      <c r="NXL25" s="5"/>
      <c r="NXM25" s="5"/>
      <c r="NXN25" s="5"/>
      <c r="NXO25" s="5"/>
      <c r="NXP25" s="5"/>
      <c r="NXQ25" s="5"/>
      <c r="NXR25" s="5"/>
      <c r="NXS25" s="5"/>
      <c r="NXT25" s="5"/>
      <c r="NXU25" s="5"/>
      <c r="NXV25" s="5"/>
      <c r="NXW25" s="5"/>
      <c r="NXX25" s="5"/>
      <c r="NXY25" s="5"/>
      <c r="NXZ25" s="5"/>
      <c r="NYA25" s="5"/>
      <c r="NYB25" s="5"/>
      <c r="NYC25" s="5"/>
      <c r="NYD25" s="5"/>
      <c r="NYE25" s="5"/>
      <c r="NYF25" s="5"/>
      <c r="NYG25" s="5"/>
      <c r="NYH25" s="5"/>
      <c r="NYI25" s="5"/>
      <c r="NYJ25" s="5"/>
      <c r="NYK25" s="5"/>
      <c r="NYL25" s="5"/>
      <c r="NYM25" s="5"/>
      <c r="NYN25" s="5"/>
      <c r="NYO25" s="5"/>
      <c r="NYP25" s="5"/>
      <c r="NYQ25" s="5"/>
      <c r="NYR25" s="5"/>
      <c r="NYS25" s="5"/>
      <c r="NYT25" s="5"/>
      <c r="NYU25" s="5"/>
      <c r="NYV25" s="5"/>
      <c r="NYW25" s="5"/>
      <c r="NYX25" s="5"/>
      <c r="NYY25" s="5"/>
      <c r="NYZ25" s="5"/>
      <c r="NZA25" s="5"/>
      <c r="NZB25" s="5"/>
      <c r="NZC25" s="5"/>
      <c r="NZD25" s="5"/>
      <c r="NZE25" s="5"/>
      <c r="NZF25" s="5"/>
      <c r="NZG25" s="5"/>
      <c r="NZH25" s="5"/>
      <c r="NZI25" s="5"/>
      <c r="NZJ25" s="5"/>
      <c r="NZK25" s="5"/>
      <c r="NZL25" s="5"/>
      <c r="NZM25" s="5"/>
      <c r="NZN25" s="5"/>
      <c r="NZO25" s="5"/>
      <c r="NZP25" s="5"/>
      <c r="NZQ25" s="5"/>
      <c r="NZR25" s="5"/>
      <c r="NZS25" s="5"/>
      <c r="NZT25" s="5"/>
      <c r="NZU25" s="5"/>
      <c r="NZV25" s="5"/>
      <c r="NZW25" s="5"/>
      <c r="NZX25" s="5"/>
      <c r="NZY25" s="5"/>
      <c r="NZZ25" s="5"/>
      <c r="OAA25" s="5"/>
      <c r="OAB25" s="5"/>
      <c r="OAC25" s="5"/>
      <c r="OAD25" s="5"/>
      <c r="OAE25" s="5"/>
      <c r="OAF25" s="5"/>
      <c r="OAG25" s="5"/>
      <c r="OAH25" s="5"/>
      <c r="OAI25" s="5"/>
      <c r="OAJ25" s="5"/>
      <c r="OAK25" s="5"/>
      <c r="OAL25" s="5"/>
      <c r="OAM25" s="5"/>
      <c r="OAN25" s="5"/>
      <c r="OAO25" s="5"/>
      <c r="OAP25" s="5"/>
      <c r="OAQ25" s="5"/>
      <c r="OAR25" s="5"/>
      <c r="OAS25" s="5"/>
      <c r="OAT25" s="5"/>
      <c r="OAU25" s="5"/>
      <c r="OAV25" s="5"/>
      <c r="OAW25" s="5"/>
      <c r="OAX25" s="5"/>
      <c r="OAY25" s="5"/>
      <c r="OAZ25" s="5"/>
      <c r="OBA25" s="5"/>
      <c r="OBB25" s="5"/>
      <c r="OBC25" s="5"/>
      <c r="OBD25" s="5"/>
      <c r="OBE25" s="5"/>
      <c r="OBF25" s="5"/>
      <c r="OBG25" s="5"/>
      <c r="OBH25" s="5"/>
      <c r="OBI25" s="5"/>
      <c r="OBJ25" s="5"/>
      <c r="OBK25" s="5"/>
      <c r="OBL25" s="5"/>
      <c r="OBM25" s="5"/>
      <c r="OBN25" s="5"/>
      <c r="OBO25" s="5"/>
      <c r="OBP25" s="5"/>
      <c r="OBQ25" s="5"/>
      <c r="OBR25" s="5"/>
      <c r="OBS25" s="5"/>
      <c r="OBT25" s="5"/>
      <c r="OBU25" s="5"/>
      <c r="OBV25" s="5"/>
      <c r="OBW25" s="5"/>
      <c r="OBX25" s="5"/>
      <c r="OBY25" s="5"/>
      <c r="OBZ25" s="5"/>
      <c r="OCA25" s="5"/>
      <c r="OCB25" s="5"/>
      <c r="OCC25" s="5"/>
      <c r="OCD25" s="5"/>
      <c r="OCE25" s="5"/>
      <c r="OCF25" s="5"/>
      <c r="OCG25" s="5"/>
      <c r="OCH25" s="5"/>
      <c r="OCI25" s="5"/>
      <c r="OCJ25" s="5"/>
      <c r="OCK25" s="5"/>
      <c r="OCL25" s="5"/>
      <c r="OCM25" s="5"/>
      <c r="OCN25" s="5"/>
      <c r="OCO25" s="5"/>
      <c r="OCP25" s="5"/>
      <c r="OCQ25" s="5"/>
      <c r="OCR25" s="5"/>
      <c r="OCS25" s="5"/>
      <c r="OCT25" s="5"/>
      <c r="OCU25" s="5"/>
      <c r="OCV25" s="5"/>
      <c r="OCW25" s="5"/>
      <c r="OCX25" s="5"/>
      <c r="OCY25" s="5"/>
      <c r="OCZ25" s="5"/>
      <c r="ODA25" s="5"/>
      <c r="ODB25" s="5"/>
      <c r="ODC25" s="5"/>
      <c r="ODD25" s="5"/>
      <c r="ODE25" s="5"/>
      <c r="ODF25" s="5"/>
      <c r="ODG25" s="5"/>
      <c r="ODH25" s="5"/>
      <c r="ODI25" s="5"/>
      <c r="ODJ25" s="5"/>
      <c r="ODK25" s="5"/>
      <c r="ODL25" s="5"/>
      <c r="ODM25" s="5"/>
      <c r="ODN25" s="5"/>
      <c r="ODO25" s="5"/>
      <c r="ODP25" s="5"/>
      <c r="ODQ25" s="5"/>
      <c r="ODR25" s="5"/>
      <c r="ODS25" s="5"/>
      <c r="ODT25" s="5"/>
      <c r="ODU25" s="5"/>
      <c r="ODV25" s="5"/>
      <c r="ODW25" s="5"/>
      <c r="ODX25" s="5"/>
      <c r="ODY25" s="5"/>
      <c r="ODZ25" s="5"/>
      <c r="OEA25" s="5"/>
      <c r="OEB25" s="5"/>
      <c r="OEC25" s="5"/>
      <c r="OED25" s="5"/>
      <c r="OEE25" s="5"/>
      <c r="OEF25" s="5"/>
      <c r="OEG25" s="5"/>
      <c r="OEH25" s="5"/>
      <c r="OEI25" s="5"/>
      <c r="OEJ25" s="5"/>
      <c r="OEK25" s="5"/>
      <c r="OEL25" s="5"/>
      <c r="OEM25" s="5"/>
      <c r="OEN25" s="5"/>
      <c r="OEO25" s="5"/>
      <c r="OEP25" s="5"/>
      <c r="OEQ25" s="5"/>
      <c r="OER25" s="5"/>
      <c r="OES25" s="5"/>
      <c r="OET25" s="5"/>
      <c r="OEU25" s="5"/>
      <c r="OEV25" s="5"/>
      <c r="OEW25" s="5"/>
      <c r="OEX25" s="5"/>
      <c r="OEY25" s="5"/>
      <c r="OEZ25" s="5"/>
      <c r="OFA25" s="5"/>
      <c r="OFB25" s="5"/>
      <c r="OFC25" s="5"/>
      <c r="OFD25" s="5"/>
      <c r="OFE25" s="5"/>
      <c r="OFF25" s="5"/>
      <c r="OFG25" s="5"/>
      <c r="OFH25" s="5"/>
      <c r="OFI25" s="5"/>
      <c r="OFJ25" s="5"/>
      <c r="OFK25" s="5"/>
      <c r="OFL25" s="5"/>
      <c r="OFM25" s="5"/>
      <c r="OFN25" s="5"/>
      <c r="OFO25" s="5"/>
      <c r="OFP25" s="5"/>
      <c r="OFQ25" s="5"/>
      <c r="OFR25" s="5"/>
      <c r="OFS25" s="5"/>
      <c r="OFT25" s="5"/>
      <c r="OFU25" s="5"/>
      <c r="OFV25" s="5"/>
      <c r="OFW25" s="5"/>
      <c r="OFX25" s="5"/>
      <c r="OFY25" s="5"/>
      <c r="OFZ25" s="5"/>
      <c r="OGA25" s="5"/>
      <c r="OGB25" s="5"/>
      <c r="OGC25" s="5"/>
      <c r="OGD25" s="5"/>
      <c r="OGE25" s="5"/>
      <c r="OGF25" s="5"/>
      <c r="OGG25" s="5"/>
      <c r="OGH25" s="5"/>
      <c r="OGI25" s="5"/>
      <c r="OGJ25" s="5"/>
      <c r="OGK25" s="5"/>
      <c r="OGL25" s="5"/>
      <c r="OGM25" s="5"/>
      <c r="OGN25" s="5"/>
      <c r="OGO25" s="5"/>
      <c r="OGP25" s="5"/>
      <c r="OGQ25" s="5"/>
      <c r="OGR25" s="5"/>
      <c r="OGS25" s="5"/>
      <c r="OGT25" s="5"/>
      <c r="OGU25" s="5"/>
      <c r="OGV25" s="5"/>
      <c r="OGW25" s="5"/>
      <c r="OGX25" s="5"/>
      <c r="OGY25" s="5"/>
      <c r="OGZ25" s="5"/>
      <c r="OHA25" s="5"/>
      <c r="OHB25" s="5"/>
      <c r="OHC25" s="5"/>
      <c r="OHD25" s="5"/>
      <c r="OHE25" s="5"/>
      <c r="OHF25" s="5"/>
      <c r="OHG25" s="5"/>
      <c r="OHH25" s="5"/>
      <c r="OHI25" s="5"/>
      <c r="OHJ25" s="5"/>
      <c r="OHK25" s="5"/>
      <c r="OHL25" s="5"/>
      <c r="OHM25" s="5"/>
      <c r="OHN25" s="5"/>
      <c r="OHO25" s="5"/>
      <c r="OHP25" s="5"/>
      <c r="OHQ25" s="5"/>
      <c r="OHR25" s="5"/>
      <c r="OHS25" s="5"/>
      <c r="OHT25" s="5"/>
      <c r="OHU25" s="5"/>
      <c r="OHV25" s="5"/>
      <c r="OHW25" s="5"/>
      <c r="OHX25" s="5"/>
      <c r="OHY25" s="5"/>
      <c r="OHZ25" s="5"/>
      <c r="OIA25" s="5"/>
      <c r="OIB25" s="5"/>
      <c r="OIC25" s="5"/>
      <c r="OID25" s="5"/>
      <c r="OIE25" s="5"/>
      <c r="OIF25" s="5"/>
      <c r="OIG25" s="5"/>
      <c r="OIH25" s="5"/>
      <c r="OII25" s="5"/>
      <c r="OIJ25" s="5"/>
      <c r="OIK25" s="5"/>
      <c r="OIL25" s="5"/>
      <c r="OIM25" s="5"/>
      <c r="OIN25" s="5"/>
      <c r="OIO25" s="5"/>
      <c r="OIP25" s="5"/>
      <c r="OIQ25" s="5"/>
      <c r="OIR25" s="5"/>
      <c r="OIS25" s="5"/>
      <c r="OIT25" s="5"/>
      <c r="OIU25" s="5"/>
      <c r="OIV25" s="5"/>
      <c r="OIW25" s="5"/>
      <c r="OIX25" s="5"/>
      <c r="OIY25" s="5"/>
      <c r="OIZ25" s="5"/>
      <c r="OJA25" s="5"/>
      <c r="OJB25" s="5"/>
      <c r="OJC25" s="5"/>
      <c r="OJD25" s="5"/>
      <c r="OJE25" s="5"/>
      <c r="OJF25" s="5"/>
      <c r="OJG25" s="5"/>
      <c r="OJH25" s="5"/>
      <c r="OJI25" s="5"/>
      <c r="OJJ25" s="5"/>
      <c r="OJK25" s="5"/>
      <c r="OJL25" s="5"/>
      <c r="OJM25" s="5"/>
      <c r="OJN25" s="5"/>
      <c r="OJO25" s="5"/>
      <c r="OJP25" s="5"/>
      <c r="OJQ25" s="5"/>
      <c r="OJR25" s="5"/>
      <c r="OJS25" s="5"/>
      <c r="OJT25" s="5"/>
      <c r="OJU25" s="5"/>
      <c r="OJV25" s="5"/>
      <c r="OJW25" s="5"/>
      <c r="OJX25" s="5"/>
      <c r="OJY25" s="5"/>
      <c r="OJZ25" s="5"/>
      <c r="OKA25" s="5"/>
      <c r="OKB25" s="5"/>
      <c r="OKC25" s="5"/>
      <c r="OKD25" s="5"/>
      <c r="OKE25" s="5"/>
      <c r="OKF25" s="5"/>
      <c r="OKG25" s="5"/>
      <c r="OKH25" s="5"/>
      <c r="OKI25" s="5"/>
      <c r="OKJ25" s="5"/>
      <c r="OKK25" s="5"/>
      <c r="OKL25" s="5"/>
      <c r="OKM25" s="5"/>
      <c r="OKN25" s="5"/>
      <c r="OKO25" s="5"/>
      <c r="OKP25" s="5"/>
      <c r="OKQ25" s="5"/>
      <c r="OKR25" s="5"/>
      <c r="OKS25" s="5"/>
      <c r="OKT25" s="5"/>
      <c r="OKU25" s="5"/>
      <c r="OKV25" s="5"/>
      <c r="OKW25" s="5"/>
      <c r="OKX25" s="5"/>
      <c r="OKY25" s="5"/>
      <c r="OKZ25" s="5"/>
      <c r="OLA25" s="5"/>
      <c r="OLB25" s="5"/>
      <c r="OLC25" s="5"/>
      <c r="OLD25" s="5"/>
      <c r="OLE25" s="5"/>
      <c r="OLF25" s="5"/>
      <c r="OLG25" s="5"/>
      <c r="OLH25" s="5"/>
      <c r="OLI25" s="5"/>
      <c r="OLJ25" s="5"/>
      <c r="OLK25" s="5"/>
      <c r="OLL25" s="5"/>
      <c r="OLM25" s="5"/>
      <c r="OLN25" s="5"/>
      <c r="OLO25" s="5"/>
      <c r="OLP25" s="5"/>
      <c r="OLQ25" s="5"/>
      <c r="OLR25" s="5"/>
      <c r="OLS25" s="5"/>
      <c r="OLT25" s="5"/>
      <c r="OLU25" s="5"/>
      <c r="OLV25" s="5"/>
      <c r="OLW25" s="5"/>
      <c r="OLX25" s="5"/>
      <c r="OLY25" s="5"/>
      <c r="OLZ25" s="5"/>
      <c r="OMA25" s="5"/>
      <c r="OMB25" s="5"/>
      <c r="OMC25" s="5"/>
      <c r="OMD25" s="5"/>
      <c r="OME25" s="5"/>
      <c r="OMF25" s="5"/>
      <c r="OMG25" s="5"/>
      <c r="OMH25" s="5"/>
      <c r="OMI25" s="5"/>
      <c r="OMJ25" s="5"/>
      <c r="OMK25" s="5"/>
      <c r="OML25" s="5"/>
      <c r="OMM25" s="5"/>
      <c r="OMN25" s="5"/>
      <c r="OMO25" s="5"/>
      <c r="OMP25" s="5"/>
      <c r="OMQ25" s="5"/>
      <c r="OMR25" s="5"/>
      <c r="OMS25" s="5"/>
      <c r="OMT25" s="5"/>
      <c r="OMU25" s="5"/>
      <c r="OMV25" s="5"/>
      <c r="OMW25" s="5"/>
      <c r="OMX25" s="5"/>
      <c r="OMY25" s="5"/>
      <c r="OMZ25" s="5"/>
      <c r="ONA25" s="5"/>
      <c r="ONB25" s="5"/>
      <c r="ONC25" s="5"/>
      <c r="OND25" s="5"/>
      <c r="ONE25" s="5"/>
      <c r="ONF25" s="5"/>
      <c r="ONG25" s="5"/>
      <c r="ONH25" s="5"/>
      <c r="ONI25" s="5"/>
      <c r="ONJ25" s="5"/>
      <c r="ONK25" s="5"/>
      <c r="ONL25" s="5"/>
      <c r="ONM25" s="5"/>
      <c r="ONN25" s="5"/>
      <c r="ONO25" s="5"/>
      <c r="ONP25" s="5"/>
      <c r="ONQ25" s="5"/>
      <c r="ONR25" s="5"/>
      <c r="ONS25" s="5"/>
      <c r="ONT25" s="5"/>
      <c r="ONU25" s="5"/>
      <c r="ONV25" s="5"/>
      <c r="ONW25" s="5"/>
      <c r="ONX25" s="5"/>
      <c r="ONY25" s="5"/>
      <c r="ONZ25" s="5"/>
      <c r="OOA25" s="5"/>
      <c r="OOB25" s="5"/>
      <c r="OOC25" s="5"/>
      <c r="OOD25" s="5"/>
      <c r="OOE25" s="5"/>
      <c r="OOF25" s="5"/>
      <c r="OOG25" s="5"/>
      <c r="OOH25" s="5"/>
      <c r="OOI25" s="5"/>
      <c r="OOJ25" s="5"/>
      <c r="OOK25" s="5"/>
      <c r="OOL25" s="5"/>
      <c r="OOM25" s="5"/>
      <c r="OON25" s="5"/>
      <c r="OOO25" s="5"/>
      <c r="OOP25" s="5"/>
      <c r="OOQ25" s="5"/>
      <c r="OOR25" s="5"/>
      <c r="OOS25" s="5"/>
      <c r="OOT25" s="5"/>
      <c r="OOU25" s="5"/>
      <c r="OOV25" s="5"/>
      <c r="OOW25" s="5"/>
      <c r="OOX25" s="5"/>
      <c r="OOY25" s="5"/>
      <c r="OOZ25" s="5"/>
      <c r="OPA25" s="5"/>
      <c r="OPB25" s="5"/>
      <c r="OPC25" s="5"/>
      <c r="OPD25" s="5"/>
      <c r="OPE25" s="5"/>
      <c r="OPF25" s="5"/>
      <c r="OPG25" s="5"/>
      <c r="OPH25" s="5"/>
      <c r="OPI25" s="5"/>
      <c r="OPJ25" s="5"/>
      <c r="OPK25" s="5"/>
      <c r="OPL25" s="5"/>
      <c r="OPM25" s="5"/>
      <c r="OPN25" s="5"/>
      <c r="OPO25" s="5"/>
      <c r="OPP25" s="5"/>
      <c r="OPQ25" s="5"/>
      <c r="OPR25" s="5"/>
      <c r="OPS25" s="5"/>
      <c r="OPT25" s="5"/>
      <c r="OPU25" s="5"/>
      <c r="OPV25" s="5"/>
      <c r="OPW25" s="5"/>
      <c r="OPX25" s="5"/>
      <c r="OPY25" s="5"/>
      <c r="OPZ25" s="5"/>
      <c r="OQA25" s="5"/>
      <c r="OQB25" s="5"/>
      <c r="OQC25" s="5"/>
      <c r="OQD25" s="5"/>
      <c r="OQE25" s="5"/>
      <c r="OQF25" s="5"/>
      <c r="OQG25" s="5"/>
      <c r="OQH25" s="5"/>
      <c r="OQI25" s="5"/>
      <c r="OQJ25" s="5"/>
      <c r="OQK25" s="5"/>
      <c r="OQL25" s="5"/>
      <c r="OQM25" s="5"/>
      <c r="OQN25" s="5"/>
      <c r="OQO25" s="5"/>
      <c r="OQP25" s="5"/>
      <c r="OQQ25" s="5"/>
      <c r="OQR25" s="5"/>
      <c r="OQS25" s="5"/>
      <c r="OQT25" s="5"/>
      <c r="OQU25" s="5"/>
      <c r="OQV25" s="5"/>
      <c r="OQW25" s="5"/>
      <c r="OQX25" s="5"/>
      <c r="OQY25" s="5"/>
      <c r="OQZ25" s="5"/>
      <c r="ORA25" s="5"/>
      <c r="ORB25" s="5"/>
      <c r="ORC25" s="5"/>
      <c r="ORD25" s="5"/>
      <c r="ORE25" s="5"/>
      <c r="ORF25" s="5"/>
      <c r="ORG25" s="5"/>
      <c r="ORH25" s="5"/>
      <c r="ORI25" s="5"/>
      <c r="ORJ25" s="5"/>
      <c r="ORK25" s="5"/>
      <c r="ORL25" s="5"/>
      <c r="ORM25" s="5"/>
      <c r="ORN25" s="5"/>
      <c r="ORO25" s="5"/>
      <c r="ORP25" s="5"/>
      <c r="ORQ25" s="5"/>
      <c r="ORR25" s="5"/>
      <c r="ORS25" s="5"/>
      <c r="ORT25" s="5"/>
      <c r="ORU25" s="5"/>
      <c r="ORV25" s="5"/>
      <c r="ORW25" s="5"/>
      <c r="ORX25" s="5"/>
      <c r="ORY25" s="5"/>
      <c r="ORZ25" s="5"/>
      <c r="OSA25" s="5"/>
      <c r="OSB25" s="5"/>
      <c r="OSC25" s="5"/>
      <c r="OSD25" s="5"/>
      <c r="OSE25" s="5"/>
      <c r="OSF25" s="5"/>
      <c r="OSG25" s="5"/>
      <c r="OSH25" s="5"/>
      <c r="OSI25" s="5"/>
      <c r="OSJ25" s="5"/>
      <c r="OSK25" s="5"/>
      <c r="OSL25" s="5"/>
      <c r="OSM25" s="5"/>
      <c r="OSN25" s="5"/>
      <c r="OSO25" s="5"/>
      <c r="OSP25" s="5"/>
      <c r="OSQ25" s="5"/>
      <c r="OSR25" s="5"/>
      <c r="OSS25" s="5"/>
      <c r="OST25" s="5"/>
      <c r="OSU25" s="5"/>
      <c r="OSV25" s="5"/>
      <c r="OSW25" s="5"/>
      <c r="OSX25" s="5"/>
      <c r="OSY25" s="5"/>
      <c r="OSZ25" s="5"/>
      <c r="OTA25" s="5"/>
      <c r="OTB25" s="5"/>
      <c r="OTC25" s="5"/>
      <c r="OTD25" s="5"/>
      <c r="OTE25" s="5"/>
      <c r="OTF25" s="5"/>
      <c r="OTG25" s="5"/>
      <c r="OTH25" s="5"/>
      <c r="OTI25" s="5"/>
      <c r="OTJ25" s="5"/>
      <c r="OTK25" s="5"/>
      <c r="OTL25" s="5"/>
      <c r="OTM25" s="5"/>
      <c r="OTN25" s="5"/>
      <c r="OTO25" s="5"/>
      <c r="OTP25" s="5"/>
      <c r="OTQ25" s="5"/>
      <c r="OTR25" s="5"/>
      <c r="OTS25" s="5"/>
      <c r="OTT25" s="5"/>
      <c r="OTU25" s="5"/>
      <c r="OTV25" s="5"/>
      <c r="OTW25" s="5"/>
      <c r="OTX25" s="5"/>
      <c r="OTY25" s="5"/>
      <c r="OTZ25" s="5"/>
      <c r="OUA25" s="5"/>
      <c r="OUB25" s="5"/>
      <c r="OUC25" s="5"/>
      <c r="OUD25" s="5"/>
      <c r="OUE25" s="5"/>
      <c r="OUF25" s="5"/>
      <c r="OUG25" s="5"/>
      <c r="OUH25" s="5"/>
      <c r="OUI25" s="5"/>
      <c r="OUJ25" s="5"/>
      <c r="OUK25" s="5"/>
      <c r="OUL25" s="5"/>
      <c r="OUM25" s="5"/>
      <c r="OUN25" s="5"/>
      <c r="OUO25" s="5"/>
      <c r="OUP25" s="5"/>
      <c r="OUQ25" s="5"/>
      <c r="OUR25" s="5"/>
      <c r="OUS25" s="5"/>
      <c r="OUT25" s="5"/>
      <c r="OUU25" s="5"/>
      <c r="OUV25" s="5"/>
      <c r="OUW25" s="5"/>
      <c r="OUX25" s="5"/>
      <c r="OUY25" s="5"/>
      <c r="OUZ25" s="5"/>
      <c r="OVA25" s="5"/>
      <c r="OVB25" s="5"/>
      <c r="OVC25" s="5"/>
      <c r="OVD25" s="5"/>
      <c r="OVE25" s="5"/>
      <c r="OVF25" s="5"/>
      <c r="OVG25" s="5"/>
      <c r="OVH25" s="5"/>
      <c r="OVI25" s="5"/>
      <c r="OVJ25" s="5"/>
      <c r="OVK25" s="5"/>
      <c r="OVL25" s="5"/>
      <c r="OVM25" s="5"/>
      <c r="OVN25" s="5"/>
      <c r="OVO25" s="5"/>
      <c r="OVP25" s="5"/>
      <c r="OVQ25" s="5"/>
      <c r="OVR25" s="5"/>
      <c r="OVS25" s="5"/>
      <c r="OVT25" s="5"/>
      <c r="OVU25" s="5"/>
      <c r="OVV25" s="5"/>
      <c r="OVW25" s="5"/>
      <c r="OVX25" s="5"/>
      <c r="OVY25" s="5"/>
      <c r="OVZ25" s="5"/>
      <c r="OWA25" s="5"/>
      <c r="OWB25" s="5"/>
      <c r="OWC25" s="5"/>
      <c r="OWD25" s="5"/>
      <c r="OWE25" s="5"/>
      <c r="OWF25" s="5"/>
      <c r="OWG25" s="5"/>
      <c r="OWH25" s="5"/>
      <c r="OWI25" s="5"/>
      <c r="OWJ25" s="5"/>
      <c r="OWK25" s="5"/>
      <c r="OWL25" s="5"/>
      <c r="OWM25" s="5"/>
      <c r="OWN25" s="5"/>
      <c r="OWO25" s="5"/>
      <c r="OWP25" s="5"/>
      <c r="OWQ25" s="5"/>
      <c r="OWR25" s="5"/>
      <c r="OWS25" s="5"/>
      <c r="OWT25" s="5"/>
      <c r="OWU25" s="5"/>
      <c r="OWV25" s="5"/>
      <c r="OWW25" s="5"/>
      <c r="OWX25" s="5"/>
      <c r="OWY25" s="5"/>
      <c r="OWZ25" s="5"/>
      <c r="OXA25" s="5"/>
      <c r="OXB25" s="5"/>
      <c r="OXC25" s="5"/>
      <c r="OXD25" s="5"/>
      <c r="OXE25" s="5"/>
      <c r="OXF25" s="5"/>
      <c r="OXG25" s="5"/>
      <c r="OXH25" s="5"/>
      <c r="OXI25" s="5"/>
      <c r="OXJ25" s="5"/>
      <c r="OXK25" s="5"/>
      <c r="OXL25" s="5"/>
      <c r="OXM25" s="5"/>
      <c r="OXN25" s="5"/>
      <c r="OXO25" s="5"/>
      <c r="OXP25" s="5"/>
      <c r="OXQ25" s="5"/>
      <c r="OXR25" s="5"/>
      <c r="OXS25" s="5"/>
      <c r="OXT25" s="5"/>
      <c r="OXU25" s="5"/>
      <c r="OXV25" s="5"/>
      <c r="OXW25" s="5"/>
      <c r="OXX25" s="5"/>
      <c r="OXY25" s="5"/>
      <c r="OXZ25" s="5"/>
      <c r="OYA25" s="5"/>
      <c r="OYB25" s="5"/>
      <c r="OYC25" s="5"/>
      <c r="OYD25" s="5"/>
      <c r="OYE25" s="5"/>
      <c r="OYF25" s="5"/>
      <c r="OYG25" s="5"/>
      <c r="OYH25" s="5"/>
      <c r="OYI25" s="5"/>
      <c r="OYJ25" s="5"/>
      <c r="OYK25" s="5"/>
      <c r="OYL25" s="5"/>
      <c r="OYM25" s="5"/>
      <c r="OYN25" s="5"/>
      <c r="OYO25" s="5"/>
      <c r="OYP25" s="5"/>
      <c r="OYQ25" s="5"/>
      <c r="OYR25" s="5"/>
      <c r="OYS25" s="5"/>
      <c r="OYT25" s="5"/>
      <c r="OYU25" s="5"/>
      <c r="OYV25" s="5"/>
      <c r="OYW25" s="5"/>
      <c r="OYX25" s="5"/>
      <c r="OYY25" s="5"/>
      <c r="OYZ25" s="5"/>
      <c r="OZA25" s="5"/>
      <c r="OZB25" s="5"/>
      <c r="OZC25" s="5"/>
      <c r="OZD25" s="5"/>
      <c r="OZE25" s="5"/>
      <c r="OZF25" s="5"/>
      <c r="OZG25" s="5"/>
      <c r="OZH25" s="5"/>
      <c r="OZI25" s="5"/>
      <c r="OZJ25" s="5"/>
      <c r="OZK25" s="5"/>
      <c r="OZL25" s="5"/>
      <c r="OZM25" s="5"/>
      <c r="OZN25" s="5"/>
      <c r="OZO25" s="5"/>
      <c r="OZP25" s="5"/>
      <c r="OZQ25" s="5"/>
      <c r="OZR25" s="5"/>
      <c r="OZS25" s="5"/>
      <c r="OZT25" s="5"/>
      <c r="OZU25" s="5"/>
      <c r="OZV25" s="5"/>
      <c r="OZW25" s="5"/>
      <c r="OZX25" s="5"/>
      <c r="OZY25" s="5"/>
      <c r="OZZ25" s="5"/>
      <c r="PAA25" s="5"/>
      <c r="PAB25" s="5"/>
      <c r="PAC25" s="5"/>
      <c r="PAD25" s="5"/>
      <c r="PAE25" s="5"/>
      <c r="PAF25" s="5"/>
      <c r="PAG25" s="5"/>
      <c r="PAH25" s="5"/>
      <c r="PAI25" s="5"/>
      <c r="PAJ25" s="5"/>
      <c r="PAK25" s="5"/>
      <c r="PAL25" s="5"/>
      <c r="PAM25" s="5"/>
      <c r="PAN25" s="5"/>
      <c r="PAO25" s="5"/>
      <c r="PAP25" s="5"/>
      <c r="PAQ25" s="5"/>
      <c r="PAR25" s="5"/>
      <c r="PAS25" s="5"/>
      <c r="PAT25" s="5"/>
      <c r="PAU25" s="5"/>
      <c r="PAV25" s="5"/>
      <c r="PAW25" s="5"/>
      <c r="PAX25" s="5"/>
      <c r="PAY25" s="5"/>
      <c r="PAZ25" s="5"/>
      <c r="PBA25" s="5"/>
      <c r="PBB25" s="5"/>
      <c r="PBC25" s="5"/>
      <c r="PBD25" s="5"/>
      <c r="PBE25" s="5"/>
      <c r="PBF25" s="5"/>
      <c r="PBG25" s="5"/>
      <c r="PBH25" s="5"/>
      <c r="PBI25" s="5"/>
      <c r="PBJ25" s="5"/>
      <c r="PBK25" s="5"/>
      <c r="PBL25" s="5"/>
      <c r="PBM25" s="5"/>
      <c r="PBN25" s="5"/>
      <c r="PBO25" s="5"/>
      <c r="PBP25" s="5"/>
      <c r="PBQ25" s="5"/>
      <c r="PBR25" s="5"/>
      <c r="PBS25" s="5"/>
      <c r="PBT25" s="5"/>
      <c r="PBU25" s="5"/>
      <c r="PBV25" s="5"/>
      <c r="PBW25" s="5"/>
      <c r="PBX25" s="5"/>
      <c r="PBY25" s="5"/>
      <c r="PBZ25" s="5"/>
      <c r="PCA25" s="5"/>
      <c r="PCB25" s="5"/>
      <c r="PCC25" s="5"/>
      <c r="PCD25" s="5"/>
      <c r="PCE25" s="5"/>
      <c r="PCF25" s="5"/>
      <c r="PCG25" s="5"/>
      <c r="PCH25" s="5"/>
      <c r="PCI25" s="5"/>
      <c r="PCJ25" s="5"/>
      <c r="PCK25" s="5"/>
      <c r="PCL25" s="5"/>
      <c r="PCM25" s="5"/>
      <c r="PCN25" s="5"/>
      <c r="PCO25" s="5"/>
      <c r="PCP25" s="5"/>
      <c r="PCQ25" s="5"/>
      <c r="PCR25" s="5"/>
      <c r="PCS25" s="5"/>
      <c r="PCT25" s="5"/>
      <c r="PCU25" s="5"/>
      <c r="PCV25" s="5"/>
      <c r="PCW25" s="5"/>
      <c r="PCX25" s="5"/>
      <c r="PCY25" s="5"/>
      <c r="PCZ25" s="5"/>
      <c r="PDA25" s="5"/>
      <c r="PDB25" s="5"/>
      <c r="PDC25" s="5"/>
      <c r="PDD25" s="5"/>
      <c r="PDE25" s="5"/>
      <c r="PDF25" s="5"/>
      <c r="PDG25" s="5"/>
      <c r="PDH25" s="5"/>
      <c r="PDI25" s="5"/>
      <c r="PDJ25" s="5"/>
      <c r="PDK25" s="5"/>
      <c r="PDL25" s="5"/>
      <c r="PDM25" s="5"/>
      <c r="PDN25" s="5"/>
      <c r="PDO25" s="5"/>
      <c r="PDP25" s="5"/>
      <c r="PDQ25" s="5"/>
      <c r="PDR25" s="5"/>
      <c r="PDS25" s="5"/>
      <c r="PDT25" s="5"/>
      <c r="PDU25" s="5"/>
      <c r="PDV25" s="5"/>
      <c r="PDW25" s="5"/>
      <c r="PDX25" s="5"/>
      <c r="PDY25" s="5"/>
      <c r="PDZ25" s="5"/>
      <c r="PEA25" s="5"/>
      <c r="PEB25" s="5"/>
      <c r="PEC25" s="5"/>
      <c r="PED25" s="5"/>
      <c r="PEE25" s="5"/>
      <c r="PEF25" s="5"/>
      <c r="PEG25" s="5"/>
      <c r="PEH25" s="5"/>
      <c r="PEI25" s="5"/>
      <c r="PEJ25" s="5"/>
      <c r="PEK25" s="5"/>
      <c r="PEL25" s="5"/>
      <c r="PEM25" s="5"/>
      <c r="PEN25" s="5"/>
      <c r="PEO25" s="5"/>
      <c r="PEP25" s="5"/>
      <c r="PEQ25" s="5"/>
      <c r="PER25" s="5"/>
      <c r="PES25" s="5"/>
      <c r="PET25" s="5"/>
      <c r="PEU25" s="5"/>
      <c r="PEV25" s="5"/>
      <c r="PEW25" s="5"/>
      <c r="PEX25" s="5"/>
      <c r="PEY25" s="5"/>
      <c r="PEZ25" s="5"/>
      <c r="PFA25" s="5"/>
      <c r="PFB25" s="5"/>
      <c r="PFC25" s="5"/>
      <c r="PFD25" s="5"/>
      <c r="PFE25" s="5"/>
      <c r="PFF25" s="5"/>
      <c r="PFG25" s="5"/>
      <c r="PFH25" s="5"/>
      <c r="PFI25" s="5"/>
      <c r="PFJ25" s="5"/>
      <c r="PFK25" s="5"/>
      <c r="PFL25" s="5"/>
      <c r="PFM25" s="5"/>
      <c r="PFN25" s="5"/>
      <c r="PFO25" s="5"/>
      <c r="PFP25" s="5"/>
      <c r="PFQ25" s="5"/>
      <c r="PFR25" s="5"/>
      <c r="PFS25" s="5"/>
      <c r="PFT25" s="5"/>
      <c r="PFU25" s="5"/>
      <c r="PFV25" s="5"/>
      <c r="PFW25" s="5"/>
      <c r="PFX25" s="5"/>
      <c r="PFY25" s="5"/>
      <c r="PFZ25" s="5"/>
      <c r="PGA25" s="5"/>
      <c r="PGB25" s="5"/>
      <c r="PGC25" s="5"/>
      <c r="PGD25" s="5"/>
      <c r="PGE25" s="5"/>
      <c r="PGF25" s="5"/>
      <c r="PGG25" s="5"/>
      <c r="PGH25" s="5"/>
      <c r="PGI25" s="5"/>
      <c r="PGJ25" s="5"/>
      <c r="PGK25" s="5"/>
      <c r="PGL25" s="5"/>
      <c r="PGM25" s="5"/>
      <c r="PGN25" s="5"/>
      <c r="PGO25" s="5"/>
      <c r="PGP25" s="5"/>
      <c r="PGQ25" s="5"/>
      <c r="PGR25" s="5"/>
      <c r="PGS25" s="5"/>
      <c r="PGT25" s="5"/>
      <c r="PGU25" s="5"/>
      <c r="PGV25" s="5"/>
      <c r="PGW25" s="5"/>
      <c r="PGX25" s="5"/>
      <c r="PGY25" s="5"/>
      <c r="PGZ25" s="5"/>
      <c r="PHA25" s="5"/>
      <c r="PHB25" s="5"/>
      <c r="PHC25" s="5"/>
      <c r="PHD25" s="5"/>
      <c r="PHE25" s="5"/>
      <c r="PHF25" s="5"/>
      <c r="PHG25" s="5"/>
      <c r="PHH25" s="5"/>
      <c r="PHI25" s="5"/>
      <c r="PHJ25" s="5"/>
      <c r="PHK25" s="5"/>
      <c r="PHL25" s="5"/>
      <c r="PHM25" s="5"/>
      <c r="PHN25" s="5"/>
      <c r="PHO25" s="5"/>
      <c r="PHP25" s="5"/>
      <c r="PHQ25" s="5"/>
      <c r="PHR25" s="5"/>
      <c r="PHS25" s="5"/>
      <c r="PHT25" s="5"/>
      <c r="PHU25" s="5"/>
      <c r="PHV25" s="5"/>
      <c r="PHW25" s="5"/>
      <c r="PHX25" s="5"/>
      <c r="PHY25" s="5"/>
      <c r="PHZ25" s="5"/>
      <c r="PIA25" s="5"/>
      <c r="PIB25" s="5"/>
      <c r="PIC25" s="5"/>
      <c r="PID25" s="5"/>
      <c r="PIE25" s="5"/>
      <c r="PIF25" s="5"/>
      <c r="PIG25" s="5"/>
      <c r="PIH25" s="5"/>
      <c r="PII25" s="5"/>
      <c r="PIJ25" s="5"/>
      <c r="PIK25" s="5"/>
      <c r="PIL25" s="5"/>
      <c r="PIM25" s="5"/>
      <c r="PIN25" s="5"/>
      <c r="PIO25" s="5"/>
      <c r="PIP25" s="5"/>
      <c r="PIQ25" s="5"/>
      <c r="PIR25" s="5"/>
      <c r="PIS25" s="5"/>
      <c r="PIT25" s="5"/>
      <c r="PIU25" s="5"/>
      <c r="PIV25" s="5"/>
      <c r="PIW25" s="5"/>
      <c r="PIX25" s="5"/>
      <c r="PIY25" s="5"/>
      <c r="PIZ25" s="5"/>
      <c r="PJA25" s="5"/>
      <c r="PJB25" s="5"/>
      <c r="PJC25" s="5"/>
      <c r="PJD25" s="5"/>
      <c r="PJE25" s="5"/>
      <c r="PJF25" s="5"/>
      <c r="PJG25" s="5"/>
      <c r="PJH25" s="5"/>
      <c r="PJI25" s="5"/>
      <c r="PJJ25" s="5"/>
      <c r="PJK25" s="5"/>
      <c r="PJL25" s="5"/>
      <c r="PJM25" s="5"/>
      <c r="PJN25" s="5"/>
      <c r="PJO25" s="5"/>
      <c r="PJP25" s="5"/>
      <c r="PJQ25" s="5"/>
      <c r="PJR25" s="5"/>
      <c r="PJS25" s="5"/>
      <c r="PJT25" s="5"/>
      <c r="PJU25" s="5"/>
      <c r="PJV25" s="5"/>
      <c r="PJW25" s="5"/>
      <c r="PJX25" s="5"/>
      <c r="PJY25" s="5"/>
      <c r="PJZ25" s="5"/>
      <c r="PKA25" s="5"/>
      <c r="PKB25" s="5"/>
      <c r="PKC25" s="5"/>
      <c r="PKD25" s="5"/>
      <c r="PKE25" s="5"/>
      <c r="PKF25" s="5"/>
      <c r="PKG25" s="5"/>
      <c r="PKH25" s="5"/>
      <c r="PKI25" s="5"/>
      <c r="PKJ25" s="5"/>
      <c r="PKK25" s="5"/>
      <c r="PKL25" s="5"/>
      <c r="PKM25" s="5"/>
      <c r="PKN25" s="5"/>
      <c r="PKO25" s="5"/>
      <c r="PKP25" s="5"/>
      <c r="PKQ25" s="5"/>
      <c r="PKR25" s="5"/>
      <c r="PKS25" s="5"/>
      <c r="PKT25" s="5"/>
      <c r="PKU25" s="5"/>
      <c r="PKV25" s="5"/>
      <c r="PKW25" s="5"/>
      <c r="PKX25" s="5"/>
      <c r="PKY25" s="5"/>
      <c r="PKZ25" s="5"/>
      <c r="PLA25" s="5"/>
      <c r="PLB25" s="5"/>
      <c r="PLC25" s="5"/>
      <c r="PLD25" s="5"/>
      <c r="PLE25" s="5"/>
      <c r="PLF25" s="5"/>
      <c r="PLG25" s="5"/>
      <c r="PLH25" s="5"/>
      <c r="PLI25" s="5"/>
      <c r="PLJ25" s="5"/>
      <c r="PLK25" s="5"/>
      <c r="PLL25" s="5"/>
      <c r="PLM25" s="5"/>
      <c r="PLN25" s="5"/>
      <c r="PLO25" s="5"/>
      <c r="PLP25" s="5"/>
      <c r="PLQ25" s="5"/>
      <c r="PLR25" s="5"/>
      <c r="PLS25" s="5"/>
      <c r="PLT25" s="5"/>
      <c r="PLU25" s="5"/>
      <c r="PLV25" s="5"/>
      <c r="PLW25" s="5"/>
      <c r="PLX25" s="5"/>
      <c r="PLY25" s="5"/>
      <c r="PLZ25" s="5"/>
      <c r="PMA25" s="5"/>
      <c r="PMB25" s="5"/>
      <c r="PMC25" s="5"/>
      <c r="PMD25" s="5"/>
      <c r="PME25" s="5"/>
      <c r="PMF25" s="5"/>
      <c r="PMG25" s="5"/>
      <c r="PMH25" s="5"/>
      <c r="PMI25" s="5"/>
      <c r="PMJ25" s="5"/>
      <c r="PMK25" s="5"/>
      <c r="PML25" s="5"/>
      <c r="PMM25" s="5"/>
      <c r="PMN25" s="5"/>
      <c r="PMO25" s="5"/>
      <c r="PMP25" s="5"/>
      <c r="PMQ25" s="5"/>
      <c r="PMR25" s="5"/>
      <c r="PMS25" s="5"/>
      <c r="PMT25" s="5"/>
      <c r="PMU25" s="5"/>
      <c r="PMV25" s="5"/>
      <c r="PMW25" s="5"/>
      <c r="PMX25" s="5"/>
      <c r="PMY25" s="5"/>
      <c r="PMZ25" s="5"/>
      <c r="PNA25" s="5"/>
      <c r="PNB25" s="5"/>
      <c r="PNC25" s="5"/>
      <c r="PND25" s="5"/>
      <c r="PNE25" s="5"/>
      <c r="PNF25" s="5"/>
      <c r="PNG25" s="5"/>
      <c r="PNH25" s="5"/>
      <c r="PNI25" s="5"/>
      <c r="PNJ25" s="5"/>
      <c r="PNK25" s="5"/>
      <c r="PNL25" s="5"/>
      <c r="PNM25" s="5"/>
      <c r="PNN25" s="5"/>
      <c r="PNO25" s="5"/>
      <c r="PNP25" s="5"/>
      <c r="PNQ25" s="5"/>
      <c r="PNR25" s="5"/>
      <c r="PNS25" s="5"/>
      <c r="PNT25" s="5"/>
      <c r="PNU25" s="5"/>
      <c r="PNV25" s="5"/>
      <c r="PNW25" s="5"/>
      <c r="PNX25" s="5"/>
      <c r="PNY25" s="5"/>
      <c r="PNZ25" s="5"/>
      <c r="POA25" s="5"/>
      <c r="POB25" s="5"/>
      <c r="POC25" s="5"/>
      <c r="POD25" s="5"/>
      <c r="POE25" s="5"/>
      <c r="POF25" s="5"/>
      <c r="POG25" s="5"/>
      <c r="POH25" s="5"/>
      <c r="POI25" s="5"/>
      <c r="POJ25" s="5"/>
      <c r="POK25" s="5"/>
      <c r="POL25" s="5"/>
      <c r="POM25" s="5"/>
      <c r="PON25" s="5"/>
      <c r="POO25" s="5"/>
      <c r="POP25" s="5"/>
      <c r="POQ25" s="5"/>
      <c r="POR25" s="5"/>
      <c r="POS25" s="5"/>
      <c r="POT25" s="5"/>
      <c r="POU25" s="5"/>
      <c r="POV25" s="5"/>
      <c r="POW25" s="5"/>
      <c r="POX25" s="5"/>
      <c r="POY25" s="5"/>
      <c r="POZ25" s="5"/>
      <c r="PPA25" s="5"/>
      <c r="PPB25" s="5"/>
      <c r="PPC25" s="5"/>
      <c r="PPD25" s="5"/>
      <c r="PPE25" s="5"/>
      <c r="PPF25" s="5"/>
      <c r="PPG25" s="5"/>
      <c r="PPH25" s="5"/>
      <c r="PPI25" s="5"/>
      <c r="PPJ25" s="5"/>
      <c r="PPK25" s="5"/>
      <c r="PPL25" s="5"/>
      <c r="PPM25" s="5"/>
      <c r="PPN25" s="5"/>
      <c r="PPO25" s="5"/>
      <c r="PPP25" s="5"/>
      <c r="PPQ25" s="5"/>
      <c r="PPR25" s="5"/>
      <c r="PPS25" s="5"/>
      <c r="PPT25" s="5"/>
      <c r="PPU25" s="5"/>
      <c r="PPV25" s="5"/>
      <c r="PPW25" s="5"/>
      <c r="PPX25" s="5"/>
      <c r="PPY25" s="5"/>
      <c r="PPZ25" s="5"/>
      <c r="PQA25" s="5"/>
      <c r="PQB25" s="5"/>
      <c r="PQC25" s="5"/>
      <c r="PQD25" s="5"/>
      <c r="PQE25" s="5"/>
      <c r="PQF25" s="5"/>
      <c r="PQG25" s="5"/>
      <c r="PQH25" s="5"/>
      <c r="PQI25" s="5"/>
      <c r="PQJ25" s="5"/>
      <c r="PQK25" s="5"/>
      <c r="PQL25" s="5"/>
      <c r="PQM25" s="5"/>
      <c r="PQN25" s="5"/>
      <c r="PQO25" s="5"/>
      <c r="PQP25" s="5"/>
      <c r="PQQ25" s="5"/>
      <c r="PQR25" s="5"/>
      <c r="PQS25" s="5"/>
      <c r="PQT25" s="5"/>
      <c r="PQU25" s="5"/>
      <c r="PQV25" s="5"/>
      <c r="PQW25" s="5"/>
      <c r="PQX25" s="5"/>
      <c r="PQY25" s="5"/>
      <c r="PQZ25" s="5"/>
      <c r="PRA25" s="5"/>
      <c r="PRB25" s="5"/>
      <c r="PRC25" s="5"/>
      <c r="PRD25" s="5"/>
      <c r="PRE25" s="5"/>
      <c r="PRF25" s="5"/>
      <c r="PRG25" s="5"/>
      <c r="PRH25" s="5"/>
      <c r="PRI25" s="5"/>
      <c r="PRJ25" s="5"/>
      <c r="PRK25" s="5"/>
      <c r="PRL25" s="5"/>
      <c r="PRM25" s="5"/>
      <c r="PRN25" s="5"/>
      <c r="PRO25" s="5"/>
      <c r="PRP25" s="5"/>
      <c r="PRQ25" s="5"/>
      <c r="PRR25" s="5"/>
      <c r="PRS25" s="5"/>
      <c r="PRT25" s="5"/>
      <c r="PRU25" s="5"/>
      <c r="PRV25" s="5"/>
      <c r="PRW25" s="5"/>
      <c r="PRX25" s="5"/>
      <c r="PRY25" s="5"/>
      <c r="PRZ25" s="5"/>
      <c r="PSA25" s="5"/>
      <c r="PSB25" s="5"/>
      <c r="PSC25" s="5"/>
      <c r="PSD25" s="5"/>
      <c r="PSE25" s="5"/>
      <c r="PSF25" s="5"/>
      <c r="PSG25" s="5"/>
      <c r="PSH25" s="5"/>
      <c r="PSI25" s="5"/>
      <c r="PSJ25" s="5"/>
      <c r="PSK25" s="5"/>
      <c r="PSL25" s="5"/>
      <c r="PSM25" s="5"/>
      <c r="PSN25" s="5"/>
      <c r="PSO25" s="5"/>
      <c r="PSP25" s="5"/>
      <c r="PSQ25" s="5"/>
      <c r="PSR25" s="5"/>
      <c r="PSS25" s="5"/>
      <c r="PST25" s="5"/>
      <c r="PSU25" s="5"/>
      <c r="PSV25" s="5"/>
      <c r="PSW25" s="5"/>
      <c r="PSX25" s="5"/>
      <c r="PSY25" s="5"/>
      <c r="PSZ25" s="5"/>
      <c r="PTA25" s="5"/>
      <c r="PTB25" s="5"/>
      <c r="PTC25" s="5"/>
      <c r="PTD25" s="5"/>
      <c r="PTE25" s="5"/>
      <c r="PTF25" s="5"/>
      <c r="PTG25" s="5"/>
      <c r="PTH25" s="5"/>
      <c r="PTI25" s="5"/>
      <c r="PTJ25" s="5"/>
      <c r="PTK25" s="5"/>
      <c r="PTL25" s="5"/>
      <c r="PTM25" s="5"/>
      <c r="PTN25" s="5"/>
      <c r="PTO25" s="5"/>
      <c r="PTP25" s="5"/>
      <c r="PTQ25" s="5"/>
      <c r="PTR25" s="5"/>
      <c r="PTS25" s="5"/>
      <c r="PTT25" s="5"/>
      <c r="PTU25" s="5"/>
      <c r="PTV25" s="5"/>
      <c r="PTW25" s="5"/>
      <c r="PTX25" s="5"/>
      <c r="PTY25" s="5"/>
      <c r="PTZ25" s="5"/>
      <c r="PUA25" s="5"/>
      <c r="PUB25" s="5"/>
      <c r="PUC25" s="5"/>
      <c r="PUD25" s="5"/>
      <c r="PUE25" s="5"/>
      <c r="PUF25" s="5"/>
      <c r="PUG25" s="5"/>
      <c r="PUH25" s="5"/>
      <c r="PUI25" s="5"/>
      <c r="PUJ25" s="5"/>
      <c r="PUK25" s="5"/>
      <c r="PUL25" s="5"/>
      <c r="PUM25" s="5"/>
      <c r="PUN25" s="5"/>
      <c r="PUO25" s="5"/>
      <c r="PUP25" s="5"/>
      <c r="PUQ25" s="5"/>
      <c r="PUR25" s="5"/>
      <c r="PUS25" s="5"/>
      <c r="PUT25" s="5"/>
      <c r="PUU25" s="5"/>
      <c r="PUV25" s="5"/>
      <c r="PUW25" s="5"/>
      <c r="PUX25" s="5"/>
      <c r="PUY25" s="5"/>
      <c r="PUZ25" s="5"/>
      <c r="PVA25" s="5"/>
      <c r="PVB25" s="5"/>
      <c r="PVC25" s="5"/>
      <c r="PVD25" s="5"/>
      <c r="PVE25" s="5"/>
      <c r="PVF25" s="5"/>
      <c r="PVG25" s="5"/>
      <c r="PVH25" s="5"/>
      <c r="PVI25" s="5"/>
      <c r="PVJ25" s="5"/>
      <c r="PVK25" s="5"/>
      <c r="PVL25" s="5"/>
      <c r="PVM25" s="5"/>
      <c r="PVN25" s="5"/>
      <c r="PVO25" s="5"/>
      <c r="PVP25" s="5"/>
      <c r="PVQ25" s="5"/>
      <c r="PVR25" s="5"/>
      <c r="PVS25" s="5"/>
      <c r="PVT25" s="5"/>
      <c r="PVU25" s="5"/>
      <c r="PVV25" s="5"/>
      <c r="PVW25" s="5"/>
      <c r="PVX25" s="5"/>
      <c r="PVY25" s="5"/>
      <c r="PVZ25" s="5"/>
      <c r="PWA25" s="5"/>
      <c r="PWB25" s="5"/>
      <c r="PWC25" s="5"/>
      <c r="PWD25" s="5"/>
      <c r="PWE25" s="5"/>
      <c r="PWF25" s="5"/>
      <c r="PWG25" s="5"/>
      <c r="PWH25" s="5"/>
      <c r="PWI25" s="5"/>
      <c r="PWJ25" s="5"/>
      <c r="PWK25" s="5"/>
      <c r="PWL25" s="5"/>
      <c r="PWM25" s="5"/>
      <c r="PWN25" s="5"/>
      <c r="PWO25" s="5"/>
      <c r="PWP25" s="5"/>
      <c r="PWQ25" s="5"/>
      <c r="PWR25" s="5"/>
      <c r="PWS25" s="5"/>
      <c r="PWT25" s="5"/>
      <c r="PWU25" s="5"/>
      <c r="PWV25" s="5"/>
      <c r="PWW25" s="5"/>
      <c r="PWX25" s="5"/>
      <c r="PWY25" s="5"/>
      <c r="PWZ25" s="5"/>
      <c r="PXA25" s="5"/>
      <c r="PXB25" s="5"/>
      <c r="PXC25" s="5"/>
      <c r="PXD25" s="5"/>
      <c r="PXE25" s="5"/>
      <c r="PXF25" s="5"/>
      <c r="PXG25" s="5"/>
      <c r="PXH25" s="5"/>
      <c r="PXI25" s="5"/>
      <c r="PXJ25" s="5"/>
      <c r="PXK25" s="5"/>
      <c r="PXL25" s="5"/>
      <c r="PXM25" s="5"/>
      <c r="PXN25" s="5"/>
      <c r="PXO25" s="5"/>
      <c r="PXP25" s="5"/>
      <c r="PXQ25" s="5"/>
      <c r="PXR25" s="5"/>
      <c r="PXS25" s="5"/>
      <c r="PXT25" s="5"/>
      <c r="PXU25" s="5"/>
      <c r="PXV25" s="5"/>
      <c r="PXW25" s="5"/>
      <c r="PXX25" s="5"/>
      <c r="PXY25" s="5"/>
      <c r="PXZ25" s="5"/>
      <c r="PYA25" s="5"/>
      <c r="PYB25" s="5"/>
      <c r="PYC25" s="5"/>
      <c r="PYD25" s="5"/>
      <c r="PYE25" s="5"/>
      <c r="PYF25" s="5"/>
      <c r="PYG25" s="5"/>
      <c r="PYH25" s="5"/>
      <c r="PYI25" s="5"/>
      <c r="PYJ25" s="5"/>
      <c r="PYK25" s="5"/>
      <c r="PYL25" s="5"/>
      <c r="PYM25" s="5"/>
      <c r="PYN25" s="5"/>
      <c r="PYO25" s="5"/>
      <c r="PYP25" s="5"/>
      <c r="PYQ25" s="5"/>
      <c r="PYR25" s="5"/>
      <c r="PYS25" s="5"/>
      <c r="PYT25" s="5"/>
      <c r="PYU25" s="5"/>
      <c r="PYV25" s="5"/>
      <c r="PYW25" s="5"/>
      <c r="PYX25" s="5"/>
      <c r="PYY25" s="5"/>
      <c r="PYZ25" s="5"/>
      <c r="PZA25" s="5"/>
      <c r="PZB25" s="5"/>
      <c r="PZC25" s="5"/>
      <c r="PZD25" s="5"/>
      <c r="PZE25" s="5"/>
      <c r="PZF25" s="5"/>
      <c r="PZG25" s="5"/>
      <c r="PZH25" s="5"/>
      <c r="PZI25" s="5"/>
      <c r="PZJ25" s="5"/>
      <c r="PZK25" s="5"/>
      <c r="PZL25" s="5"/>
      <c r="PZM25" s="5"/>
      <c r="PZN25" s="5"/>
      <c r="PZO25" s="5"/>
      <c r="PZP25" s="5"/>
      <c r="PZQ25" s="5"/>
      <c r="PZR25" s="5"/>
      <c r="PZS25" s="5"/>
      <c r="PZT25" s="5"/>
      <c r="PZU25" s="5"/>
      <c r="PZV25" s="5"/>
      <c r="PZW25" s="5"/>
      <c r="PZX25" s="5"/>
      <c r="PZY25" s="5"/>
      <c r="PZZ25" s="5"/>
      <c r="QAA25" s="5"/>
      <c r="QAB25" s="5"/>
      <c r="QAC25" s="5"/>
      <c r="QAD25" s="5"/>
      <c r="QAE25" s="5"/>
      <c r="QAF25" s="5"/>
      <c r="QAG25" s="5"/>
      <c r="QAH25" s="5"/>
      <c r="QAI25" s="5"/>
      <c r="QAJ25" s="5"/>
      <c r="QAK25" s="5"/>
      <c r="QAL25" s="5"/>
      <c r="QAM25" s="5"/>
      <c r="QAN25" s="5"/>
      <c r="QAO25" s="5"/>
      <c r="QAP25" s="5"/>
      <c r="QAQ25" s="5"/>
      <c r="QAR25" s="5"/>
      <c r="QAS25" s="5"/>
      <c r="QAT25" s="5"/>
      <c r="QAU25" s="5"/>
      <c r="QAV25" s="5"/>
      <c r="QAW25" s="5"/>
      <c r="QAX25" s="5"/>
      <c r="QAY25" s="5"/>
      <c r="QAZ25" s="5"/>
      <c r="QBA25" s="5"/>
      <c r="QBB25" s="5"/>
      <c r="QBC25" s="5"/>
      <c r="QBD25" s="5"/>
      <c r="QBE25" s="5"/>
      <c r="QBF25" s="5"/>
      <c r="QBG25" s="5"/>
      <c r="QBH25" s="5"/>
      <c r="QBI25" s="5"/>
      <c r="QBJ25" s="5"/>
      <c r="QBK25" s="5"/>
      <c r="QBL25" s="5"/>
      <c r="QBM25" s="5"/>
      <c r="QBN25" s="5"/>
      <c r="QBO25" s="5"/>
      <c r="QBP25" s="5"/>
      <c r="QBQ25" s="5"/>
      <c r="QBR25" s="5"/>
      <c r="QBS25" s="5"/>
      <c r="QBT25" s="5"/>
      <c r="QBU25" s="5"/>
      <c r="QBV25" s="5"/>
      <c r="QBW25" s="5"/>
      <c r="QBX25" s="5"/>
      <c r="QBY25" s="5"/>
      <c r="QBZ25" s="5"/>
      <c r="QCA25" s="5"/>
      <c r="QCB25" s="5"/>
      <c r="QCC25" s="5"/>
      <c r="QCD25" s="5"/>
      <c r="QCE25" s="5"/>
      <c r="QCF25" s="5"/>
      <c r="QCG25" s="5"/>
      <c r="QCH25" s="5"/>
      <c r="QCI25" s="5"/>
      <c r="QCJ25" s="5"/>
      <c r="QCK25" s="5"/>
      <c r="QCL25" s="5"/>
      <c r="QCM25" s="5"/>
      <c r="QCN25" s="5"/>
      <c r="QCO25" s="5"/>
      <c r="QCP25" s="5"/>
      <c r="QCQ25" s="5"/>
      <c r="QCR25" s="5"/>
      <c r="QCS25" s="5"/>
      <c r="QCT25" s="5"/>
      <c r="QCU25" s="5"/>
      <c r="QCV25" s="5"/>
      <c r="QCW25" s="5"/>
      <c r="QCX25" s="5"/>
      <c r="QCY25" s="5"/>
      <c r="QCZ25" s="5"/>
      <c r="QDA25" s="5"/>
      <c r="QDB25" s="5"/>
      <c r="QDC25" s="5"/>
      <c r="QDD25" s="5"/>
      <c r="QDE25" s="5"/>
      <c r="QDF25" s="5"/>
      <c r="QDG25" s="5"/>
      <c r="QDH25" s="5"/>
      <c r="QDI25" s="5"/>
      <c r="QDJ25" s="5"/>
      <c r="QDK25" s="5"/>
      <c r="QDL25" s="5"/>
      <c r="QDM25" s="5"/>
      <c r="QDN25" s="5"/>
      <c r="QDO25" s="5"/>
      <c r="QDP25" s="5"/>
      <c r="QDQ25" s="5"/>
      <c r="QDR25" s="5"/>
      <c r="QDS25" s="5"/>
      <c r="QDT25" s="5"/>
      <c r="QDU25" s="5"/>
      <c r="QDV25" s="5"/>
      <c r="QDW25" s="5"/>
      <c r="QDX25" s="5"/>
      <c r="QDY25" s="5"/>
      <c r="QDZ25" s="5"/>
      <c r="QEA25" s="5"/>
      <c r="QEB25" s="5"/>
      <c r="QEC25" s="5"/>
      <c r="QED25" s="5"/>
      <c r="QEE25" s="5"/>
      <c r="QEF25" s="5"/>
      <c r="QEG25" s="5"/>
      <c r="QEH25" s="5"/>
      <c r="QEI25" s="5"/>
      <c r="QEJ25" s="5"/>
      <c r="QEK25" s="5"/>
      <c r="QEL25" s="5"/>
      <c r="QEM25" s="5"/>
      <c r="QEN25" s="5"/>
      <c r="QEO25" s="5"/>
      <c r="QEP25" s="5"/>
      <c r="QEQ25" s="5"/>
      <c r="QER25" s="5"/>
      <c r="QES25" s="5"/>
      <c r="QET25" s="5"/>
      <c r="QEU25" s="5"/>
      <c r="QEV25" s="5"/>
      <c r="QEW25" s="5"/>
      <c r="QEX25" s="5"/>
      <c r="QEY25" s="5"/>
      <c r="QEZ25" s="5"/>
      <c r="QFA25" s="5"/>
      <c r="QFB25" s="5"/>
      <c r="QFC25" s="5"/>
      <c r="QFD25" s="5"/>
      <c r="QFE25" s="5"/>
      <c r="QFF25" s="5"/>
      <c r="QFG25" s="5"/>
      <c r="QFH25" s="5"/>
      <c r="QFI25" s="5"/>
      <c r="QFJ25" s="5"/>
      <c r="QFK25" s="5"/>
      <c r="QFL25" s="5"/>
      <c r="QFM25" s="5"/>
      <c r="QFN25" s="5"/>
      <c r="QFO25" s="5"/>
      <c r="QFP25" s="5"/>
      <c r="QFQ25" s="5"/>
      <c r="QFR25" s="5"/>
      <c r="QFS25" s="5"/>
      <c r="QFT25" s="5"/>
      <c r="QFU25" s="5"/>
      <c r="QFV25" s="5"/>
      <c r="QFW25" s="5"/>
      <c r="QFX25" s="5"/>
      <c r="QFY25" s="5"/>
      <c r="QFZ25" s="5"/>
      <c r="QGA25" s="5"/>
      <c r="QGB25" s="5"/>
      <c r="QGC25" s="5"/>
      <c r="QGD25" s="5"/>
      <c r="QGE25" s="5"/>
      <c r="QGF25" s="5"/>
      <c r="QGG25" s="5"/>
      <c r="QGH25" s="5"/>
      <c r="QGI25" s="5"/>
      <c r="QGJ25" s="5"/>
      <c r="QGK25" s="5"/>
      <c r="QGL25" s="5"/>
      <c r="QGM25" s="5"/>
      <c r="QGN25" s="5"/>
      <c r="QGO25" s="5"/>
      <c r="QGP25" s="5"/>
      <c r="QGQ25" s="5"/>
      <c r="QGR25" s="5"/>
      <c r="QGS25" s="5"/>
      <c r="QGT25" s="5"/>
      <c r="QGU25" s="5"/>
      <c r="QGV25" s="5"/>
      <c r="QGW25" s="5"/>
      <c r="QGX25" s="5"/>
      <c r="QGY25" s="5"/>
      <c r="QGZ25" s="5"/>
      <c r="QHA25" s="5"/>
      <c r="QHB25" s="5"/>
      <c r="QHC25" s="5"/>
      <c r="QHD25" s="5"/>
      <c r="QHE25" s="5"/>
      <c r="QHF25" s="5"/>
      <c r="QHG25" s="5"/>
      <c r="QHH25" s="5"/>
      <c r="QHI25" s="5"/>
      <c r="QHJ25" s="5"/>
      <c r="QHK25" s="5"/>
      <c r="QHL25" s="5"/>
      <c r="QHM25" s="5"/>
      <c r="QHN25" s="5"/>
      <c r="QHO25" s="5"/>
      <c r="QHP25" s="5"/>
      <c r="QHQ25" s="5"/>
      <c r="QHR25" s="5"/>
      <c r="QHS25" s="5"/>
      <c r="QHT25" s="5"/>
      <c r="QHU25" s="5"/>
      <c r="QHV25" s="5"/>
      <c r="QHW25" s="5"/>
      <c r="QHX25" s="5"/>
      <c r="QHY25" s="5"/>
      <c r="QHZ25" s="5"/>
      <c r="QIA25" s="5"/>
      <c r="QIB25" s="5"/>
      <c r="QIC25" s="5"/>
      <c r="QID25" s="5"/>
      <c r="QIE25" s="5"/>
      <c r="QIF25" s="5"/>
      <c r="QIG25" s="5"/>
      <c r="QIH25" s="5"/>
      <c r="QII25" s="5"/>
      <c r="QIJ25" s="5"/>
      <c r="QIK25" s="5"/>
      <c r="QIL25" s="5"/>
      <c r="QIM25" s="5"/>
      <c r="QIN25" s="5"/>
      <c r="QIO25" s="5"/>
      <c r="QIP25" s="5"/>
      <c r="QIQ25" s="5"/>
      <c r="QIR25" s="5"/>
      <c r="QIS25" s="5"/>
      <c r="QIT25" s="5"/>
      <c r="QIU25" s="5"/>
      <c r="QIV25" s="5"/>
      <c r="QIW25" s="5"/>
      <c r="QIX25" s="5"/>
      <c r="QIY25" s="5"/>
      <c r="QIZ25" s="5"/>
      <c r="QJA25" s="5"/>
      <c r="QJB25" s="5"/>
      <c r="QJC25" s="5"/>
      <c r="QJD25" s="5"/>
      <c r="QJE25" s="5"/>
      <c r="QJF25" s="5"/>
      <c r="QJG25" s="5"/>
      <c r="QJH25" s="5"/>
      <c r="QJI25" s="5"/>
      <c r="QJJ25" s="5"/>
      <c r="QJK25" s="5"/>
      <c r="QJL25" s="5"/>
      <c r="QJM25" s="5"/>
      <c r="QJN25" s="5"/>
      <c r="QJO25" s="5"/>
      <c r="QJP25" s="5"/>
      <c r="QJQ25" s="5"/>
      <c r="QJR25" s="5"/>
      <c r="QJS25" s="5"/>
      <c r="QJT25" s="5"/>
      <c r="QJU25" s="5"/>
      <c r="QJV25" s="5"/>
      <c r="QJW25" s="5"/>
      <c r="QJX25" s="5"/>
      <c r="QJY25" s="5"/>
      <c r="QJZ25" s="5"/>
      <c r="QKA25" s="5"/>
      <c r="QKB25" s="5"/>
      <c r="QKC25" s="5"/>
      <c r="QKD25" s="5"/>
      <c r="QKE25" s="5"/>
      <c r="QKF25" s="5"/>
      <c r="QKG25" s="5"/>
      <c r="QKH25" s="5"/>
      <c r="QKI25" s="5"/>
      <c r="QKJ25" s="5"/>
      <c r="QKK25" s="5"/>
      <c r="QKL25" s="5"/>
      <c r="QKM25" s="5"/>
      <c r="QKN25" s="5"/>
      <c r="QKO25" s="5"/>
      <c r="QKP25" s="5"/>
      <c r="QKQ25" s="5"/>
      <c r="QKR25" s="5"/>
      <c r="QKS25" s="5"/>
      <c r="QKT25" s="5"/>
      <c r="QKU25" s="5"/>
      <c r="QKV25" s="5"/>
      <c r="QKW25" s="5"/>
      <c r="QKX25" s="5"/>
      <c r="QKY25" s="5"/>
      <c r="QKZ25" s="5"/>
      <c r="QLA25" s="5"/>
      <c r="QLB25" s="5"/>
      <c r="QLC25" s="5"/>
      <c r="QLD25" s="5"/>
      <c r="QLE25" s="5"/>
      <c r="QLF25" s="5"/>
      <c r="QLG25" s="5"/>
      <c r="QLH25" s="5"/>
      <c r="QLI25" s="5"/>
      <c r="QLJ25" s="5"/>
      <c r="QLK25" s="5"/>
      <c r="QLL25" s="5"/>
      <c r="QLM25" s="5"/>
      <c r="QLN25" s="5"/>
      <c r="QLO25" s="5"/>
      <c r="QLP25" s="5"/>
      <c r="QLQ25" s="5"/>
      <c r="QLR25" s="5"/>
      <c r="QLS25" s="5"/>
      <c r="QLT25" s="5"/>
      <c r="QLU25" s="5"/>
      <c r="QLV25" s="5"/>
      <c r="QLW25" s="5"/>
      <c r="QLX25" s="5"/>
      <c r="QLY25" s="5"/>
      <c r="QLZ25" s="5"/>
      <c r="QMA25" s="5"/>
      <c r="QMB25" s="5"/>
      <c r="QMC25" s="5"/>
      <c r="QMD25" s="5"/>
      <c r="QME25" s="5"/>
      <c r="QMF25" s="5"/>
      <c r="QMG25" s="5"/>
      <c r="QMH25" s="5"/>
      <c r="QMI25" s="5"/>
      <c r="QMJ25" s="5"/>
      <c r="QMK25" s="5"/>
      <c r="QML25" s="5"/>
      <c r="QMM25" s="5"/>
      <c r="QMN25" s="5"/>
      <c r="QMO25" s="5"/>
      <c r="QMP25" s="5"/>
      <c r="QMQ25" s="5"/>
      <c r="QMR25" s="5"/>
      <c r="QMS25" s="5"/>
      <c r="QMT25" s="5"/>
      <c r="QMU25" s="5"/>
      <c r="QMV25" s="5"/>
      <c r="QMW25" s="5"/>
      <c r="QMX25" s="5"/>
      <c r="QMY25" s="5"/>
      <c r="QMZ25" s="5"/>
      <c r="QNA25" s="5"/>
      <c r="QNB25" s="5"/>
      <c r="QNC25" s="5"/>
      <c r="QND25" s="5"/>
      <c r="QNE25" s="5"/>
      <c r="QNF25" s="5"/>
      <c r="QNG25" s="5"/>
      <c r="QNH25" s="5"/>
      <c r="QNI25" s="5"/>
      <c r="QNJ25" s="5"/>
      <c r="QNK25" s="5"/>
      <c r="QNL25" s="5"/>
      <c r="QNM25" s="5"/>
      <c r="QNN25" s="5"/>
      <c r="QNO25" s="5"/>
      <c r="QNP25" s="5"/>
      <c r="QNQ25" s="5"/>
      <c r="QNR25" s="5"/>
      <c r="QNS25" s="5"/>
      <c r="QNT25" s="5"/>
      <c r="QNU25" s="5"/>
      <c r="QNV25" s="5"/>
      <c r="QNW25" s="5"/>
      <c r="QNX25" s="5"/>
      <c r="QNY25" s="5"/>
      <c r="QNZ25" s="5"/>
      <c r="QOA25" s="5"/>
      <c r="QOB25" s="5"/>
      <c r="QOC25" s="5"/>
      <c r="QOD25" s="5"/>
      <c r="QOE25" s="5"/>
      <c r="QOF25" s="5"/>
      <c r="QOG25" s="5"/>
      <c r="QOH25" s="5"/>
      <c r="QOI25" s="5"/>
      <c r="QOJ25" s="5"/>
      <c r="QOK25" s="5"/>
      <c r="QOL25" s="5"/>
      <c r="QOM25" s="5"/>
      <c r="QON25" s="5"/>
      <c r="QOO25" s="5"/>
      <c r="QOP25" s="5"/>
      <c r="QOQ25" s="5"/>
      <c r="QOR25" s="5"/>
      <c r="QOS25" s="5"/>
      <c r="QOT25" s="5"/>
      <c r="QOU25" s="5"/>
      <c r="QOV25" s="5"/>
      <c r="QOW25" s="5"/>
      <c r="QOX25" s="5"/>
      <c r="QOY25" s="5"/>
      <c r="QOZ25" s="5"/>
      <c r="QPA25" s="5"/>
      <c r="QPB25" s="5"/>
      <c r="QPC25" s="5"/>
      <c r="QPD25" s="5"/>
      <c r="QPE25" s="5"/>
      <c r="QPF25" s="5"/>
      <c r="QPG25" s="5"/>
      <c r="QPH25" s="5"/>
      <c r="QPI25" s="5"/>
      <c r="QPJ25" s="5"/>
      <c r="QPK25" s="5"/>
      <c r="QPL25" s="5"/>
      <c r="QPM25" s="5"/>
      <c r="QPN25" s="5"/>
      <c r="QPO25" s="5"/>
      <c r="QPP25" s="5"/>
      <c r="QPQ25" s="5"/>
      <c r="QPR25" s="5"/>
      <c r="QPS25" s="5"/>
      <c r="QPT25" s="5"/>
      <c r="QPU25" s="5"/>
      <c r="QPV25" s="5"/>
      <c r="QPW25" s="5"/>
      <c r="QPX25" s="5"/>
      <c r="QPY25" s="5"/>
      <c r="QPZ25" s="5"/>
      <c r="QQA25" s="5"/>
      <c r="QQB25" s="5"/>
      <c r="QQC25" s="5"/>
      <c r="QQD25" s="5"/>
      <c r="QQE25" s="5"/>
      <c r="QQF25" s="5"/>
      <c r="QQG25" s="5"/>
      <c r="QQH25" s="5"/>
      <c r="QQI25" s="5"/>
      <c r="QQJ25" s="5"/>
      <c r="QQK25" s="5"/>
      <c r="QQL25" s="5"/>
      <c r="QQM25" s="5"/>
      <c r="QQN25" s="5"/>
      <c r="QQO25" s="5"/>
      <c r="QQP25" s="5"/>
      <c r="QQQ25" s="5"/>
      <c r="QQR25" s="5"/>
      <c r="QQS25" s="5"/>
      <c r="QQT25" s="5"/>
      <c r="QQU25" s="5"/>
      <c r="QQV25" s="5"/>
      <c r="QQW25" s="5"/>
      <c r="QQX25" s="5"/>
      <c r="QQY25" s="5"/>
      <c r="QQZ25" s="5"/>
      <c r="QRA25" s="5"/>
      <c r="QRB25" s="5"/>
      <c r="QRC25" s="5"/>
      <c r="QRD25" s="5"/>
      <c r="QRE25" s="5"/>
      <c r="QRF25" s="5"/>
      <c r="QRG25" s="5"/>
      <c r="QRH25" s="5"/>
      <c r="QRI25" s="5"/>
      <c r="QRJ25" s="5"/>
      <c r="QRK25" s="5"/>
      <c r="QRL25" s="5"/>
      <c r="QRM25" s="5"/>
      <c r="QRN25" s="5"/>
      <c r="QRO25" s="5"/>
      <c r="QRP25" s="5"/>
      <c r="QRQ25" s="5"/>
      <c r="QRR25" s="5"/>
      <c r="QRS25" s="5"/>
      <c r="QRT25" s="5"/>
      <c r="QRU25" s="5"/>
      <c r="QRV25" s="5"/>
      <c r="QRW25" s="5"/>
      <c r="QRX25" s="5"/>
      <c r="QRY25" s="5"/>
      <c r="QRZ25" s="5"/>
      <c r="QSA25" s="5"/>
      <c r="QSB25" s="5"/>
      <c r="QSC25" s="5"/>
      <c r="QSD25" s="5"/>
      <c r="QSE25" s="5"/>
      <c r="QSF25" s="5"/>
      <c r="QSG25" s="5"/>
      <c r="QSH25" s="5"/>
      <c r="QSI25" s="5"/>
      <c r="QSJ25" s="5"/>
      <c r="QSK25" s="5"/>
      <c r="QSL25" s="5"/>
      <c r="QSM25" s="5"/>
      <c r="QSN25" s="5"/>
      <c r="QSO25" s="5"/>
      <c r="QSP25" s="5"/>
      <c r="QSQ25" s="5"/>
      <c r="QSR25" s="5"/>
      <c r="QSS25" s="5"/>
      <c r="QST25" s="5"/>
      <c r="QSU25" s="5"/>
      <c r="QSV25" s="5"/>
      <c r="QSW25" s="5"/>
      <c r="QSX25" s="5"/>
      <c r="QSY25" s="5"/>
      <c r="QSZ25" s="5"/>
      <c r="QTA25" s="5"/>
      <c r="QTB25" s="5"/>
      <c r="QTC25" s="5"/>
      <c r="QTD25" s="5"/>
      <c r="QTE25" s="5"/>
      <c r="QTF25" s="5"/>
      <c r="QTG25" s="5"/>
      <c r="QTH25" s="5"/>
      <c r="QTI25" s="5"/>
      <c r="QTJ25" s="5"/>
      <c r="QTK25" s="5"/>
      <c r="QTL25" s="5"/>
      <c r="QTM25" s="5"/>
      <c r="QTN25" s="5"/>
      <c r="QTO25" s="5"/>
      <c r="QTP25" s="5"/>
      <c r="QTQ25" s="5"/>
      <c r="QTR25" s="5"/>
      <c r="QTS25" s="5"/>
      <c r="QTT25" s="5"/>
      <c r="QTU25" s="5"/>
      <c r="QTV25" s="5"/>
      <c r="QTW25" s="5"/>
      <c r="QTX25" s="5"/>
      <c r="QTY25" s="5"/>
      <c r="QTZ25" s="5"/>
      <c r="QUA25" s="5"/>
      <c r="QUB25" s="5"/>
      <c r="QUC25" s="5"/>
      <c r="QUD25" s="5"/>
      <c r="QUE25" s="5"/>
      <c r="QUF25" s="5"/>
      <c r="QUG25" s="5"/>
      <c r="QUH25" s="5"/>
      <c r="QUI25" s="5"/>
      <c r="QUJ25" s="5"/>
      <c r="QUK25" s="5"/>
      <c r="QUL25" s="5"/>
      <c r="QUM25" s="5"/>
      <c r="QUN25" s="5"/>
      <c r="QUO25" s="5"/>
      <c r="QUP25" s="5"/>
      <c r="QUQ25" s="5"/>
      <c r="QUR25" s="5"/>
      <c r="QUS25" s="5"/>
      <c r="QUT25" s="5"/>
      <c r="QUU25" s="5"/>
      <c r="QUV25" s="5"/>
      <c r="QUW25" s="5"/>
      <c r="QUX25" s="5"/>
      <c r="QUY25" s="5"/>
      <c r="QUZ25" s="5"/>
      <c r="QVA25" s="5"/>
      <c r="QVB25" s="5"/>
      <c r="QVC25" s="5"/>
      <c r="QVD25" s="5"/>
      <c r="QVE25" s="5"/>
      <c r="QVF25" s="5"/>
      <c r="QVG25" s="5"/>
      <c r="QVH25" s="5"/>
      <c r="QVI25" s="5"/>
      <c r="QVJ25" s="5"/>
      <c r="QVK25" s="5"/>
      <c r="QVL25" s="5"/>
      <c r="QVM25" s="5"/>
      <c r="QVN25" s="5"/>
      <c r="QVO25" s="5"/>
      <c r="QVP25" s="5"/>
      <c r="QVQ25" s="5"/>
      <c r="QVR25" s="5"/>
      <c r="QVS25" s="5"/>
      <c r="QVT25" s="5"/>
      <c r="QVU25" s="5"/>
      <c r="QVV25" s="5"/>
      <c r="QVW25" s="5"/>
      <c r="QVX25" s="5"/>
      <c r="QVY25" s="5"/>
      <c r="QVZ25" s="5"/>
      <c r="QWA25" s="5"/>
      <c r="QWB25" s="5"/>
      <c r="QWC25" s="5"/>
      <c r="QWD25" s="5"/>
      <c r="QWE25" s="5"/>
      <c r="QWF25" s="5"/>
      <c r="QWG25" s="5"/>
      <c r="QWH25" s="5"/>
      <c r="QWI25" s="5"/>
      <c r="QWJ25" s="5"/>
      <c r="QWK25" s="5"/>
      <c r="QWL25" s="5"/>
      <c r="QWM25" s="5"/>
      <c r="QWN25" s="5"/>
      <c r="QWO25" s="5"/>
      <c r="QWP25" s="5"/>
      <c r="QWQ25" s="5"/>
      <c r="QWR25" s="5"/>
      <c r="QWS25" s="5"/>
      <c r="QWT25" s="5"/>
      <c r="QWU25" s="5"/>
      <c r="QWV25" s="5"/>
      <c r="QWW25" s="5"/>
      <c r="QWX25" s="5"/>
      <c r="QWY25" s="5"/>
      <c r="QWZ25" s="5"/>
      <c r="QXA25" s="5"/>
      <c r="QXB25" s="5"/>
      <c r="QXC25" s="5"/>
      <c r="QXD25" s="5"/>
      <c r="QXE25" s="5"/>
      <c r="QXF25" s="5"/>
      <c r="QXG25" s="5"/>
      <c r="QXH25" s="5"/>
      <c r="QXI25" s="5"/>
      <c r="QXJ25" s="5"/>
      <c r="QXK25" s="5"/>
      <c r="QXL25" s="5"/>
      <c r="QXM25" s="5"/>
      <c r="QXN25" s="5"/>
      <c r="QXO25" s="5"/>
      <c r="QXP25" s="5"/>
      <c r="QXQ25" s="5"/>
      <c r="QXR25" s="5"/>
      <c r="QXS25" s="5"/>
      <c r="QXT25" s="5"/>
      <c r="QXU25" s="5"/>
      <c r="QXV25" s="5"/>
      <c r="QXW25" s="5"/>
      <c r="QXX25" s="5"/>
      <c r="QXY25" s="5"/>
      <c r="QXZ25" s="5"/>
      <c r="QYA25" s="5"/>
      <c r="QYB25" s="5"/>
      <c r="QYC25" s="5"/>
      <c r="QYD25" s="5"/>
      <c r="QYE25" s="5"/>
      <c r="QYF25" s="5"/>
      <c r="QYG25" s="5"/>
      <c r="QYH25" s="5"/>
      <c r="QYI25" s="5"/>
      <c r="QYJ25" s="5"/>
      <c r="QYK25" s="5"/>
      <c r="QYL25" s="5"/>
      <c r="QYM25" s="5"/>
      <c r="QYN25" s="5"/>
      <c r="QYO25" s="5"/>
      <c r="QYP25" s="5"/>
      <c r="QYQ25" s="5"/>
      <c r="QYR25" s="5"/>
      <c r="QYS25" s="5"/>
      <c r="QYT25" s="5"/>
      <c r="QYU25" s="5"/>
      <c r="QYV25" s="5"/>
      <c r="QYW25" s="5"/>
      <c r="QYX25" s="5"/>
      <c r="QYY25" s="5"/>
      <c r="QYZ25" s="5"/>
      <c r="QZA25" s="5"/>
      <c r="QZB25" s="5"/>
      <c r="QZC25" s="5"/>
      <c r="QZD25" s="5"/>
      <c r="QZE25" s="5"/>
      <c r="QZF25" s="5"/>
      <c r="QZG25" s="5"/>
      <c r="QZH25" s="5"/>
      <c r="QZI25" s="5"/>
      <c r="QZJ25" s="5"/>
      <c r="QZK25" s="5"/>
      <c r="QZL25" s="5"/>
      <c r="QZM25" s="5"/>
      <c r="QZN25" s="5"/>
      <c r="QZO25" s="5"/>
      <c r="QZP25" s="5"/>
      <c r="QZQ25" s="5"/>
      <c r="QZR25" s="5"/>
      <c r="QZS25" s="5"/>
      <c r="QZT25" s="5"/>
      <c r="QZU25" s="5"/>
      <c r="QZV25" s="5"/>
      <c r="QZW25" s="5"/>
      <c r="QZX25" s="5"/>
      <c r="QZY25" s="5"/>
      <c r="QZZ25" s="5"/>
      <c r="RAA25" s="5"/>
      <c r="RAB25" s="5"/>
      <c r="RAC25" s="5"/>
      <c r="RAD25" s="5"/>
      <c r="RAE25" s="5"/>
      <c r="RAF25" s="5"/>
      <c r="RAG25" s="5"/>
      <c r="RAH25" s="5"/>
      <c r="RAI25" s="5"/>
      <c r="RAJ25" s="5"/>
      <c r="RAK25" s="5"/>
      <c r="RAL25" s="5"/>
      <c r="RAM25" s="5"/>
      <c r="RAN25" s="5"/>
      <c r="RAO25" s="5"/>
      <c r="RAP25" s="5"/>
      <c r="RAQ25" s="5"/>
      <c r="RAR25" s="5"/>
      <c r="RAS25" s="5"/>
      <c r="RAT25" s="5"/>
      <c r="RAU25" s="5"/>
      <c r="RAV25" s="5"/>
      <c r="RAW25" s="5"/>
      <c r="RAX25" s="5"/>
      <c r="RAY25" s="5"/>
      <c r="RAZ25" s="5"/>
      <c r="RBA25" s="5"/>
      <c r="RBB25" s="5"/>
      <c r="RBC25" s="5"/>
      <c r="RBD25" s="5"/>
      <c r="RBE25" s="5"/>
      <c r="RBF25" s="5"/>
      <c r="RBG25" s="5"/>
      <c r="RBH25" s="5"/>
      <c r="RBI25" s="5"/>
      <c r="RBJ25" s="5"/>
      <c r="RBK25" s="5"/>
      <c r="RBL25" s="5"/>
      <c r="RBM25" s="5"/>
      <c r="RBN25" s="5"/>
      <c r="RBO25" s="5"/>
      <c r="RBP25" s="5"/>
      <c r="RBQ25" s="5"/>
      <c r="RBR25" s="5"/>
      <c r="RBS25" s="5"/>
      <c r="RBT25" s="5"/>
      <c r="RBU25" s="5"/>
      <c r="RBV25" s="5"/>
      <c r="RBW25" s="5"/>
      <c r="RBX25" s="5"/>
      <c r="RBY25" s="5"/>
      <c r="RBZ25" s="5"/>
      <c r="RCA25" s="5"/>
      <c r="RCB25" s="5"/>
      <c r="RCC25" s="5"/>
      <c r="RCD25" s="5"/>
      <c r="RCE25" s="5"/>
      <c r="RCF25" s="5"/>
      <c r="RCG25" s="5"/>
      <c r="RCH25" s="5"/>
      <c r="RCI25" s="5"/>
      <c r="RCJ25" s="5"/>
      <c r="RCK25" s="5"/>
      <c r="RCL25" s="5"/>
      <c r="RCM25" s="5"/>
      <c r="RCN25" s="5"/>
      <c r="RCO25" s="5"/>
      <c r="RCP25" s="5"/>
      <c r="RCQ25" s="5"/>
      <c r="RCR25" s="5"/>
      <c r="RCS25" s="5"/>
      <c r="RCT25" s="5"/>
      <c r="RCU25" s="5"/>
      <c r="RCV25" s="5"/>
      <c r="RCW25" s="5"/>
      <c r="RCX25" s="5"/>
      <c r="RCY25" s="5"/>
      <c r="RCZ25" s="5"/>
      <c r="RDA25" s="5"/>
      <c r="RDB25" s="5"/>
      <c r="RDC25" s="5"/>
      <c r="RDD25" s="5"/>
      <c r="RDE25" s="5"/>
      <c r="RDF25" s="5"/>
      <c r="RDG25" s="5"/>
      <c r="RDH25" s="5"/>
      <c r="RDI25" s="5"/>
      <c r="RDJ25" s="5"/>
      <c r="RDK25" s="5"/>
      <c r="RDL25" s="5"/>
      <c r="RDM25" s="5"/>
      <c r="RDN25" s="5"/>
      <c r="RDO25" s="5"/>
      <c r="RDP25" s="5"/>
      <c r="RDQ25" s="5"/>
      <c r="RDR25" s="5"/>
      <c r="RDS25" s="5"/>
      <c r="RDT25" s="5"/>
      <c r="RDU25" s="5"/>
      <c r="RDV25" s="5"/>
      <c r="RDW25" s="5"/>
      <c r="RDX25" s="5"/>
      <c r="RDY25" s="5"/>
      <c r="RDZ25" s="5"/>
      <c r="REA25" s="5"/>
      <c r="REB25" s="5"/>
      <c r="REC25" s="5"/>
      <c r="RED25" s="5"/>
      <c r="REE25" s="5"/>
      <c r="REF25" s="5"/>
      <c r="REG25" s="5"/>
      <c r="REH25" s="5"/>
      <c r="REI25" s="5"/>
      <c r="REJ25" s="5"/>
      <c r="REK25" s="5"/>
      <c r="REL25" s="5"/>
      <c r="REM25" s="5"/>
      <c r="REN25" s="5"/>
      <c r="REO25" s="5"/>
      <c r="REP25" s="5"/>
      <c r="REQ25" s="5"/>
      <c r="RER25" s="5"/>
      <c r="RES25" s="5"/>
      <c r="RET25" s="5"/>
      <c r="REU25" s="5"/>
      <c r="REV25" s="5"/>
      <c r="REW25" s="5"/>
      <c r="REX25" s="5"/>
      <c r="REY25" s="5"/>
      <c r="REZ25" s="5"/>
      <c r="RFA25" s="5"/>
      <c r="RFB25" s="5"/>
      <c r="RFC25" s="5"/>
      <c r="RFD25" s="5"/>
      <c r="RFE25" s="5"/>
      <c r="RFF25" s="5"/>
      <c r="RFG25" s="5"/>
      <c r="RFH25" s="5"/>
      <c r="RFI25" s="5"/>
      <c r="RFJ25" s="5"/>
      <c r="RFK25" s="5"/>
      <c r="RFL25" s="5"/>
      <c r="RFM25" s="5"/>
      <c r="RFN25" s="5"/>
      <c r="RFO25" s="5"/>
      <c r="RFP25" s="5"/>
      <c r="RFQ25" s="5"/>
      <c r="RFR25" s="5"/>
      <c r="RFS25" s="5"/>
      <c r="RFT25" s="5"/>
      <c r="RFU25" s="5"/>
      <c r="RFV25" s="5"/>
      <c r="RFW25" s="5"/>
      <c r="RFX25" s="5"/>
      <c r="RFY25" s="5"/>
      <c r="RFZ25" s="5"/>
      <c r="RGA25" s="5"/>
      <c r="RGB25" s="5"/>
      <c r="RGC25" s="5"/>
      <c r="RGD25" s="5"/>
      <c r="RGE25" s="5"/>
      <c r="RGF25" s="5"/>
      <c r="RGG25" s="5"/>
      <c r="RGH25" s="5"/>
      <c r="RGI25" s="5"/>
      <c r="RGJ25" s="5"/>
      <c r="RGK25" s="5"/>
      <c r="RGL25" s="5"/>
      <c r="RGM25" s="5"/>
      <c r="RGN25" s="5"/>
      <c r="RGO25" s="5"/>
      <c r="RGP25" s="5"/>
      <c r="RGQ25" s="5"/>
      <c r="RGR25" s="5"/>
      <c r="RGS25" s="5"/>
      <c r="RGT25" s="5"/>
      <c r="RGU25" s="5"/>
      <c r="RGV25" s="5"/>
      <c r="RGW25" s="5"/>
      <c r="RGX25" s="5"/>
      <c r="RGY25" s="5"/>
      <c r="RGZ25" s="5"/>
      <c r="RHA25" s="5"/>
      <c r="RHB25" s="5"/>
      <c r="RHC25" s="5"/>
      <c r="RHD25" s="5"/>
      <c r="RHE25" s="5"/>
      <c r="RHF25" s="5"/>
      <c r="RHG25" s="5"/>
      <c r="RHH25" s="5"/>
      <c r="RHI25" s="5"/>
      <c r="RHJ25" s="5"/>
      <c r="RHK25" s="5"/>
      <c r="RHL25" s="5"/>
      <c r="RHM25" s="5"/>
      <c r="RHN25" s="5"/>
      <c r="RHO25" s="5"/>
      <c r="RHP25" s="5"/>
      <c r="RHQ25" s="5"/>
      <c r="RHR25" s="5"/>
      <c r="RHS25" s="5"/>
      <c r="RHT25" s="5"/>
      <c r="RHU25" s="5"/>
      <c r="RHV25" s="5"/>
      <c r="RHW25" s="5"/>
      <c r="RHX25" s="5"/>
      <c r="RHY25" s="5"/>
      <c r="RHZ25" s="5"/>
      <c r="RIA25" s="5"/>
      <c r="RIB25" s="5"/>
      <c r="RIC25" s="5"/>
      <c r="RID25" s="5"/>
      <c r="RIE25" s="5"/>
      <c r="RIF25" s="5"/>
      <c r="RIG25" s="5"/>
      <c r="RIH25" s="5"/>
      <c r="RII25" s="5"/>
      <c r="RIJ25" s="5"/>
      <c r="RIK25" s="5"/>
      <c r="RIL25" s="5"/>
      <c r="RIM25" s="5"/>
      <c r="RIN25" s="5"/>
      <c r="RIO25" s="5"/>
      <c r="RIP25" s="5"/>
      <c r="RIQ25" s="5"/>
      <c r="RIR25" s="5"/>
      <c r="RIS25" s="5"/>
      <c r="RIT25" s="5"/>
      <c r="RIU25" s="5"/>
      <c r="RIV25" s="5"/>
      <c r="RIW25" s="5"/>
      <c r="RIX25" s="5"/>
      <c r="RIY25" s="5"/>
      <c r="RIZ25" s="5"/>
      <c r="RJA25" s="5"/>
      <c r="RJB25" s="5"/>
      <c r="RJC25" s="5"/>
      <c r="RJD25" s="5"/>
      <c r="RJE25" s="5"/>
      <c r="RJF25" s="5"/>
      <c r="RJG25" s="5"/>
      <c r="RJH25" s="5"/>
      <c r="RJI25" s="5"/>
      <c r="RJJ25" s="5"/>
      <c r="RJK25" s="5"/>
      <c r="RJL25" s="5"/>
      <c r="RJM25" s="5"/>
      <c r="RJN25" s="5"/>
      <c r="RJO25" s="5"/>
      <c r="RJP25" s="5"/>
      <c r="RJQ25" s="5"/>
      <c r="RJR25" s="5"/>
      <c r="RJS25" s="5"/>
      <c r="RJT25" s="5"/>
      <c r="RJU25" s="5"/>
      <c r="RJV25" s="5"/>
      <c r="RJW25" s="5"/>
      <c r="RJX25" s="5"/>
      <c r="RJY25" s="5"/>
      <c r="RJZ25" s="5"/>
      <c r="RKA25" s="5"/>
      <c r="RKB25" s="5"/>
      <c r="RKC25" s="5"/>
      <c r="RKD25" s="5"/>
      <c r="RKE25" s="5"/>
      <c r="RKF25" s="5"/>
      <c r="RKG25" s="5"/>
      <c r="RKH25" s="5"/>
      <c r="RKI25" s="5"/>
      <c r="RKJ25" s="5"/>
      <c r="RKK25" s="5"/>
      <c r="RKL25" s="5"/>
      <c r="RKM25" s="5"/>
      <c r="RKN25" s="5"/>
      <c r="RKO25" s="5"/>
      <c r="RKP25" s="5"/>
      <c r="RKQ25" s="5"/>
      <c r="RKR25" s="5"/>
      <c r="RKS25" s="5"/>
      <c r="RKT25" s="5"/>
      <c r="RKU25" s="5"/>
      <c r="RKV25" s="5"/>
      <c r="RKW25" s="5"/>
      <c r="RKX25" s="5"/>
      <c r="RKY25" s="5"/>
      <c r="RKZ25" s="5"/>
      <c r="RLA25" s="5"/>
      <c r="RLB25" s="5"/>
      <c r="RLC25" s="5"/>
      <c r="RLD25" s="5"/>
      <c r="RLE25" s="5"/>
      <c r="RLF25" s="5"/>
      <c r="RLG25" s="5"/>
      <c r="RLH25" s="5"/>
      <c r="RLI25" s="5"/>
      <c r="RLJ25" s="5"/>
      <c r="RLK25" s="5"/>
      <c r="RLL25" s="5"/>
      <c r="RLM25" s="5"/>
      <c r="RLN25" s="5"/>
      <c r="RLO25" s="5"/>
      <c r="RLP25" s="5"/>
      <c r="RLQ25" s="5"/>
      <c r="RLR25" s="5"/>
      <c r="RLS25" s="5"/>
      <c r="RLT25" s="5"/>
      <c r="RLU25" s="5"/>
      <c r="RLV25" s="5"/>
      <c r="RLW25" s="5"/>
      <c r="RLX25" s="5"/>
      <c r="RLY25" s="5"/>
      <c r="RLZ25" s="5"/>
      <c r="RMA25" s="5"/>
      <c r="RMB25" s="5"/>
      <c r="RMC25" s="5"/>
      <c r="RMD25" s="5"/>
      <c r="RME25" s="5"/>
      <c r="RMF25" s="5"/>
      <c r="RMG25" s="5"/>
      <c r="RMH25" s="5"/>
      <c r="RMI25" s="5"/>
      <c r="RMJ25" s="5"/>
      <c r="RMK25" s="5"/>
      <c r="RML25" s="5"/>
      <c r="RMM25" s="5"/>
      <c r="RMN25" s="5"/>
      <c r="RMO25" s="5"/>
      <c r="RMP25" s="5"/>
      <c r="RMQ25" s="5"/>
      <c r="RMR25" s="5"/>
      <c r="RMS25" s="5"/>
      <c r="RMT25" s="5"/>
      <c r="RMU25" s="5"/>
      <c r="RMV25" s="5"/>
      <c r="RMW25" s="5"/>
      <c r="RMX25" s="5"/>
      <c r="RMY25" s="5"/>
      <c r="RMZ25" s="5"/>
      <c r="RNA25" s="5"/>
      <c r="RNB25" s="5"/>
      <c r="RNC25" s="5"/>
      <c r="RND25" s="5"/>
      <c r="RNE25" s="5"/>
      <c r="RNF25" s="5"/>
      <c r="RNG25" s="5"/>
      <c r="RNH25" s="5"/>
      <c r="RNI25" s="5"/>
      <c r="RNJ25" s="5"/>
      <c r="RNK25" s="5"/>
      <c r="RNL25" s="5"/>
      <c r="RNM25" s="5"/>
      <c r="RNN25" s="5"/>
      <c r="RNO25" s="5"/>
      <c r="RNP25" s="5"/>
      <c r="RNQ25" s="5"/>
      <c r="RNR25" s="5"/>
      <c r="RNS25" s="5"/>
      <c r="RNT25" s="5"/>
      <c r="RNU25" s="5"/>
      <c r="RNV25" s="5"/>
      <c r="RNW25" s="5"/>
      <c r="RNX25" s="5"/>
      <c r="RNY25" s="5"/>
      <c r="RNZ25" s="5"/>
      <c r="ROA25" s="5"/>
      <c r="ROB25" s="5"/>
      <c r="ROC25" s="5"/>
      <c r="ROD25" s="5"/>
      <c r="ROE25" s="5"/>
      <c r="ROF25" s="5"/>
      <c r="ROG25" s="5"/>
      <c r="ROH25" s="5"/>
      <c r="ROI25" s="5"/>
      <c r="ROJ25" s="5"/>
      <c r="ROK25" s="5"/>
      <c r="ROL25" s="5"/>
      <c r="ROM25" s="5"/>
      <c r="RON25" s="5"/>
      <c r="ROO25" s="5"/>
      <c r="ROP25" s="5"/>
      <c r="ROQ25" s="5"/>
      <c r="ROR25" s="5"/>
      <c r="ROS25" s="5"/>
      <c r="ROT25" s="5"/>
      <c r="ROU25" s="5"/>
      <c r="ROV25" s="5"/>
      <c r="ROW25" s="5"/>
      <c r="ROX25" s="5"/>
      <c r="ROY25" s="5"/>
      <c r="ROZ25" s="5"/>
      <c r="RPA25" s="5"/>
      <c r="RPB25" s="5"/>
      <c r="RPC25" s="5"/>
      <c r="RPD25" s="5"/>
      <c r="RPE25" s="5"/>
      <c r="RPF25" s="5"/>
      <c r="RPG25" s="5"/>
      <c r="RPH25" s="5"/>
      <c r="RPI25" s="5"/>
      <c r="RPJ25" s="5"/>
      <c r="RPK25" s="5"/>
      <c r="RPL25" s="5"/>
      <c r="RPM25" s="5"/>
      <c r="RPN25" s="5"/>
      <c r="RPO25" s="5"/>
      <c r="RPP25" s="5"/>
      <c r="RPQ25" s="5"/>
      <c r="RPR25" s="5"/>
      <c r="RPS25" s="5"/>
      <c r="RPT25" s="5"/>
      <c r="RPU25" s="5"/>
      <c r="RPV25" s="5"/>
      <c r="RPW25" s="5"/>
      <c r="RPX25" s="5"/>
      <c r="RPY25" s="5"/>
      <c r="RPZ25" s="5"/>
      <c r="RQA25" s="5"/>
      <c r="RQB25" s="5"/>
      <c r="RQC25" s="5"/>
      <c r="RQD25" s="5"/>
      <c r="RQE25" s="5"/>
      <c r="RQF25" s="5"/>
      <c r="RQG25" s="5"/>
      <c r="RQH25" s="5"/>
      <c r="RQI25" s="5"/>
      <c r="RQJ25" s="5"/>
      <c r="RQK25" s="5"/>
      <c r="RQL25" s="5"/>
      <c r="RQM25" s="5"/>
      <c r="RQN25" s="5"/>
      <c r="RQO25" s="5"/>
      <c r="RQP25" s="5"/>
      <c r="RQQ25" s="5"/>
      <c r="RQR25" s="5"/>
      <c r="RQS25" s="5"/>
      <c r="RQT25" s="5"/>
      <c r="RQU25" s="5"/>
      <c r="RQV25" s="5"/>
      <c r="RQW25" s="5"/>
      <c r="RQX25" s="5"/>
      <c r="RQY25" s="5"/>
      <c r="RQZ25" s="5"/>
      <c r="RRA25" s="5"/>
      <c r="RRB25" s="5"/>
      <c r="RRC25" s="5"/>
      <c r="RRD25" s="5"/>
      <c r="RRE25" s="5"/>
      <c r="RRF25" s="5"/>
      <c r="RRG25" s="5"/>
      <c r="RRH25" s="5"/>
      <c r="RRI25" s="5"/>
      <c r="RRJ25" s="5"/>
      <c r="RRK25" s="5"/>
      <c r="RRL25" s="5"/>
      <c r="RRM25" s="5"/>
      <c r="RRN25" s="5"/>
      <c r="RRO25" s="5"/>
      <c r="RRP25" s="5"/>
      <c r="RRQ25" s="5"/>
      <c r="RRR25" s="5"/>
      <c r="RRS25" s="5"/>
      <c r="RRT25" s="5"/>
      <c r="RRU25" s="5"/>
      <c r="RRV25" s="5"/>
      <c r="RRW25" s="5"/>
      <c r="RRX25" s="5"/>
      <c r="RRY25" s="5"/>
      <c r="RRZ25" s="5"/>
      <c r="RSA25" s="5"/>
      <c r="RSB25" s="5"/>
      <c r="RSC25" s="5"/>
      <c r="RSD25" s="5"/>
      <c r="RSE25" s="5"/>
      <c r="RSF25" s="5"/>
      <c r="RSG25" s="5"/>
      <c r="RSH25" s="5"/>
      <c r="RSI25" s="5"/>
      <c r="RSJ25" s="5"/>
      <c r="RSK25" s="5"/>
      <c r="RSL25" s="5"/>
      <c r="RSM25" s="5"/>
      <c r="RSN25" s="5"/>
      <c r="RSO25" s="5"/>
      <c r="RSP25" s="5"/>
      <c r="RSQ25" s="5"/>
      <c r="RSR25" s="5"/>
      <c r="RSS25" s="5"/>
      <c r="RST25" s="5"/>
      <c r="RSU25" s="5"/>
      <c r="RSV25" s="5"/>
      <c r="RSW25" s="5"/>
      <c r="RSX25" s="5"/>
      <c r="RSY25" s="5"/>
      <c r="RSZ25" s="5"/>
      <c r="RTA25" s="5"/>
      <c r="RTB25" s="5"/>
      <c r="RTC25" s="5"/>
      <c r="RTD25" s="5"/>
      <c r="RTE25" s="5"/>
      <c r="RTF25" s="5"/>
      <c r="RTG25" s="5"/>
      <c r="RTH25" s="5"/>
      <c r="RTI25" s="5"/>
      <c r="RTJ25" s="5"/>
      <c r="RTK25" s="5"/>
      <c r="RTL25" s="5"/>
      <c r="RTM25" s="5"/>
      <c r="RTN25" s="5"/>
      <c r="RTO25" s="5"/>
      <c r="RTP25" s="5"/>
      <c r="RTQ25" s="5"/>
      <c r="RTR25" s="5"/>
      <c r="RTS25" s="5"/>
      <c r="RTT25" s="5"/>
      <c r="RTU25" s="5"/>
      <c r="RTV25" s="5"/>
      <c r="RTW25" s="5"/>
      <c r="RTX25" s="5"/>
      <c r="RTY25" s="5"/>
      <c r="RTZ25" s="5"/>
      <c r="RUA25" s="5"/>
      <c r="RUB25" s="5"/>
      <c r="RUC25" s="5"/>
      <c r="RUD25" s="5"/>
      <c r="RUE25" s="5"/>
      <c r="RUF25" s="5"/>
      <c r="RUG25" s="5"/>
      <c r="RUH25" s="5"/>
      <c r="RUI25" s="5"/>
      <c r="RUJ25" s="5"/>
      <c r="RUK25" s="5"/>
      <c r="RUL25" s="5"/>
      <c r="RUM25" s="5"/>
      <c r="RUN25" s="5"/>
      <c r="RUO25" s="5"/>
      <c r="RUP25" s="5"/>
      <c r="RUQ25" s="5"/>
      <c r="RUR25" s="5"/>
      <c r="RUS25" s="5"/>
      <c r="RUT25" s="5"/>
      <c r="RUU25" s="5"/>
      <c r="RUV25" s="5"/>
      <c r="RUW25" s="5"/>
      <c r="RUX25" s="5"/>
      <c r="RUY25" s="5"/>
      <c r="RUZ25" s="5"/>
      <c r="RVA25" s="5"/>
      <c r="RVB25" s="5"/>
      <c r="RVC25" s="5"/>
      <c r="RVD25" s="5"/>
      <c r="RVE25" s="5"/>
      <c r="RVF25" s="5"/>
      <c r="RVG25" s="5"/>
      <c r="RVH25" s="5"/>
      <c r="RVI25" s="5"/>
      <c r="RVJ25" s="5"/>
      <c r="RVK25" s="5"/>
      <c r="RVL25" s="5"/>
      <c r="RVM25" s="5"/>
      <c r="RVN25" s="5"/>
      <c r="RVO25" s="5"/>
      <c r="RVP25" s="5"/>
      <c r="RVQ25" s="5"/>
      <c r="RVR25" s="5"/>
      <c r="RVS25" s="5"/>
      <c r="RVT25" s="5"/>
      <c r="RVU25" s="5"/>
      <c r="RVV25" s="5"/>
      <c r="RVW25" s="5"/>
      <c r="RVX25" s="5"/>
      <c r="RVY25" s="5"/>
      <c r="RVZ25" s="5"/>
      <c r="RWA25" s="5"/>
      <c r="RWB25" s="5"/>
      <c r="RWC25" s="5"/>
      <c r="RWD25" s="5"/>
      <c r="RWE25" s="5"/>
      <c r="RWF25" s="5"/>
      <c r="RWG25" s="5"/>
      <c r="RWH25" s="5"/>
      <c r="RWI25" s="5"/>
      <c r="RWJ25" s="5"/>
      <c r="RWK25" s="5"/>
      <c r="RWL25" s="5"/>
      <c r="RWM25" s="5"/>
      <c r="RWN25" s="5"/>
      <c r="RWO25" s="5"/>
      <c r="RWP25" s="5"/>
      <c r="RWQ25" s="5"/>
      <c r="RWR25" s="5"/>
      <c r="RWS25" s="5"/>
      <c r="RWT25" s="5"/>
      <c r="RWU25" s="5"/>
      <c r="RWV25" s="5"/>
      <c r="RWW25" s="5"/>
      <c r="RWX25" s="5"/>
      <c r="RWY25" s="5"/>
      <c r="RWZ25" s="5"/>
      <c r="RXA25" s="5"/>
      <c r="RXB25" s="5"/>
      <c r="RXC25" s="5"/>
      <c r="RXD25" s="5"/>
      <c r="RXE25" s="5"/>
      <c r="RXF25" s="5"/>
      <c r="RXG25" s="5"/>
      <c r="RXH25" s="5"/>
      <c r="RXI25" s="5"/>
      <c r="RXJ25" s="5"/>
      <c r="RXK25" s="5"/>
      <c r="RXL25" s="5"/>
      <c r="RXM25" s="5"/>
      <c r="RXN25" s="5"/>
      <c r="RXO25" s="5"/>
      <c r="RXP25" s="5"/>
      <c r="RXQ25" s="5"/>
      <c r="RXR25" s="5"/>
      <c r="RXS25" s="5"/>
      <c r="RXT25" s="5"/>
      <c r="RXU25" s="5"/>
      <c r="RXV25" s="5"/>
      <c r="RXW25" s="5"/>
      <c r="RXX25" s="5"/>
      <c r="RXY25" s="5"/>
      <c r="RXZ25" s="5"/>
      <c r="RYA25" s="5"/>
      <c r="RYB25" s="5"/>
      <c r="RYC25" s="5"/>
      <c r="RYD25" s="5"/>
      <c r="RYE25" s="5"/>
      <c r="RYF25" s="5"/>
      <c r="RYG25" s="5"/>
      <c r="RYH25" s="5"/>
      <c r="RYI25" s="5"/>
      <c r="RYJ25" s="5"/>
      <c r="RYK25" s="5"/>
      <c r="RYL25" s="5"/>
      <c r="RYM25" s="5"/>
      <c r="RYN25" s="5"/>
      <c r="RYO25" s="5"/>
      <c r="RYP25" s="5"/>
      <c r="RYQ25" s="5"/>
      <c r="RYR25" s="5"/>
      <c r="RYS25" s="5"/>
      <c r="RYT25" s="5"/>
      <c r="RYU25" s="5"/>
      <c r="RYV25" s="5"/>
      <c r="RYW25" s="5"/>
      <c r="RYX25" s="5"/>
      <c r="RYY25" s="5"/>
      <c r="RYZ25" s="5"/>
      <c r="RZA25" s="5"/>
      <c r="RZB25" s="5"/>
      <c r="RZC25" s="5"/>
      <c r="RZD25" s="5"/>
      <c r="RZE25" s="5"/>
      <c r="RZF25" s="5"/>
      <c r="RZG25" s="5"/>
      <c r="RZH25" s="5"/>
      <c r="RZI25" s="5"/>
      <c r="RZJ25" s="5"/>
      <c r="RZK25" s="5"/>
      <c r="RZL25" s="5"/>
      <c r="RZM25" s="5"/>
      <c r="RZN25" s="5"/>
      <c r="RZO25" s="5"/>
      <c r="RZP25" s="5"/>
      <c r="RZQ25" s="5"/>
      <c r="RZR25" s="5"/>
      <c r="RZS25" s="5"/>
      <c r="RZT25" s="5"/>
      <c r="RZU25" s="5"/>
      <c r="RZV25" s="5"/>
      <c r="RZW25" s="5"/>
      <c r="RZX25" s="5"/>
      <c r="RZY25" s="5"/>
      <c r="RZZ25" s="5"/>
      <c r="SAA25" s="5"/>
      <c r="SAB25" s="5"/>
      <c r="SAC25" s="5"/>
      <c r="SAD25" s="5"/>
      <c r="SAE25" s="5"/>
      <c r="SAF25" s="5"/>
      <c r="SAG25" s="5"/>
      <c r="SAH25" s="5"/>
      <c r="SAI25" s="5"/>
      <c r="SAJ25" s="5"/>
      <c r="SAK25" s="5"/>
      <c r="SAL25" s="5"/>
      <c r="SAM25" s="5"/>
      <c r="SAN25" s="5"/>
      <c r="SAO25" s="5"/>
      <c r="SAP25" s="5"/>
      <c r="SAQ25" s="5"/>
      <c r="SAR25" s="5"/>
      <c r="SAS25" s="5"/>
      <c r="SAT25" s="5"/>
      <c r="SAU25" s="5"/>
      <c r="SAV25" s="5"/>
      <c r="SAW25" s="5"/>
      <c r="SAX25" s="5"/>
      <c r="SAY25" s="5"/>
      <c r="SAZ25" s="5"/>
      <c r="SBA25" s="5"/>
      <c r="SBB25" s="5"/>
      <c r="SBC25" s="5"/>
      <c r="SBD25" s="5"/>
      <c r="SBE25" s="5"/>
      <c r="SBF25" s="5"/>
      <c r="SBG25" s="5"/>
      <c r="SBH25" s="5"/>
      <c r="SBI25" s="5"/>
      <c r="SBJ25" s="5"/>
      <c r="SBK25" s="5"/>
      <c r="SBL25" s="5"/>
      <c r="SBM25" s="5"/>
      <c r="SBN25" s="5"/>
      <c r="SBO25" s="5"/>
      <c r="SBP25" s="5"/>
      <c r="SBQ25" s="5"/>
      <c r="SBR25" s="5"/>
      <c r="SBS25" s="5"/>
      <c r="SBT25" s="5"/>
      <c r="SBU25" s="5"/>
      <c r="SBV25" s="5"/>
      <c r="SBW25" s="5"/>
      <c r="SBX25" s="5"/>
      <c r="SBY25" s="5"/>
      <c r="SBZ25" s="5"/>
      <c r="SCA25" s="5"/>
      <c r="SCB25" s="5"/>
      <c r="SCC25" s="5"/>
      <c r="SCD25" s="5"/>
      <c r="SCE25" s="5"/>
      <c r="SCF25" s="5"/>
      <c r="SCG25" s="5"/>
      <c r="SCH25" s="5"/>
      <c r="SCI25" s="5"/>
      <c r="SCJ25" s="5"/>
      <c r="SCK25" s="5"/>
      <c r="SCL25" s="5"/>
      <c r="SCM25" s="5"/>
      <c r="SCN25" s="5"/>
      <c r="SCO25" s="5"/>
      <c r="SCP25" s="5"/>
      <c r="SCQ25" s="5"/>
      <c r="SCR25" s="5"/>
      <c r="SCS25" s="5"/>
      <c r="SCT25" s="5"/>
      <c r="SCU25" s="5"/>
      <c r="SCV25" s="5"/>
      <c r="SCW25" s="5"/>
      <c r="SCX25" s="5"/>
      <c r="SCY25" s="5"/>
      <c r="SCZ25" s="5"/>
      <c r="SDA25" s="5"/>
      <c r="SDB25" s="5"/>
      <c r="SDC25" s="5"/>
      <c r="SDD25" s="5"/>
      <c r="SDE25" s="5"/>
      <c r="SDF25" s="5"/>
      <c r="SDG25" s="5"/>
      <c r="SDH25" s="5"/>
      <c r="SDI25" s="5"/>
      <c r="SDJ25" s="5"/>
      <c r="SDK25" s="5"/>
      <c r="SDL25" s="5"/>
      <c r="SDM25" s="5"/>
      <c r="SDN25" s="5"/>
      <c r="SDO25" s="5"/>
      <c r="SDP25" s="5"/>
      <c r="SDQ25" s="5"/>
      <c r="SDR25" s="5"/>
      <c r="SDS25" s="5"/>
      <c r="SDT25" s="5"/>
      <c r="SDU25" s="5"/>
      <c r="SDV25" s="5"/>
      <c r="SDW25" s="5"/>
      <c r="SDX25" s="5"/>
      <c r="SDY25" s="5"/>
      <c r="SDZ25" s="5"/>
      <c r="SEA25" s="5"/>
      <c r="SEB25" s="5"/>
      <c r="SEC25" s="5"/>
      <c r="SED25" s="5"/>
      <c r="SEE25" s="5"/>
      <c r="SEF25" s="5"/>
      <c r="SEG25" s="5"/>
      <c r="SEH25" s="5"/>
      <c r="SEI25" s="5"/>
      <c r="SEJ25" s="5"/>
      <c r="SEK25" s="5"/>
      <c r="SEL25" s="5"/>
      <c r="SEM25" s="5"/>
      <c r="SEN25" s="5"/>
      <c r="SEO25" s="5"/>
      <c r="SEP25" s="5"/>
      <c r="SEQ25" s="5"/>
      <c r="SER25" s="5"/>
      <c r="SES25" s="5"/>
      <c r="SET25" s="5"/>
      <c r="SEU25" s="5"/>
      <c r="SEV25" s="5"/>
      <c r="SEW25" s="5"/>
      <c r="SEX25" s="5"/>
      <c r="SEY25" s="5"/>
      <c r="SEZ25" s="5"/>
      <c r="SFA25" s="5"/>
      <c r="SFB25" s="5"/>
      <c r="SFC25" s="5"/>
      <c r="SFD25" s="5"/>
      <c r="SFE25" s="5"/>
      <c r="SFF25" s="5"/>
      <c r="SFG25" s="5"/>
      <c r="SFH25" s="5"/>
      <c r="SFI25" s="5"/>
      <c r="SFJ25" s="5"/>
      <c r="SFK25" s="5"/>
      <c r="SFL25" s="5"/>
      <c r="SFM25" s="5"/>
      <c r="SFN25" s="5"/>
      <c r="SFO25" s="5"/>
      <c r="SFP25" s="5"/>
      <c r="SFQ25" s="5"/>
      <c r="SFR25" s="5"/>
      <c r="SFS25" s="5"/>
      <c r="SFT25" s="5"/>
      <c r="SFU25" s="5"/>
      <c r="SFV25" s="5"/>
      <c r="SFW25" s="5"/>
      <c r="SFX25" s="5"/>
      <c r="SFY25" s="5"/>
      <c r="SFZ25" s="5"/>
      <c r="SGA25" s="5"/>
      <c r="SGB25" s="5"/>
      <c r="SGC25" s="5"/>
      <c r="SGD25" s="5"/>
      <c r="SGE25" s="5"/>
      <c r="SGF25" s="5"/>
      <c r="SGG25" s="5"/>
      <c r="SGH25" s="5"/>
      <c r="SGI25" s="5"/>
      <c r="SGJ25" s="5"/>
      <c r="SGK25" s="5"/>
      <c r="SGL25" s="5"/>
      <c r="SGM25" s="5"/>
      <c r="SGN25" s="5"/>
      <c r="SGO25" s="5"/>
      <c r="SGP25" s="5"/>
      <c r="SGQ25" s="5"/>
      <c r="SGR25" s="5"/>
      <c r="SGS25" s="5"/>
      <c r="SGT25" s="5"/>
      <c r="SGU25" s="5"/>
      <c r="SGV25" s="5"/>
      <c r="SGW25" s="5"/>
      <c r="SGX25" s="5"/>
      <c r="SGY25" s="5"/>
      <c r="SGZ25" s="5"/>
      <c r="SHA25" s="5"/>
      <c r="SHB25" s="5"/>
      <c r="SHC25" s="5"/>
      <c r="SHD25" s="5"/>
      <c r="SHE25" s="5"/>
      <c r="SHF25" s="5"/>
      <c r="SHG25" s="5"/>
      <c r="SHH25" s="5"/>
      <c r="SHI25" s="5"/>
      <c r="SHJ25" s="5"/>
      <c r="SHK25" s="5"/>
      <c r="SHL25" s="5"/>
      <c r="SHM25" s="5"/>
      <c r="SHN25" s="5"/>
      <c r="SHO25" s="5"/>
      <c r="SHP25" s="5"/>
      <c r="SHQ25" s="5"/>
      <c r="SHR25" s="5"/>
      <c r="SHS25" s="5"/>
      <c r="SHT25" s="5"/>
      <c r="SHU25" s="5"/>
      <c r="SHV25" s="5"/>
      <c r="SHW25" s="5"/>
      <c r="SHX25" s="5"/>
      <c r="SHY25" s="5"/>
      <c r="SHZ25" s="5"/>
      <c r="SIA25" s="5"/>
      <c r="SIB25" s="5"/>
      <c r="SIC25" s="5"/>
      <c r="SID25" s="5"/>
      <c r="SIE25" s="5"/>
      <c r="SIF25" s="5"/>
      <c r="SIG25" s="5"/>
      <c r="SIH25" s="5"/>
      <c r="SII25" s="5"/>
      <c r="SIJ25" s="5"/>
      <c r="SIK25" s="5"/>
      <c r="SIL25" s="5"/>
      <c r="SIM25" s="5"/>
      <c r="SIN25" s="5"/>
      <c r="SIO25" s="5"/>
      <c r="SIP25" s="5"/>
      <c r="SIQ25" s="5"/>
      <c r="SIR25" s="5"/>
      <c r="SIS25" s="5"/>
      <c r="SIT25" s="5"/>
      <c r="SIU25" s="5"/>
      <c r="SIV25" s="5"/>
      <c r="SIW25" s="5"/>
      <c r="SIX25" s="5"/>
      <c r="SIY25" s="5"/>
      <c r="SIZ25" s="5"/>
      <c r="SJA25" s="5"/>
      <c r="SJB25" s="5"/>
      <c r="SJC25" s="5"/>
      <c r="SJD25" s="5"/>
      <c r="SJE25" s="5"/>
      <c r="SJF25" s="5"/>
      <c r="SJG25" s="5"/>
      <c r="SJH25" s="5"/>
      <c r="SJI25" s="5"/>
      <c r="SJJ25" s="5"/>
      <c r="SJK25" s="5"/>
      <c r="SJL25" s="5"/>
      <c r="SJM25" s="5"/>
      <c r="SJN25" s="5"/>
      <c r="SJO25" s="5"/>
      <c r="SJP25" s="5"/>
      <c r="SJQ25" s="5"/>
      <c r="SJR25" s="5"/>
      <c r="SJS25" s="5"/>
      <c r="SJT25" s="5"/>
      <c r="SJU25" s="5"/>
      <c r="SJV25" s="5"/>
      <c r="SJW25" s="5"/>
      <c r="SJX25" s="5"/>
      <c r="SJY25" s="5"/>
      <c r="SJZ25" s="5"/>
      <c r="SKA25" s="5"/>
      <c r="SKB25" s="5"/>
      <c r="SKC25" s="5"/>
      <c r="SKD25" s="5"/>
      <c r="SKE25" s="5"/>
      <c r="SKF25" s="5"/>
      <c r="SKG25" s="5"/>
      <c r="SKH25" s="5"/>
      <c r="SKI25" s="5"/>
      <c r="SKJ25" s="5"/>
      <c r="SKK25" s="5"/>
      <c r="SKL25" s="5"/>
      <c r="SKM25" s="5"/>
      <c r="SKN25" s="5"/>
      <c r="SKO25" s="5"/>
      <c r="SKP25" s="5"/>
      <c r="SKQ25" s="5"/>
      <c r="SKR25" s="5"/>
      <c r="SKS25" s="5"/>
      <c r="SKT25" s="5"/>
      <c r="SKU25" s="5"/>
      <c r="SKV25" s="5"/>
      <c r="SKW25" s="5"/>
      <c r="SKX25" s="5"/>
      <c r="SKY25" s="5"/>
      <c r="SKZ25" s="5"/>
      <c r="SLA25" s="5"/>
      <c r="SLB25" s="5"/>
      <c r="SLC25" s="5"/>
      <c r="SLD25" s="5"/>
      <c r="SLE25" s="5"/>
      <c r="SLF25" s="5"/>
      <c r="SLG25" s="5"/>
      <c r="SLH25" s="5"/>
      <c r="SLI25" s="5"/>
      <c r="SLJ25" s="5"/>
      <c r="SLK25" s="5"/>
      <c r="SLL25" s="5"/>
      <c r="SLM25" s="5"/>
      <c r="SLN25" s="5"/>
      <c r="SLO25" s="5"/>
      <c r="SLP25" s="5"/>
      <c r="SLQ25" s="5"/>
      <c r="SLR25" s="5"/>
      <c r="SLS25" s="5"/>
      <c r="SLT25" s="5"/>
      <c r="SLU25" s="5"/>
      <c r="SLV25" s="5"/>
      <c r="SLW25" s="5"/>
      <c r="SLX25" s="5"/>
      <c r="SLY25" s="5"/>
      <c r="SLZ25" s="5"/>
      <c r="SMA25" s="5"/>
      <c r="SMB25" s="5"/>
      <c r="SMC25" s="5"/>
      <c r="SMD25" s="5"/>
      <c r="SME25" s="5"/>
      <c r="SMF25" s="5"/>
      <c r="SMG25" s="5"/>
      <c r="SMH25" s="5"/>
      <c r="SMI25" s="5"/>
      <c r="SMJ25" s="5"/>
      <c r="SMK25" s="5"/>
      <c r="SML25" s="5"/>
      <c r="SMM25" s="5"/>
      <c r="SMN25" s="5"/>
      <c r="SMO25" s="5"/>
      <c r="SMP25" s="5"/>
      <c r="SMQ25" s="5"/>
      <c r="SMR25" s="5"/>
      <c r="SMS25" s="5"/>
      <c r="SMT25" s="5"/>
      <c r="SMU25" s="5"/>
      <c r="SMV25" s="5"/>
      <c r="SMW25" s="5"/>
      <c r="SMX25" s="5"/>
      <c r="SMY25" s="5"/>
      <c r="SMZ25" s="5"/>
      <c r="SNA25" s="5"/>
      <c r="SNB25" s="5"/>
      <c r="SNC25" s="5"/>
      <c r="SND25" s="5"/>
      <c r="SNE25" s="5"/>
      <c r="SNF25" s="5"/>
      <c r="SNG25" s="5"/>
      <c r="SNH25" s="5"/>
      <c r="SNI25" s="5"/>
      <c r="SNJ25" s="5"/>
      <c r="SNK25" s="5"/>
      <c r="SNL25" s="5"/>
      <c r="SNM25" s="5"/>
      <c r="SNN25" s="5"/>
      <c r="SNO25" s="5"/>
      <c r="SNP25" s="5"/>
      <c r="SNQ25" s="5"/>
      <c r="SNR25" s="5"/>
      <c r="SNS25" s="5"/>
      <c r="SNT25" s="5"/>
      <c r="SNU25" s="5"/>
      <c r="SNV25" s="5"/>
      <c r="SNW25" s="5"/>
      <c r="SNX25" s="5"/>
      <c r="SNY25" s="5"/>
      <c r="SNZ25" s="5"/>
      <c r="SOA25" s="5"/>
      <c r="SOB25" s="5"/>
      <c r="SOC25" s="5"/>
      <c r="SOD25" s="5"/>
      <c r="SOE25" s="5"/>
      <c r="SOF25" s="5"/>
      <c r="SOG25" s="5"/>
      <c r="SOH25" s="5"/>
      <c r="SOI25" s="5"/>
      <c r="SOJ25" s="5"/>
      <c r="SOK25" s="5"/>
      <c r="SOL25" s="5"/>
      <c r="SOM25" s="5"/>
      <c r="SON25" s="5"/>
      <c r="SOO25" s="5"/>
      <c r="SOP25" s="5"/>
      <c r="SOQ25" s="5"/>
      <c r="SOR25" s="5"/>
      <c r="SOS25" s="5"/>
      <c r="SOT25" s="5"/>
      <c r="SOU25" s="5"/>
      <c r="SOV25" s="5"/>
      <c r="SOW25" s="5"/>
      <c r="SOX25" s="5"/>
      <c r="SOY25" s="5"/>
      <c r="SOZ25" s="5"/>
      <c r="SPA25" s="5"/>
      <c r="SPB25" s="5"/>
      <c r="SPC25" s="5"/>
      <c r="SPD25" s="5"/>
      <c r="SPE25" s="5"/>
      <c r="SPF25" s="5"/>
      <c r="SPG25" s="5"/>
      <c r="SPH25" s="5"/>
      <c r="SPI25" s="5"/>
      <c r="SPJ25" s="5"/>
      <c r="SPK25" s="5"/>
      <c r="SPL25" s="5"/>
      <c r="SPM25" s="5"/>
      <c r="SPN25" s="5"/>
      <c r="SPO25" s="5"/>
      <c r="SPP25" s="5"/>
      <c r="SPQ25" s="5"/>
      <c r="SPR25" s="5"/>
      <c r="SPS25" s="5"/>
      <c r="SPT25" s="5"/>
      <c r="SPU25" s="5"/>
      <c r="SPV25" s="5"/>
      <c r="SPW25" s="5"/>
      <c r="SPX25" s="5"/>
      <c r="SPY25" s="5"/>
      <c r="SPZ25" s="5"/>
      <c r="SQA25" s="5"/>
      <c r="SQB25" s="5"/>
      <c r="SQC25" s="5"/>
      <c r="SQD25" s="5"/>
      <c r="SQE25" s="5"/>
      <c r="SQF25" s="5"/>
      <c r="SQG25" s="5"/>
      <c r="SQH25" s="5"/>
      <c r="SQI25" s="5"/>
      <c r="SQJ25" s="5"/>
      <c r="SQK25" s="5"/>
      <c r="SQL25" s="5"/>
      <c r="SQM25" s="5"/>
      <c r="SQN25" s="5"/>
      <c r="SQO25" s="5"/>
      <c r="SQP25" s="5"/>
      <c r="SQQ25" s="5"/>
      <c r="SQR25" s="5"/>
      <c r="SQS25" s="5"/>
      <c r="SQT25" s="5"/>
      <c r="SQU25" s="5"/>
      <c r="SQV25" s="5"/>
      <c r="SQW25" s="5"/>
      <c r="SQX25" s="5"/>
      <c r="SQY25" s="5"/>
      <c r="SQZ25" s="5"/>
      <c r="SRA25" s="5"/>
      <c r="SRB25" s="5"/>
      <c r="SRC25" s="5"/>
      <c r="SRD25" s="5"/>
      <c r="SRE25" s="5"/>
      <c r="SRF25" s="5"/>
      <c r="SRG25" s="5"/>
      <c r="SRH25" s="5"/>
      <c r="SRI25" s="5"/>
      <c r="SRJ25" s="5"/>
      <c r="SRK25" s="5"/>
      <c r="SRL25" s="5"/>
      <c r="SRM25" s="5"/>
      <c r="SRN25" s="5"/>
      <c r="SRO25" s="5"/>
      <c r="SRP25" s="5"/>
      <c r="SRQ25" s="5"/>
      <c r="SRR25" s="5"/>
      <c r="SRS25" s="5"/>
      <c r="SRT25" s="5"/>
      <c r="SRU25" s="5"/>
      <c r="SRV25" s="5"/>
      <c r="SRW25" s="5"/>
      <c r="SRX25" s="5"/>
      <c r="SRY25" s="5"/>
      <c r="SRZ25" s="5"/>
      <c r="SSA25" s="5"/>
      <c r="SSB25" s="5"/>
      <c r="SSC25" s="5"/>
      <c r="SSD25" s="5"/>
      <c r="SSE25" s="5"/>
      <c r="SSF25" s="5"/>
      <c r="SSG25" s="5"/>
      <c r="SSH25" s="5"/>
      <c r="SSI25" s="5"/>
      <c r="SSJ25" s="5"/>
      <c r="SSK25" s="5"/>
      <c r="SSL25" s="5"/>
      <c r="SSM25" s="5"/>
      <c r="SSN25" s="5"/>
      <c r="SSO25" s="5"/>
      <c r="SSP25" s="5"/>
      <c r="SSQ25" s="5"/>
      <c r="SSR25" s="5"/>
      <c r="SSS25" s="5"/>
      <c r="SST25" s="5"/>
      <c r="SSU25" s="5"/>
      <c r="SSV25" s="5"/>
      <c r="SSW25" s="5"/>
      <c r="SSX25" s="5"/>
      <c r="SSY25" s="5"/>
      <c r="SSZ25" s="5"/>
      <c r="STA25" s="5"/>
      <c r="STB25" s="5"/>
      <c r="STC25" s="5"/>
      <c r="STD25" s="5"/>
      <c r="STE25" s="5"/>
      <c r="STF25" s="5"/>
      <c r="STG25" s="5"/>
      <c r="STH25" s="5"/>
      <c r="STI25" s="5"/>
      <c r="STJ25" s="5"/>
      <c r="STK25" s="5"/>
      <c r="STL25" s="5"/>
      <c r="STM25" s="5"/>
      <c r="STN25" s="5"/>
      <c r="STO25" s="5"/>
      <c r="STP25" s="5"/>
      <c r="STQ25" s="5"/>
      <c r="STR25" s="5"/>
      <c r="STS25" s="5"/>
      <c r="STT25" s="5"/>
      <c r="STU25" s="5"/>
      <c r="STV25" s="5"/>
      <c r="STW25" s="5"/>
      <c r="STX25" s="5"/>
      <c r="STY25" s="5"/>
      <c r="STZ25" s="5"/>
      <c r="SUA25" s="5"/>
      <c r="SUB25" s="5"/>
      <c r="SUC25" s="5"/>
      <c r="SUD25" s="5"/>
      <c r="SUE25" s="5"/>
      <c r="SUF25" s="5"/>
      <c r="SUG25" s="5"/>
      <c r="SUH25" s="5"/>
      <c r="SUI25" s="5"/>
      <c r="SUJ25" s="5"/>
      <c r="SUK25" s="5"/>
      <c r="SUL25" s="5"/>
      <c r="SUM25" s="5"/>
      <c r="SUN25" s="5"/>
      <c r="SUO25" s="5"/>
      <c r="SUP25" s="5"/>
      <c r="SUQ25" s="5"/>
      <c r="SUR25" s="5"/>
      <c r="SUS25" s="5"/>
      <c r="SUT25" s="5"/>
      <c r="SUU25" s="5"/>
      <c r="SUV25" s="5"/>
      <c r="SUW25" s="5"/>
      <c r="SUX25" s="5"/>
      <c r="SUY25" s="5"/>
      <c r="SUZ25" s="5"/>
      <c r="SVA25" s="5"/>
      <c r="SVB25" s="5"/>
      <c r="SVC25" s="5"/>
      <c r="SVD25" s="5"/>
      <c r="SVE25" s="5"/>
      <c r="SVF25" s="5"/>
      <c r="SVG25" s="5"/>
      <c r="SVH25" s="5"/>
      <c r="SVI25" s="5"/>
      <c r="SVJ25" s="5"/>
      <c r="SVK25" s="5"/>
      <c r="SVL25" s="5"/>
      <c r="SVM25" s="5"/>
      <c r="SVN25" s="5"/>
      <c r="SVO25" s="5"/>
      <c r="SVP25" s="5"/>
      <c r="SVQ25" s="5"/>
      <c r="SVR25" s="5"/>
      <c r="SVS25" s="5"/>
      <c r="SVT25" s="5"/>
      <c r="SVU25" s="5"/>
      <c r="SVV25" s="5"/>
      <c r="SVW25" s="5"/>
      <c r="SVX25" s="5"/>
      <c r="SVY25" s="5"/>
      <c r="SVZ25" s="5"/>
      <c r="SWA25" s="5"/>
      <c r="SWB25" s="5"/>
      <c r="SWC25" s="5"/>
      <c r="SWD25" s="5"/>
      <c r="SWE25" s="5"/>
      <c r="SWF25" s="5"/>
      <c r="SWG25" s="5"/>
      <c r="SWH25" s="5"/>
      <c r="SWI25" s="5"/>
      <c r="SWJ25" s="5"/>
      <c r="SWK25" s="5"/>
      <c r="SWL25" s="5"/>
      <c r="SWM25" s="5"/>
      <c r="SWN25" s="5"/>
      <c r="SWO25" s="5"/>
      <c r="SWP25" s="5"/>
      <c r="SWQ25" s="5"/>
      <c r="SWR25" s="5"/>
      <c r="SWS25" s="5"/>
      <c r="SWT25" s="5"/>
      <c r="SWU25" s="5"/>
      <c r="SWV25" s="5"/>
      <c r="SWW25" s="5"/>
      <c r="SWX25" s="5"/>
      <c r="SWY25" s="5"/>
      <c r="SWZ25" s="5"/>
      <c r="SXA25" s="5"/>
      <c r="SXB25" s="5"/>
      <c r="SXC25" s="5"/>
      <c r="SXD25" s="5"/>
      <c r="SXE25" s="5"/>
      <c r="SXF25" s="5"/>
      <c r="SXG25" s="5"/>
      <c r="SXH25" s="5"/>
      <c r="SXI25" s="5"/>
      <c r="SXJ25" s="5"/>
      <c r="SXK25" s="5"/>
      <c r="SXL25" s="5"/>
      <c r="SXM25" s="5"/>
      <c r="SXN25" s="5"/>
      <c r="SXO25" s="5"/>
      <c r="SXP25" s="5"/>
      <c r="SXQ25" s="5"/>
      <c r="SXR25" s="5"/>
      <c r="SXS25" s="5"/>
      <c r="SXT25" s="5"/>
      <c r="SXU25" s="5"/>
      <c r="SXV25" s="5"/>
      <c r="SXW25" s="5"/>
      <c r="SXX25" s="5"/>
      <c r="SXY25" s="5"/>
      <c r="SXZ25" s="5"/>
      <c r="SYA25" s="5"/>
      <c r="SYB25" s="5"/>
      <c r="SYC25" s="5"/>
      <c r="SYD25" s="5"/>
      <c r="SYE25" s="5"/>
      <c r="SYF25" s="5"/>
      <c r="SYG25" s="5"/>
      <c r="SYH25" s="5"/>
      <c r="SYI25" s="5"/>
      <c r="SYJ25" s="5"/>
      <c r="SYK25" s="5"/>
      <c r="SYL25" s="5"/>
      <c r="SYM25" s="5"/>
      <c r="SYN25" s="5"/>
      <c r="SYO25" s="5"/>
      <c r="SYP25" s="5"/>
      <c r="SYQ25" s="5"/>
      <c r="SYR25" s="5"/>
      <c r="SYS25" s="5"/>
      <c r="SYT25" s="5"/>
      <c r="SYU25" s="5"/>
      <c r="SYV25" s="5"/>
      <c r="SYW25" s="5"/>
      <c r="SYX25" s="5"/>
      <c r="SYY25" s="5"/>
      <c r="SYZ25" s="5"/>
      <c r="SZA25" s="5"/>
      <c r="SZB25" s="5"/>
      <c r="SZC25" s="5"/>
      <c r="SZD25" s="5"/>
      <c r="SZE25" s="5"/>
      <c r="SZF25" s="5"/>
      <c r="SZG25" s="5"/>
      <c r="SZH25" s="5"/>
      <c r="SZI25" s="5"/>
      <c r="SZJ25" s="5"/>
      <c r="SZK25" s="5"/>
      <c r="SZL25" s="5"/>
      <c r="SZM25" s="5"/>
      <c r="SZN25" s="5"/>
      <c r="SZO25" s="5"/>
      <c r="SZP25" s="5"/>
      <c r="SZQ25" s="5"/>
      <c r="SZR25" s="5"/>
      <c r="SZS25" s="5"/>
      <c r="SZT25" s="5"/>
      <c r="SZU25" s="5"/>
      <c r="SZV25" s="5"/>
      <c r="SZW25" s="5"/>
      <c r="SZX25" s="5"/>
      <c r="SZY25" s="5"/>
      <c r="SZZ25" s="5"/>
      <c r="TAA25" s="5"/>
      <c r="TAB25" s="5"/>
      <c r="TAC25" s="5"/>
      <c r="TAD25" s="5"/>
      <c r="TAE25" s="5"/>
      <c r="TAF25" s="5"/>
      <c r="TAG25" s="5"/>
      <c r="TAH25" s="5"/>
      <c r="TAI25" s="5"/>
      <c r="TAJ25" s="5"/>
      <c r="TAK25" s="5"/>
      <c r="TAL25" s="5"/>
      <c r="TAM25" s="5"/>
      <c r="TAN25" s="5"/>
      <c r="TAO25" s="5"/>
      <c r="TAP25" s="5"/>
      <c r="TAQ25" s="5"/>
      <c r="TAR25" s="5"/>
      <c r="TAS25" s="5"/>
      <c r="TAT25" s="5"/>
      <c r="TAU25" s="5"/>
      <c r="TAV25" s="5"/>
      <c r="TAW25" s="5"/>
      <c r="TAX25" s="5"/>
      <c r="TAY25" s="5"/>
      <c r="TAZ25" s="5"/>
      <c r="TBA25" s="5"/>
      <c r="TBB25" s="5"/>
      <c r="TBC25" s="5"/>
      <c r="TBD25" s="5"/>
      <c r="TBE25" s="5"/>
      <c r="TBF25" s="5"/>
      <c r="TBG25" s="5"/>
      <c r="TBH25" s="5"/>
      <c r="TBI25" s="5"/>
      <c r="TBJ25" s="5"/>
      <c r="TBK25" s="5"/>
      <c r="TBL25" s="5"/>
      <c r="TBM25" s="5"/>
      <c r="TBN25" s="5"/>
      <c r="TBO25" s="5"/>
      <c r="TBP25" s="5"/>
      <c r="TBQ25" s="5"/>
      <c r="TBR25" s="5"/>
      <c r="TBS25" s="5"/>
      <c r="TBT25" s="5"/>
      <c r="TBU25" s="5"/>
      <c r="TBV25" s="5"/>
      <c r="TBW25" s="5"/>
      <c r="TBX25" s="5"/>
      <c r="TBY25" s="5"/>
      <c r="TBZ25" s="5"/>
      <c r="TCA25" s="5"/>
      <c r="TCB25" s="5"/>
      <c r="TCC25" s="5"/>
      <c r="TCD25" s="5"/>
      <c r="TCE25" s="5"/>
      <c r="TCF25" s="5"/>
      <c r="TCG25" s="5"/>
      <c r="TCH25" s="5"/>
      <c r="TCI25" s="5"/>
      <c r="TCJ25" s="5"/>
      <c r="TCK25" s="5"/>
      <c r="TCL25" s="5"/>
      <c r="TCM25" s="5"/>
      <c r="TCN25" s="5"/>
      <c r="TCO25" s="5"/>
      <c r="TCP25" s="5"/>
      <c r="TCQ25" s="5"/>
      <c r="TCR25" s="5"/>
      <c r="TCS25" s="5"/>
      <c r="TCT25" s="5"/>
      <c r="TCU25" s="5"/>
      <c r="TCV25" s="5"/>
      <c r="TCW25" s="5"/>
      <c r="TCX25" s="5"/>
      <c r="TCY25" s="5"/>
      <c r="TCZ25" s="5"/>
      <c r="TDA25" s="5"/>
      <c r="TDB25" s="5"/>
      <c r="TDC25" s="5"/>
      <c r="TDD25" s="5"/>
      <c r="TDE25" s="5"/>
      <c r="TDF25" s="5"/>
      <c r="TDG25" s="5"/>
      <c r="TDH25" s="5"/>
      <c r="TDI25" s="5"/>
      <c r="TDJ25" s="5"/>
      <c r="TDK25" s="5"/>
      <c r="TDL25" s="5"/>
      <c r="TDM25" s="5"/>
      <c r="TDN25" s="5"/>
      <c r="TDO25" s="5"/>
      <c r="TDP25" s="5"/>
      <c r="TDQ25" s="5"/>
      <c r="TDR25" s="5"/>
      <c r="TDS25" s="5"/>
      <c r="TDT25" s="5"/>
      <c r="TDU25" s="5"/>
      <c r="TDV25" s="5"/>
      <c r="TDW25" s="5"/>
      <c r="TDX25" s="5"/>
      <c r="TDY25" s="5"/>
      <c r="TDZ25" s="5"/>
      <c r="TEA25" s="5"/>
      <c r="TEB25" s="5"/>
      <c r="TEC25" s="5"/>
      <c r="TED25" s="5"/>
      <c r="TEE25" s="5"/>
      <c r="TEF25" s="5"/>
      <c r="TEG25" s="5"/>
      <c r="TEH25" s="5"/>
      <c r="TEI25" s="5"/>
      <c r="TEJ25" s="5"/>
      <c r="TEK25" s="5"/>
      <c r="TEL25" s="5"/>
      <c r="TEM25" s="5"/>
      <c r="TEN25" s="5"/>
      <c r="TEO25" s="5"/>
      <c r="TEP25" s="5"/>
      <c r="TEQ25" s="5"/>
      <c r="TER25" s="5"/>
      <c r="TES25" s="5"/>
      <c r="TET25" s="5"/>
      <c r="TEU25" s="5"/>
      <c r="TEV25" s="5"/>
      <c r="TEW25" s="5"/>
      <c r="TEX25" s="5"/>
      <c r="TEY25" s="5"/>
      <c r="TEZ25" s="5"/>
      <c r="TFA25" s="5"/>
      <c r="TFB25" s="5"/>
      <c r="TFC25" s="5"/>
      <c r="TFD25" s="5"/>
      <c r="TFE25" s="5"/>
      <c r="TFF25" s="5"/>
      <c r="TFG25" s="5"/>
      <c r="TFH25" s="5"/>
      <c r="TFI25" s="5"/>
      <c r="TFJ25" s="5"/>
      <c r="TFK25" s="5"/>
      <c r="TFL25" s="5"/>
      <c r="TFM25" s="5"/>
      <c r="TFN25" s="5"/>
      <c r="TFO25" s="5"/>
      <c r="TFP25" s="5"/>
      <c r="TFQ25" s="5"/>
      <c r="TFR25" s="5"/>
      <c r="TFS25" s="5"/>
      <c r="TFT25" s="5"/>
      <c r="TFU25" s="5"/>
      <c r="TFV25" s="5"/>
      <c r="TFW25" s="5"/>
      <c r="TFX25" s="5"/>
      <c r="TFY25" s="5"/>
      <c r="TFZ25" s="5"/>
      <c r="TGA25" s="5"/>
      <c r="TGB25" s="5"/>
      <c r="TGC25" s="5"/>
      <c r="TGD25" s="5"/>
      <c r="TGE25" s="5"/>
      <c r="TGF25" s="5"/>
      <c r="TGG25" s="5"/>
      <c r="TGH25" s="5"/>
      <c r="TGI25" s="5"/>
      <c r="TGJ25" s="5"/>
      <c r="TGK25" s="5"/>
      <c r="TGL25" s="5"/>
      <c r="TGM25" s="5"/>
      <c r="TGN25" s="5"/>
      <c r="TGO25" s="5"/>
      <c r="TGP25" s="5"/>
      <c r="TGQ25" s="5"/>
      <c r="TGR25" s="5"/>
      <c r="TGS25" s="5"/>
      <c r="TGT25" s="5"/>
      <c r="TGU25" s="5"/>
      <c r="TGV25" s="5"/>
      <c r="TGW25" s="5"/>
      <c r="TGX25" s="5"/>
      <c r="TGY25" s="5"/>
      <c r="TGZ25" s="5"/>
      <c r="THA25" s="5"/>
      <c r="THB25" s="5"/>
      <c r="THC25" s="5"/>
      <c r="THD25" s="5"/>
      <c r="THE25" s="5"/>
      <c r="THF25" s="5"/>
      <c r="THG25" s="5"/>
      <c r="THH25" s="5"/>
      <c r="THI25" s="5"/>
      <c r="THJ25" s="5"/>
      <c r="THK25" s="5"/>
      <c r="THL25" s="5"/>
      <c r="THM25" s="5"/>
      <c r="THN25" s="5"/>
      <c r="THO25" s="5"/>
      <c r="THP25" s="5"/>
      <c r="THQ25" s="5"/>
      <c r="THR25" s="5"/>
      <c r="THS25" s="5"/>
      <c r="THT25" s="5"/>
      <c r="THU25" s="5"/>
      <c r="THV25" s="5"/>
      <c r="THW25" s="5"/>
      <c r="THX25" s="5"/>
      <c r="THY25" s="5"/>
      <c r="THZ25" s="5"/>
      <c r="TIA25" s="5"/>
      <c r="TIB25" s="5"/>
      <c r="TIC25" s="5"/>
      <c r="TID25" s="5"/>
      <c r="TIE25" s="5"/>
      <c r="TIF25" s="5"/>
      <c r="TIG25" s="5"/>
      <c r="TIH25" s="5"/>
      <c r="TII25" s="5"/>
      <c r="TIJ25" s="5"/>
      <c r="TIK25" s="5"/>
      <c r="TIL25" s="5"/>
      <c r="TIM25" s="5"/>
      <c r="TIN25" s="5"/>
      <c r="TIO25" s="5"/>
      <c r="TIP25" s="5"/>
      <c r="TIQ25" s="5"/>
      <c r="TIR25" s="5"/>
      <c r="TIS25" s="5"/>
      <c r="TIT25" s="5"/>
      <c r="TIU25" s="5"/>
      <c r="TIV25" s="5"/>
      <c r="TIW25" s="5"/>
      <c r="TIX25" s="5"/>
      <c r="TIY25" s="5"/>
      <c r="TIZ25" s="5"/>
      <c r="TJA25" s="5"/>
      <c r="TJB25" s="5"/>
      <c r="TJC25" s="5"/>
      <c r="TJD25" s="5"/>
      <c r="TJE25" s="5"/>
      <c r="TJF25" s="5"/>
      <c r="TJG25" s="5"/>
      <c r="TJH25" s="5"/>
      <c r="TJI25" s="5"/>
      <c r="TJJ25" s="5"/>
      <c r="TJK25" s="5"/>
      <c r="TJL25" s="5"/>
      <c r="TJM25" s="5"/>
      <c r="TJN25" s="5"/>
      <c r="TJO25" s="5"/>
      <c r="TJP25" s="5"/>
      <c r="TJQ25" s="5"/>
      <c r="TJR25" s="5"/>
      <c r="TJS25" s="5"/>
      <c r="TJT25" s="5"/>
      <c r="TJU25" s="5"/>
      <c r="TJV25" s="5"/>
      <c r="TJW25" s="5"/>
      <c r="TJX25" s="5"/>
      <c r="TJY25" s="5"/>
      <c r="TJZ25" s="5"/>
      <c r="TKA25" s="5"/>
      <c r="TKB25" s="5"/>
      <c r="TKC25" s="5"/>
      <c r="TKD25" s="5"/>
      <c r="TKE25" s="5"/>
      <c r="TKF25" s="5"/>
      <c r="TKG25" s="5"/>
      <c r="TKH25" s="5"/>
      <c r="TKI25" s="5"/>
      <c r="TKJ25" s="5"/>
      <c r="TKK25" s="5"/>
      <c r="TKL25" s="5"/>
      <c r="TKM25" s="5"/>
      <c r="TKN25" s="5"/>
      <c r="TKO25" s="5"/>
      <c r="TKP25" s="5"/>
      <c r="TKQ25" s="5"/>
      <c r="TKR25" s="5"/>
      <c r="TKS25" s="5"/>
      <c r="TKT25" s="5"/>
      <c r="TKU25" s="5"/>
      <c r="TKV25" s="5"/>
      <c r="TKW25" s="5"/>
      <c r="TKX25" s="5"/>
      <c r="TKY25" s="5"/>
      <c r="TKZ25" s="5"/>
      <c r="TLA25" s="5"/>
      <c r="TLB25" s="5"/>
      <c r="TLC25" s="5"/>
      <c r="TLD25" s="5"/>
      <c r="TLE25" s="5"/>
      <c r="TLF25" s="5"/>
      <c r="TLG25" s="5"/>
      <c r="TLH25" s="5"/>
      <c r="TLI25" s="5"/>
      <c r="TLJ25" s="5"/>
      <c r="TLK25" s="5"/>
      <c r="TLL25" s="5"/>
      <c r="TLM25" s="5"/>
      <c r="TLN25" s="5"/>
      <c r="TLO25" s="5"/>
      <c r="TLP25" s="5"/>
      <c r="TLQ25" s="5"/>
      <c r="TLR25" s="5"/>
      <c r="TLS25" s="5"/>
      <c r="TLT25" s="5"/>
      <c r="TLU25" s="5"/>
      <c r="TLV25" s="5"/>
      <c r="TLW25" s="5"/>
      <c r="TLX25" s="5"/>
      <c r="TLY25" s="5"/>
      <c r="TLZ25" s="5"/>
      <c r="TMA25" s="5"/>
      <c r="TMB25" s="5"/>
      <c r="TMC25" s="5"/>
      <c r="TMD25" s="5"/>
      <c r="TME25" s="5"/>
      <c r="TMF25" s="5"/>
      <c r="TMG25" s="5"/>
      <c r="TMH25" s="5"/>
      <c r="TMI25" s="5"/>
      <c r="TMJ25" s="5"/>
      <c r="TMK25" s="5"/>
      <c r="TML25" s="5"/>
      <c r="TMM25" s="5"/>
      <c r="TMN25" s="5"/>
      <c r="TMO25" s="5"/>
      <c r="TMP25" s="5"/>
      <c r="TMQ25" s="5"/>
      <c r="TMR25" s="5"/>
      <c r="TMS25" s="5"/>
      <c r="TMT25" s="5"/>
      <c r="TMU25" s="5"/>
      <c r="TMV25" s="5"/>
      <c r="TMW25" s="5"/>
      <c r="TMX25" s="5"/>
      <c r="TMY25" s="5"/>
      <c r="TMZ25" s="5"/>
      <c r="TNA25" s="5"/>
      <c r="TNB25" s="5"/>
      <c r="TNC25" s="5"/>
      <c r="TND25" s="5"/>
      <c r="TNE25" s="5"/>
      <c r="TNF25" s="5"/>
      <c r="TNG25" s="5"/>
      <c r="TNH25" s="5"/>
      <c r="TNI25" s="5"/>
      <c r="TNJ25" s="5"/>
      <c r="TNK25" s="5"/>
      <c r="TNL25" s="5"/>
      <c r="TNM25" s="5"/>
      <c r="TNN25" s="5"/>
      <c r="TNO25" s="5"/>
      <c r="TNP25" s="5"/>
      <c r="TNQ25" s="5"/>
      <c r="TNR25" s="5"/>
      <c r="TNS25" s="5"/>
      <c r="TNT25" s="5"/>
      <c r="TNU25" s="5"/>
      <c r="TNV25" s="5"/>
      <c r="TNW25" s="5"/>
      <c r="TNX25" s="5"/>
      <c r="TNY25" s="5"/>
      <c r="TNZ25" s="5"/>
      <c r="TOA25" s="5"/>
      <c r="TOB25" s="5"/>
      <c r="TOC25" s="5"/>
      <c r="TOD25" s="5"/>
      <c r="TOE25" s="5"/>
      <c r="TOF25" s="5"/>
      <c r="TOG25" s="5"/>
      <c r="TOH25" s="5"/>
      <c r="TOI25" s="5"/>
      <c r="TOJ25" s="5"/>
      <c r="TOK25" s="5"/>
      <c r="TOL25" s="5"/>
      <c r="TOM25" s="5"/>
      <c r="TON25" s="5"/>
      <c r="TOO25" s="5"/>
      <c r="TOP25" s="5"/>
      <c r="TOQ25" s="5"/>
      <c r="TOR25" s="5"/>
      <c r="TOS25" s="5"/>
      <c r="TOT25" s="5"/>
      <c r="TOU25" s="5"/>
      <c r="TOV25" s="5"/>
      <c r="TOW25" s="5"/>
      <c r="TOX25" s="5"/>
      <c r="TOY25" s="5"/>
      <c r="TOZ25" s="5"/>
      <c r="TPA25" s="5"/>
      <c r="TPB25" s="5"/>
      <c r="TPC25" s="5"/>
      <c r="TPD25" s="5"/>
      <c r="TPE25" s="5"/>
      <c r="TPF25" s="5"/>
      <c r="TPG25" s="5"/>
      <c r="TPH25" s="5"/>
      <c r="TPI25" s="5"/>
      <c r="TPJ25" s="5"/>
      <c r="TPK25" s="5"/>
      <c r="TPL25" s="5"/>
      <c r="TPM25" s="5"/>
      <c r="TPN25" s="5"/>
      <c r="TPO25" s="5"/>
      <c r="TPP25" s="5"/>
      <c r="TPQ25" s="5"/>
      <c r="TPR25" s="5"/>
      <c r="TPS25" s="5"/>
      <c r="TPT25" s="5"/>
      <c r="TPU25" s="5"/>
      <c r="TPV25" s="5"/>
      <c r="TPW25" s="5"/>
      <c r="TPX25" s="5"/>
      <c r="TPY25" s="5"/>
      <c r="TPZ25" s="5"/>
      <c r="TQA25" s="5"/>
      <c r="TQB25" s="5"/>
      <c r="TQC25" s="5"/>
      <c r="TQD25" s="5"/>
      <c r="TQE25" s="5"/>
      <c r="TQF25" s="5"/>
      <c r="TQG25" s="5"/>
      <c r="TQH25" s="5"/>
      <c r="TQI25" s="5"/>
      <c r="TQJ25" s="5"/>
      <c r="TQK25" s="5"/>
      <c r="TQL25" s="5"/>
      <c r="TQM25" s="5"/>
      <c r="TQN25" s="5"/>
      <c r="TQO25" s="5"/>
      <c r="TQP25" s="5"/>
      <c r="TQQ25" s="5"/>
      <c r="TQR25" s="5"/>
      <c r="TQS25" s="5"/>
      <c r="TQT25" s="5"/>
      <c r="TQU25" s="5"/>
      <c r="TQV25" s="5"/>
      <c r="TQW25" s="5"/>
      <c r="TQX25" s="5"/>
      <c r="TQY25" s="5"/>
      <c r="TQZ25" s="5"/>
      <c r="TRA25" s="5"/>
      <c r="TRB25" s="5"/>
      <c r="TRC25" s="5"/>
      <c r="TRD25" s="5"/>
      <c r="TRE25" s="5"/>
      <c r="TRF25" s="5"/>
      <c r="TRG25" s="5"/>
      <c r="TRH25" s="5"/>
      <c r="TRI25" s="5"/>
      <c r="TRJ25" s="5"/>
      <c r="TRK25" s="5"/>
      <c r="TRL25" s="5"/>
      <c r="TRM25" s="5"/>
      <c r="TRN25" s="5"/>
      <c r="TRO25" s="5"/>
      <c r="TRP25" s="5"/>
      <c r="TRQ25" s="5"/>
      <c r="TRR25" s="5"/>
      <c r="TRS25" s="5"/>
      <c r="TRT25" s="5"/>
      <c r="TRU25" s="5"/>
      <c r="TRV25" s="5"/>
      <c r="TRW25" s="5"/>
      <c r="TRX25" s="5"/>
      <c r="TRY25" s="5"/>
      <c r="TRZ25" s="5"/>
      <c r="TSA25" s="5"/>
      <c r="TSB25" s="5"/>
      <c r="TSC25" s="5"/>
      <c r="TSD25" s="5"/>
      <c r="TSE25" s="5"/>
      <c r="TSF25" s="5"/>
      <c r="TSG25" s="5"/>
      <c r="TSH25" s="5"/>
      <c r="TSI25" s="5"/>
      <c r="TSJ25" s="5"/>
      <c r="TSK25" s="5"/>
      <c r="TSL25" s="5"/>
      <c r="TSM25" s="5"/>
      <c r="TSN25" s="5"/>
      <c r="TSO25" s="5"/>
      <c r="TSP25" s="5"/>
      <c r="TSQ25" s="5"/>
      <c r="TSR25" s="5"/>
      <c r="TSS25" s="5"/>
      <c r="TST25" s="5"/>
      <c r="TSU25" s="5"/>
      <c r="TSV25" s="5"/>
      <c r="TSW25" s="5"/>
      <c r="TSX25" s="5"/>
      <c r="TSY25" s="5"/>
      <c r="TSZ25" s="5"/>
      <c r="TTA25" s="5"/>
      <c r="TTB25" s="5"/>
      <c r="TTC25" s="5"/>
      <c r="TTD25" s="5"/>
      <c r="TTE25" s="5"/>
      <c r="TTF25" s="5"/>
      <c r="TTG25" s="5"/>
      <c r="TTH25" s="5"/>
      <c r="TTI25" s="5"/>
      <c r="TTJ25" s="5"/>
      <c r="TTK25" s="5"/>
      <c r="TTL25" s="5"/>
      <c r="TTM25" s="5"/>
      <c r="TTN25" s="5"/>
      <c r="TTO25" s="5"/>
      <c r="TTP25" s="5"/>
      <c r="TTQ25" s="5"/>
      <c r="TTR25" s="5"/>
      <c r="TTS25" s="5"/>
      <c r="TTT25" s="5"/>
      <c r="TTU25" s="5"/>
      <c r="TTV25" s="5"/>
      <c r="TTW25" s="5"/>
      <c r="TTX25" s="5"/>
      <c r="TTY25" s="5"/>
      <c r="TTZ25" s="5"/>
      <c r="TUA25" s="5"/>
      <c r="TUB25" s="5"/>
      <c r="TUC25" s="5"/>
      <c r="TUD25" s="5"/>
      <c r="TUE25" s="5"/>
      <c r="TUF25" s="5"/>
      <c r="TUG25" s="5"/>
      <c r="TUH25" s="5"/>
      <c r="TUI25" s="5"/>
      <c r="TUJ25" s="5"/>
      <c r="TUK25" s="5"/>
      <c r="TUL25" s="5"/>
      <c r="TUM25" s="5"/>
      <c r="TUN25" s="5"/>
      <c r="TUO25" s="5"/>
      <c r="TUP25" s="5"/>
      <c r="TUQ25" s="5"/>
      <c r="TUR25" s="5"/>
      <c r="TUS25" s="5"/>
      <c r="TUT25" s="5"/>
      <c r="TUU25" s="5"/>
      <c r="TUV25" s="5"/>
      <c r="TUW25" s="5"/>
      <c r="TUX25" s="5"/>
      <c r="TUY25" s="5"/>
      <c r="TUZ25" s="5"/>
      <c r="TVA25" s="5"/>
      <c r="TVB25" s="5"/>
      <c r="TVC25" s="5"/>
      <c r="TVD25" s="5"/>
      <c r="TVE25" s="5"/>
      <c r="TVF25" s="5"/>
      <c r="TVG25" s="5"/>
      <c r="TVH25" s="5"/>
      <c r="TVI25" s="5"/>
      <c r="TVJ25" s="5"/>
      <c r="TVK25" s="5"/>
      <c r="TVL25" s="5"/>
      <c r="TVM25" s="5"/>
      <c r="TVN25" s="5"/>
      <c r="TVO25" s="5"/>
      <c r="TVP25" s="5"/>
      <c r="TVQ25" s="5"/>
      <c r="TVR25" s="5"/>
      <c r="TVS25" s="5"/>
      <c r="TVT25" s="5"/>
      <c r="TVU25" s="5"/>
      <c r="TVV25" s="5"/>
      <c r="TVW25" s="5"/>
      <c r="TVX25" s="5"/>
      <c r="TVY25" s="5"/>
      <c r="TVZ25" s="5"/>
      <c r="TWA25" s="5"/>
      <c r="TWB25" s="5"/>
      <c r="TWC25" s="5"/>
      <c r="TWD25" s="5"/>
      <c r="TWE25" s="5"/>
      <c r="TWF25" s="5"/>
      <c r="TWG25" s="5"/>
      <c r="TWH25" s="5"/>
      <c r="TWI25" s="5"/>
      <c r="TWJ25" s="5"/>
      <c r="TWK25" s="5"/>
      <c r="TWL25" s="5"/>
      <c r="TWM25" s="5"/>
      <c r="TWN25" s="5"/>
      <c r="TWO25" s="5"/>
      <c r="TWP25" s="5"/>
      <c r="TWQ25" s="5"/>
      <c r="TWR25" s="5"/>
      <c r="TWS25" s="5"/>
      <c r="TWT25" s="5"/>
      <c r="TWU25" s="5"/>
      <c r="TWV25" s="5"/>
      <c r="TWW25" s="5"/>
      <c r="TWX25" s="5"/>
      <c r="TWY25" s="5"/>
      <c r="TWZ25" s="5"/>
      <c r="TXA25" s="5"/>
      <c r="TXB25" s="5"/>
      <c r="TXC25" s="5"/>
      <c r="TXD25" s="5"/>
      <c r="TXE25" s="5"/>
      <c r="TXF25" s="5"/>
      <c r="TXG25" s="5"/>
      <c r="TXH25" s="5"/>
      <c r="TXI25" s="5"/>
      <c r="TXJ25" s="5"/>
      <c r="TXK25" s="5"/>
      <c r="TXL25" s="5"/>
      <c r="TXM25" s="5"/>
      <c r="TXN25" s="5"/>
      <c r="TXO25" s="5"/>
      <c r="TXP25" s="5"/>
      <c r="TXQ25" s="5"/>
      <c r="TXR25" s="5"/>
      <c r="TXS25" s="5"/>
      <c r="TXT25" s="5"/>
      <c r="TXU25" s="5"/>
      <c r="TXV25" s="5"/>
      <c r="TXW25" s="5"/>
      <c r="TXX25" s="5"/>
      <c r="TXY25" s="5"/>
      <c r="TXZ25" s="5"/>
      <c r="TYA25" s="5"/>
      <c r="TYB25" s="5"/>
      <c r="TYC25" s="5"/>
      <c r="TYD25" s="5"/>
      <c r="TYE25" s="5"/>
      <c r="TYF25" s="5"/>
      <c r="TYG25" s="5"/>
      <c r="TYH25" s="5"/>
      <c r="TYI25" s="5"/>
      <c r="TYJ25" s="5"/>
      <c r="TYK25" s="5"/>
      <c r="TYL25" s="5"/>
      <c r="TYM25" s="5"/>
      <c r="TYN25" s="5"/>
      <c r="TYO25" s="5"/>
      <c r="TYP25" s="5"/>
      <c r="TYQ25" s="5"/>
      <c r="TYR25" s="5"/>
      <c r="TYS25" s="5"/>
      <c r="TYT25" s="5"/>
      <c r="TYU25" s="5"/>
      <c r="TYV25" s="5"/>
      <c r="TYW25" s="5"/>
      <c r="TYX25" s="5"/>
      <c r="TYY25" s="5"/>
      <c r="TYZ25" s="5"/>
      <c r="TZA25" s="5"/>
      <c r="TZB25" s="5"/>
      <c r="TZC25" s="5"/>
      <c r="TZD25" s="5"/>
      <c r="TZE25" s="5"/>
      <c r="TZF25" s="5"/>
      <c r="TZG25" s="5"/>
      <c r="TZH25" s="5"/>
      <c r="TZI25" s="5"/>
      <c r="TZJ25" s="5"/>
      <c r="TZK25" s="5"/>
      <c r="TZL25" s="5"/>
      <c r="TZM25" s="5"/>
      <c r="TZN25" s="5"/>
      <c r="TZO25" s="5"/>
      <c r="TZP25" s="5"/>
      <c r="TZQ25" s="5"/>
      <c r="TZR25" s="5"/>
      <c r="TZS25" s="5"/>
      <c r="TZT25" s="5"/>
      <c r="TZU25" s="5"/>
      <c r="TZV25" s="5"/>
      <c r="TZW25" s="5"/>
      <c r="TZX25" s="5"/>
      <c r="TZY25" s="5"/>
      <c r="TZZ25" s="5"/>
      <c r="UAA25" s="5"/>
      <c r="UAB25" s="5"/>
      <c r="UAC25" s="5"/>
      <c r="UAD25" s="5"/>
      <c r="UAE25" s="5"/>
      <c r="UAF25" s="5"/>
      <c r="UAG25" s="5"/>
      <c r="UAH25" s="5"/>
      <c r="UAI25" s="5"/>
      <c r="UAJ25" s="5"/>
      <c r="UAK25" s="5"/>
      <c r="UAL25" s="5"/>
      <c r="UAM25" s="5"/>
      <c r="UAN25" s="5"/>
      <c r="UAO25" s="5"/>
      <c r="UAP25" s="5"/>
      <c r="UAQ25" s="5"/>
      <c r="UAR25" s="5"/>
      <c r="UAS25" s="5"/>
      <c r="UAT25" s="5"/>
      <c r="UAU25" s="5"/>
      <c r="UAV25" s="5"/>
      <c r="UAW25" s="5"/>
      <c r="UAX25" s="5"/>
      <c r="UAY25" s="5"/>
      <c r="UAZ25" s="5"/>
      <c r="UBA25" s="5"/>
      <c r="UBB25" s="5"/>
      <c r="UBC25" s="5"/>
      <c r="UBD25" s="5"/>
      <c r="UBE25" s="5"/>
      <c r="UBF25" s="5"/>
      <c r="UBG25" s="5"/>
      <c r="UBH25" s="5"/>
      <c r="UBI25" s="5"/>
      <c r="UBJ25" s="5"/>
      <c r="UBK25" s="5"/>
      <c r="UBL25" s="5"/>
      <c r="UBM25" s="5"/>
      <c r="UBN25" s="5"/>
      <c r="UBO25" s="5"/>
      <c r="UBP25" s="5"/>
      <c r="UBQ25" s="5"/>
      <c r="UBR25" s="5"/>
      <c r="UBS25" s="5"/>
      <c r="UBT25" s="5"/>
      <c r="UBU25" s="5"/>
      <c r="UBV25" s="5"/>
      <c r="UBW25" s="5"/>
      <c r="UBX25" s="5"/>
      <c r="UBY25" s="5"/>
      <c r="UBZ25" s="5"/>
      <c r="UCA25" s="5"/>
      <c r="UCB25" s="5"/>
      <c r="UCC25" s="5"/>
      <c r="UCD25" s="5"/>
      <c r="UCE25" s="5"/>
      <c r="UCF25" s="5"/>
      <c r="UCG25" s="5"/>
      <c r="UCH25" s="5"/>
      <c r="UCI25" s="5"/>
      <c r="UCJ25" s="5"/>
      <c r="UCK25" s="5"/>
      <c r="UCL25" s="5"/>
      <c r="UCM25" s="5"/>
      <c r="UCN25" s="5"/>
      <c r="UCO25" s="5"/>
      <c r="UCP25" s="5"/>
      <c r="UCQ25" s="5"/>
      <c r="UCR25" s="5"/>
      <c r="UCS25" s="5"/>
      <c r="UCT25" s="5"/>
      <c r="UCU25" s="5"/>
      <c r="UCV25" s="5"/>
      <c r="UCW25" s="5"/>
      <c r="UCX25" s="5"/>
      <c r="UCY25" s="5"/>
      <c r="UCZ25" s="5"/>
      <c r="UDA25" s="5"/>
      <c r="UDB25" s="5"/>
      <c r="UDC25" s="5"/>
      <c r="UDD25" s="5"/>
      <c r="UDE25" s="5"/>
      <c r="UDF25" s="5"/>
      <c r="UDG25" s="5"/>
      <c r="UDH25" s="5"/>
      <c r="UDI25" s="5"/>
      <c r="UDJ25" s="5"/>
      <c r="UDK25" s="5"/>
      <c r="UDL25" s="5"/>
      <c r="UDM25" s="5"/>
      <c r="UDN25" s="5"/>
      <c r="UDO25" s="5"/>
      <c r="UDP25" s="5"/>
      <c r="UDQ25" s="5"/>
      <c r="UDR25" s="5"/>
      <c r="UDS25" s="5"/>
      <c r="UDT25" s="5"/>
      <c r="UDU25" s="5"/>
      <c r="UDV25" s="5"/>
      <c r="UDW25" s="5"/>
      <c r="UDX25" s="5"/>
      <c r="UDY25" s="5"/>
      <c r="UDZ25" s="5"/>
      <c r="UEA25" s="5"/>
      <c r="UEB25" s="5"/>
      <c r="UEC25" s="5"/>
      <c r="UED25" s="5"/>
      <c r="UEE25" s="5"/>
      <c r="UEF25" s="5"/>
      <c r="UEG25" s="5"/>
      <c r="UEH25" s="5"/>
      <c r="UEI25" s="5"/>
      <c r="UEJ25" s="5"/>
      <c r="UEK25" s="5"/>
      <c r="UEL25" s="5"/>
      <c r="UEM25" s="5"/>
      <c r="UEN25" s="5"/>
      <c r="UEO25" s="5"/>
      <c r="UEP25" s="5"/>
      <c r="UEQ25" s="5"/>
      <c r="UER25" s="5"/>
      <c r="UES25" s="5"/>
      <c r="UET25" s="5"/>
      <c r="UEU25" s="5"/>
      <c r="UEV25" s="5"/>
      <c r="UEW25" s="5"/>
      <c r="UEX25" s="5"/>
      <c r="UEY25" s="5"/>
      <c r="UEZ25" s="5"/>
      <c r="UFA25" s="5"/>
      <c r="UFB25" s="5"/>
      <c r="UFC25" s="5"/>
      <c r="UFD25" s="5"/>
      <c r="UFE25" s="5"/>
      <c r="UFF25" s="5"/>
      <c r="UFG25" s="5"/>
      <c r="UFH25" s="5"/>
      <c r="UFI25" s="5"/>
      <c r="UFJ25" s="5"/>
      <c r="UFK25" s="5"/>
      <c r="UFL25" s="5"/>
      <c r="UFM25" s="5"/>
      <c r="UFN25" s="5"/>
      <c r="UFO25" s="5"/>
      <c r="UFP25" s="5"/>
      <c r="UFQ25" s="5"/>
      <c r="UFR25" s="5"/>
      <c r="UFS25" s="5"/>
      <c r="UFT25" s="5"/>
      <c r="UFU25" s="5"/>
      <c r="UFV25" s="5"/>
      <c r="UFW25" s="5"/>
      <c r="UFX25" s="5"/>
      <c r="UFY25" s="5"/>
      <c r="UFZ25" s="5"/>
      <c r="UGA25" s="5"/>
      <c r="UGB25" s="5"/>
      <c r="UGC25" s="5"/>
      <c r="UGD25" s="5"/>
      <c r="UGE25" s="5"/>
      <c r="UGF25" s="5"/>
      <c r="UGG25" s="5"/>
      <c r="UGH25" s="5"/>
      <c r="UGI25" s="5"/>
      <c r="UGJ25" s="5"/>
      <c r="UGK25" s="5"/>
      <c r="UGL25" s="5"/>
      <c r="UGM25" s="5"/>
      <c r="UGN25" s="5"/>
      <c r="UGO25" s="5"/>
      <c r="UGP25" s="5"/>
      <c r="UGQ25" s="5"/>
      <c r="UGR25" s="5"/>
      <c r="UGS25" s="5"/>
      <c r="UGT25" s="5"/>
      <c r="UGU25" s="5"/>
      <c r="UGV25" s="5"/>
      <c r="UGW25" s="5"/>
      <c r="UGX25" s="5"/>
      <c r="UGY25" s="5"/>
      <c r="UGZ25" s="5"/>
      <c r="UHA25" s="5"/>
      <c r="UHB25" s="5"/>
      <c r="UHC25" s="5"/>
      <c r="UHD25" s="5"/>
      <c r="UHE25" s="5"/>
      <c r="UHF25" s="5"/>
      <c r="UHG25" s="5"/>
      <c r="UHH25" s="5"/>
      <c r="UHI25" s="5"/>
      <c r="UHJ25" s="5"/>
      <c r="UHK25" s="5"/>
      <c r="UHL25" s="5"/>
      <c r="UHM25" s="5"/>
      <c r="UHN25" s="5"/>
      <c r="UHO25" s="5"/>
      <c r="UHP25" s="5"/>
      <c r="UHQ25" s="5"/>
      <c r="UHR25" s="5"/>
      <c r="UHS25" s="5"/>
      <c r="UHT25" s="5"/>
      <c r="UHU25" s="5"/>
      <c r="UHV25" s="5"/>
      <c r="UHW25" s="5"/>
      <c r="UHX25" s="5"/>
      <c r="UHY25" s="5"/>
      <c r="UHZ25" s="5"/>
      <c r="UIA25" s="5"/>
      <c r="UIB25" s="5"/>
      <c r="UIC25" s="5"/>
      <c r="UID25" s="5"/>
      <c r="UIE25" s="5"/>
      <c r="UIF25" s="5"/>
      <c r="UIG25" s="5"/>
      <c r="UIH25" s="5"/>
      <c r="UII25" s="5"/>
      <c r="UIJ25" s="5"/>
      <c r="UIK25" s="5"/>
      <c r="UIL25" s="5"/>
      <c r="UIM25" s="5"/>
      <c r="UIN25" s="5"/>
      <c r="UIO25" s="5"/>
      <c r="UIP25" s="5"/>
      <c r="UIQ25" s="5"/>
      <c r="UIR25" s="5"/>
      <c r="UIS25" s="5"/>
      <c r="UIT25" s="5"/>
      <c r="UIU25" s="5"/>
      <c r="UIV25" s="5"/>
      <c r="UIW25" s="5"/>
      <c r="UIX25" s="5"/>
      <c r="UIY25" s="5"/>
      <c r="UIZ25" s="5"/>
      <c r="UJA25" s="5"/>
      <c r="UJB25" s="5"/>
      <c r="UJC25" s="5"/>
      <c r="UJD25" s="5"/>
      <c r="UJE25" s="5"/>
      <c r="UJF25" s="5"/>
      <c r="UJG25" s="5"/>
      <c r="UJH25" s="5"/>
      <c r="UJI25" s="5"/>
      <c r="UJJ25" s="5"/>
      <c r="UJK25" s="5"/>
      <c r="UJL25" s="5"/>
      <c r="UJM25" s="5"/>
      <c r="UJN25" s="5"/>
      <c r="UJO25" s="5"/>
      <c r="UJP25" s="5"/>
      <c r="UJQ25" s="5"/>
      <c r="UJR25" s="5"/>
      <c r="UJS25" s="5"/>
      <c r="UJT25" s="5"/>
      <c r="UJU25" s="5"/>
      <c r="UJV25" s="5"/>
      <c r="UJW25" s="5"/>
      <c r="UJX25" s="5"/>
      <c r="UJY25" s="5"/>
      <c r="UJZ25" s="5"/>
      <c r="UKA25" s="5"/>
      <c r="UKB25" s="5"/>
      <c r="UKC25" s="5"/>
      <c r="UKD25" s="5"/>
      <c r="UKE25" s="5"/>
      <c r="UKF25" s="5"/>
      <c r="UKG25" s="5"/>
      <c r="UKH25" s="5"/>
      <c r="UKI25" s="5"/>
      <c r="UKJ25" s="5"/>
      <c r="UKK25" s="5"/>
      <c r="UKL25" s="5"/>
      <c r="UKM25" s="5"/>
      <c r="UKN25" s="5"/>
      <c r="UKO25" s="5"/>
      <c r="UKP25" s="5"/>
      <c r="UKQ25" s="5"/>
      <c r="UKR25" s="5"/>
      <c r="UKS25" s="5"/>
      <c r="UKT25" s="5"/>
      <c r="UKU25" s="5"/>
      <c r="UKV25" s="5"/>
      <c r="UKW25" s="5"/>
      <c r="UKX25" s="5"/>
      <c r="UKY25" s="5"/>
      <c r="UKZ25" s="5"/>
      <c r="ULA25" s="5"/>
      <c r="ULB25" s="5"/>
      <c r="ULC25" s="5"/>
      <c r="ULD25" s="5"/>
      <c r="ULE25" s="5"/>
      <c r="ULF25" s="5"/>
      <c r="ULG25" s="5"/>
      <c r="ULH25" s="5"/>
      <c r="ULI25" s="5"/>
      <c r="ULJ25" s="5"/>
      <c r="ULK25" s="5"/>
      <c r="ULL25" s="5"/>
      <c r="ULM25" s="5"/>
      <c r="ULN25" s="5"/>
      <c r="ULO25" s="5"/>
      <c r="ULP25" s="5"/>
      <c r="ULQ25" s="5"/>
      <c r="ULR25" s="5"/>
      <c r="ULS25" s="5"/>
      <c r="ULT25" s="5"/>
      <c r="ULU25" s="5"/>
      <c r="ULV25" s="5"/>
      <c r="ULW25" s="5"/>
      <c r="ULX25" s="5"/>
      <c r="ULY25" s="5"/>
      <c r="ULZ25" s="5"/>
      <c r="UMA25" s="5"/>
      <c r="UMB25" s="5"/>
      <c r="UMC25" s="5"/>
      <c r="UMD25" s="5"/>
      <c r="UME25" s="5"/>
      <c r="UMF25" s="5"/>
      <c r="UMG25" s="5"/>
      <c r="UMH25" s="5"/>
      <c r="UMI25" s="5"/>
      <c r="UMJ25" s="5"/>
      <c r="UMK25" s="5"/>
      <c r="UML25" s="5"/>
      <c r="UMM25" s="5"/>
      <c r="UMN25" s="5"/>
      <c r="UMO25" s="5"/>
      <c r="UMP25" s="5"/>
      <c r="UMQ25" s="5"/>
      <c r="UMR25" s="5"/>
      <c r="UMS25" s="5"/>
      <c r="UMT25" s="5"/>
      <c r="UMU25" s="5"/>
      <c r="UMV25" s="5"/>
      <c r="UMW25" s="5"/>
      <c r="UMX25" s="5"/>
      <c r="UMY25" s="5"/>
      <c r="UMZ25" s="5"/>
      <c r="UNA25" s="5"/>
      <c r="UNB25" s="5"/>
      <c r="UNC25" s="5"/>
      <c r="UND25" s="5"/>
      <c r="UNE25" s="5"/>
      <c r="UNF25" s="5"/>
      <c r="UNG25" s="5"/>
      <c r="UNH25" s="5"/>
      <c r="UNI25" s="5"/>
      <c r="UNJ25" s="5"/>
      <c r="UNK25" s="5"/>
      <c r="UNL25" s="5"/>
      <c r="UNM25" s="5"/>
      <c r="UNN25" s="5"/>
      <c r="UNO25" s="5"/>
      <c r="UNP25" s="5"/>
      <c r="UNQ25" s="5"/>
      <c r="UNR25" s="5"/>
      <c r="UNS25" s="5"/>
      <c r="UNT25" s="5"/>
      <c r="UNU25" s="5"/>
      <c r="UNV25" s="5"/>
      <c r="UNW25" s="5"/>
      <c r="UNX25" s="5"/>
      <c r="UNY25" s="5"/>
      <c r="UNZ25" s="5"/>
      <c r="UOA25" s="5"/>
      <c r="UOB25" s="5"/>
      <c r="UOC25" s="5"/>
      <c r="UOD25" s="5"/>
      <c r="UOE25" s="5"/>
      <c r="UOF25" s="5"/>
      <c r="UOG25" s="5"/>
      <c r="UOH25" s="5"/>
      <c r="UOI25" s="5"/>
      <c r="UOJ25" s="5"/>
      <c r="UOK25" s="5"/>
      <c r="UOL25" s="5"/>
      <c r="UOM25" s="5"/>
      <c r="UON25" s="5"/>
      <c r="UOO25" s="5"/>
      <c r="UOP25" s="5"/>
      <c r="UOQ25" s="5"/>
      <c r="UOR25" s="5"/>
      <c r="UOS25" s="5"/>
      <c r="UOT25" s="5"/>
      <c r="UOU25" s="5"/>
      <c r="UOV25" s="5"/>
      <c r="UOW25" s="5"/>
      <c r="UOX25" s="5"/>
      <c r="UOY25" s="5"/>
      <c r="UOZ25" s="5"/>
      <c r="UPA25" s="5"/>
      <c r="UPB25" s="5"/>
      <c r="UPC25" s="5"/>
      <c r="UPD25" s="5"/>
      <c r="UPE25" s="5"/>
      <c r="UPF25" s="5"/>
      <c r="UPG25" s="5"/>
      <c r="UPH25" s="5"/>
      <c r="UPI25" s="5"/>
      <c r="UPJ25" s="5"/>
      <c r="UPK25" s="5"/>
      <c r="UPL25" s="5"/>
      <c r="UPM25" s="5"/>
      <c r="UPN25" s="5"/>
      <c r="UPO25" s="5"/>
      <c r="UPP25" s="5"/>
      <c r="UPQ25" s="5"/>
      <c r="UPR25" s="5"/>
      <c r="UPS25" s="5"/>
      <c r="UPT25" s="5"/>
      <c r="UPU25" s="5"/>
      <c r="UPV25" s="5"/>
      <c r="UPW25" s="5"/>
      <c r="UPX25" s="5"/>
      <c r="UPY25" s="5"/>
      <c r="UPZ25" s="5"/>
      <c r="UQA25" s="5"/>
      <c r="UQB25" s="5"/>
      <c r="UQC25" s="5"/>
      <c r="UQD25" s="5"/>
      <c r="UQE25" s="5"/>
      <c r="UQF25" s="5"/>
      <c r="UQG25" s="5"/>
      <c r="UQH25" s="5"/>
      <c r="UQI25" s="5"/>
      <c r="UQJ25" s="5"/>
      <c r="UQK25" s="5"/>
      <c r="UQL25" s="5"/>
      <c r="UQM25" s="5"/>
      <c r="UQN25" s="5"/>
      <c r="UQO25" s="5"/>
      <c r="UQP25" s="5"/>
      <c r="UQQ25" s="5"/>
      <c r="UQR25" s="5"/>
      <c r="UQS25" s="5"/>
      <c r="UQT25" s="5"/>
      <c r="UQU25" s="5"/>
      <c r="UQV25" s="5"/>
      <c r="UQW25" s="5"/>
      <c r="UQX25" s="5"/>
      <c r="UQY25" s="5"/>
      <c r="UQZ25" s="5"/>
      <c r="URA25" s="5"/>
      <c r="URB25" s="5"/>
      <c r="URC25" s="5"/>
      <c r="URD25" s="5"/>
      <c r="URE25" s="5"/>
      <c r="URF25" s="5"/>
      <c r="URG25" s="5"/>
      <c r="URH25" s="5"/>
      <c r="URI25" s="5"/>
      <c r="URJ25" s="5"/>
      <c r="URK25" s="5"/>
      <c r="URL25" s="5"/>
      <c r="URM25" s="5"/>
      <c r="URN25" s="5"/>
      <c r="URO25" s="5"/>
      <c r="URP25" s="5"/>
      <c r="URQ25" s="5"/>
      <c r="URR25" s="5"/>
      <c r="URS25" s="5"/>
      <c r="URT25" s="5"/>
      <c r="URU25" s="5"/>
      <c r="URV25" s="5"/>
      <c r="URW25" s="5"/>
      <c r="URX25" s="5"/>
      <c r="URY25" s="5"/>
      <c r="URZ25" s="5"/>
      <c r="USA25" s="5"/>
      <c r="USB25" s="5"/>
      <c r="USC25" s="5"/>
      <c r="USD25" s="5"/>
      <c r="USE25" s="5"/>
      <c r="USF25" s="5"/>
      <c r="USG25" s="5"/>
      <c r="USH25" s="5"/>
      <c r="USI25" s="5"/>
      <c r="USJ25" s="5"/>
      <c r="USK25" s="5"/>
      <c r="USL25" s="5"/>
      <c r="USM25" s="5"/>
      <c r="USN25" s="5"/>
      <c r="USO25" s="5"/>
      <c r="USP25" s="5"/>
      <c r="USQ25" s="5"/>
      <c r="USR25" s="5"/>
      <c r="USS25" s="5"/>
      <c r="UST25" s="5"/>
      <c r="USU25" s="5"/>
      <c r="USV25" s="5"/>
      <c r="USW25" s="5"/>
      <c r="USX25" s="5"/>
      <c r="USY25" s="5"/>
      <c r="USZ25" s="5"/>
      <c r="UTA25" s="5"/>
      <c r="UTB25" s="5"/>
      <c r="UTC25" s="5"/>
      <c r="UTD25" s="5"/>
      <c r="UTE25" s="5"/>
      <c r="UTF25" s="5"/>
      <c r="UTG25" s="5"/>
      <c r="UTH25" s="5"/>
      <c r="UTI25" s="5"/>
      <c r="UTJ25" s="5"/>
      <c r="UTK25" s="5"/>
      <c r="UTL25" s="5"/>
      <c r="UTM25" s="5"/>
      <c r="UTN25" s="5"/>
      <c r="UTO25" s="5"/>
      <c r="UTP25" s="5"/>
      <c r="UTQ25" s="5"/>
      <c r="UTR25" s="5"/>
      <c r="UTS25" s="5"/>
      <c r="UTT25" s="5"/>
      <c r="UTU25" s="5"/>
      <c r="UTV25" s="5"/>
      <c r="UTW25" s="5"/>
      <c r="UTX25" s="5"/>
      <c r="UTY25" s="5"/>
      <c r="UTZ25" s="5"/>
      <c r="UUA25" s="5"/>
      <c r="UUB25" s="5"/>
      <c r="UUC25" s="5"/>
      <c r="UUD25" s="5"/>
      <c r="UUE25" s="5"/>
      <c r="UUF25" s="5"/>
      <c r="UUG25" s="5"/>
      <c r="UUH25" s="5"/>
      <c r="UUI25" s="5"/>
      <c r="UUJ25" s="5"/>
      <c r="UUK25" s="5"/>
      <c r="UUL25" s="5"/>
      <c r="UUM25" s="5"/>
      <c r="UUN25" s="5"/>
      <c r="UUO25" s="5"/>
      <c r="UUP25" s="5"/>
      <c r="UUQ25" s="5"/>
      <c r="UUR25" s="5"/>
      <c r="UUS25" s="5"/>
      <c r="UUT25" s="5"/>
      <c r="UUU25" s="5"/>
      <c r="UUV25" s="5"/>
      <c r="UUW25" s="5"/>
      <c r="UUX25" s="5"/>
      <c r="UUY25" s="5"/>
      <c r="UUZ25" s="5"/>
      <c r="UVA25" s="5"/>
      <c r="UVB25" s="5"/>
      <c r="UVC25" s="5"/>
      <c r="UVD25" s="5"/>
      <c r="UVE25" s="5"/>
      <c r="UVF25" s="5"/>
      <c r="UVG25" s="5"/>
      <c r="UVH25" s="5"/>
      <c r="UVI25" s="5"/>
      <c r="UVJ25" s="5"/>
      <c r="UVK25" s="5"/>
      <c r="UVL25" s="5"/>
      <c r="UVM25" s="5"/>
      <c r="UVN25" s="5"/>
      <c r="UVO25" s="5"/>
      <c r="UVP25" s="5"/>
      <c r="UVQ25" s="5"/>
      <c r="UVR25" s="5"/>
      <c r="UVS25" s="5"/>
      <c r="UVT25" s="5"/>
      <c r="UVU25" s="5"/>
      <c r="UVV25" s="5"/>
      <c r="UVW25" s="5"/>
      <c r="UVX25" s="5"/>
      <c r="UVY25" s="5"/>
      <c r="UVZ25" s="5"/>
      <c r="UWA25" s="5"/>
      <c r="UWB25" s="5"/>
      <c r="UWC25" s="5"/>
      <c r="UWD25" s="5"/>
      <c r="UWE25" s="5"/>
      <c r="UWF25" s="5"/>
      <c r="UWG25" s="5"/>
      <c r="UWH25" s="5"/>
      <c r="UWI25" s="5"/>
      <c r="UWJ25" s="5"/>
      <c r="UWK25" s="5"/>
      <c r="UWL25" s="5"/>
      <c r="UWM25" s="5"/>
      <c r="UWN25" s="5"/>
      <c r="UWO25" s="5"/>
      <c r="UWP25" s="5"/>
      <c r="UWQ25" s="5"/>
      <c r="UWR25" s="5"/>
      <c r="UWS25" s="5"/>
      <c r="UWT25" s="5"/>
      <c r="UWU25" s="5"/>
      <c r="UWV25" s="5"/>
      <c r="UWW25" s="5"/>
      <c r="UWX25" s="5"/>
      <c r="UWY25" s="5"/>
      <c r="UWZ25" s="5"/>
      <c r="UXA25" s="5"/>
      <c r="UXB25" s="5"/>
      <c r="UXC25" s="5"/>
      <c r="UXD25" s="5"/>
      <c r="UXE25" s="5"/>
      <c r="UXF25" s="5"/>
      <c r="UXG25" s="5"/>
      <c r="UXH25" s="5"/>
      <c r="UXI25" s="5"/>
      <c r="UXJ25" s="5"/>
      <c r="UXK25" s="5"/>
      <c r="UXL25" s="5"/>
      <c r="UXM25" s="5"/>
      <c r="UXN25" s="5"/>
      <c r="UXO25" s="5"/>
      <c r="UXP25" s="5"/>
      <c r="UXQ25" s="5"/>
      <c r="UXR25" s="5"/>
      <c r="UXS25" s="5"/>
      <c r="UXT25" s="5"/>
      <c r="UXU25" s="5"/>
      <c r="UXV25" s="5"/>
      <c r="UXW25" s="5"/>
      <c r="UXX25" s="5"/>
      <c r="UXY25" s="5"/>
      <c r="UXZ25" s="5"/>
      <c r="UYA25" s="5"/>
      <c r="UYB25" s="5"/>
      <c r="UYC25" s="5"/>
      <c r="UYD25" s="5"/>
      <c r="UYE25" s="5"/>
      <c r="UYF25" s="5"/>
      <c r="UYG25" s="5"/>
      <c r="UYH25" s="5"/>
      <c r="UYI25" s="5"/>
      <c r="UYJ25" s="5"/>
      <c r="UYK25" s="5"/>
      <c r="UYL25" s="5"/>
      <c r="UYM25" s="5"/>
      <c r="UYN25" s="5"/>
      <c r="UYO25" s="5"/>
      <c r="UYP25" s="5"/>
      <c r="UYQ25" s="5"/>
      <c r="UYR25" s="5"/>
      <c r="UYS25" s="5"/>
      <c r="UYT25" s="5"/>
      <c r="UYU25" s="5"/>
      <c r="UYV25" s="5"/>
      <c r="UYW25" s="5"/>
      <c r="UYX25" s="5"/>
      <c r="UYY25" s="5"/>
      <c r="UYZ25" s="5"/>
      <c r="UZA25" s="5"/>
      <c r="UZB25" s="5"/>
      <c r="UZC25" s="5"/>
      <c r="UZD25" s="5"/>
      <c r="UZE25" s="5"/>
      <c r="UZF25" s="5"/>
      <c r="UZG25" s="5"/>
      <c r="UZH25" s="5"/>
      <c r="UZI25" s="5"/>
      <c r="UZJ25" s="5"/>
      <c r="UZK25" s="5"/>
      <c r="UZL25" s="5"/>
      <c r="UZM25" s="5"/>
      <c r="UZN25" s="5"/>
      <c r="UZO25" s="5"/>
      <c r="UZP25" s="5"/>
      <c r="UZQ25" s="5"/>
      <c r="UZR25" s="5"/>
      <c r="UZS25" s="5"/>
      <c r="UZT25" s="5"/>
      <c r="UZU25" s="5"/>
      <c r="UZV25" s="5"/>
      <c r="UZW25" s="5"/>
      <c r="UZX25" s="5"/>
      <c r="UZY25" s="5"/>
      <c r="UZZ25" s="5"/>
      <c r="VAA25" s="5"/>
      <c r="VAB25" s="5"/>
      <c r="VAC25" s="5"/>
      <c r="VAD25" s="5"/>
      <c r="VAE25" s="5"/>
      <c r="VAF25" s="5"/>
      <c r="VAG25" s="5"/>
      <c r="VAH25" s="5"/>
      <c r="VAI25" s="5"/>
      <c r="VAJ25" s="5"/>
      <c r="VAK25" s="5"/>
      <c r="VAL25" s="5"/>
      <c r="VAM25" s="5"/>
      <c r="VAN25" s="5"/>
      <c r="VAO25" s="5"/>
      <c r="VAP25" s="5"/>
      <c r="VAQ25" s="5"/>
      <c r="VAR25" s="5"/>
      <c r="VAS25" s="5"/>
      <c r="VAT25" s="5"/>
      <c r="VAU25" s="5"/>
      <c r="VAV25" s="5"/>
      <c r="VAW25" s="5"/>
      <c r="VAX25" s="5"/>
      <c r="VAY25" s="5"/>
      <c r="VAZ25" s="5"/>
      <c r="VBA25" s="5"/>
      <c r="VBB25" s="5"/>
      <c r="VBC25" s="5"/>
      <c r="VBD25" s="5"/>
      <c r="VBE25" s="5"/>
      <c r="VBF25" s="5"/>
      <c r="VBG25" s="5"/>
      <c r="VBH25" s="5"/>
      <c r="VBI25" s="5"/>
      <c r="VBJ25" s="5"/>
      <c r="VBK25" s="5"/>
      <c r="VBL25" s="5"/>
      <c r="VBM25" s="5"/>
      <c r="VBN25" s="5"/>
      <c r="VBO25" s="5"/>
      <c r="VBP25" s="5"/>
      <c r="VBQ25" s="5"/>
      <c r="VBR25" s="5"/>
      <c r="VBS25" s="5"/>
      <c r="VBT25" s="5"/>
      <c r="VBU25" s="5"/>
      <c r="VBV25" s="5"/>
      <c r="VBW25" s="5"/>
      <c r="VBX25" s="5"/>
      <c r="VBY25" s="5"/>
      <c r="VBZ25" s="5"/>
      <c r="VCA25" s="5"/>
      <c r="VCB25" s="5"/>
      <c r="VCC25" s="5"/>
      <c r="VCD25" s="5"/>
      <c r="VCE25" s="5"/>
      <c r="VCF25" s="5"/>
      <c r="VCG25" s="5"/>
      <c r="VCH25" s="5"/>
      <c r="VCI25" s="5"/>
      <c r="VCJ25" s="5"/>
      <c r="VCK25" s="5"/>
      <c r="VCL25" s="5"/>
      <c r="VCM25" s="5"/>
      <c r="VCN25" s="5"/>
      <c r="VCO25" s="5"/>
      <c r="VCP25" s="5"/>
      <c r="VCQ25" s="5"/>
      <c r="VCR25" s="5"/>
      <c r="VCS25" s="5"/>
      <c r="VCT25" s="5"/>
      <c r="VCU25" s="5"/>
      <c r="VCV25" s="5"/>
      <c r="VCW25" s="5"/>
      <c r="VCX25" s="5"/>
      <c r="VCY25" s="5"/>
      <c r="VCZ25" s="5"/>
      <c r="VDA25" s="5"/>
      <c r="VDB25" s="5"/>
      <c r="VDC25" s="5"/>
      <c r="VDD25" s="5"/>
      <c r="VDE25" s="5"/>
      <c r="VDF25" s="5"/>
      <c r="VDG25" s="5"/>
      <c r="VDH25" s="5"/>
      <c r="VDI25" s="5"/>
      <c r="VDJ25" s="5"/>
      <c r="VDK25" s="5"/>
      <c r="VDL25" s="5"/>
      <c r="VDM25" s="5"/>
      <c r="VDN25" s="5"/>
      <c r="VDO25" s="5"/>
      <c r="VDP25" s="5"/>
      <c r="VDQ25" s="5"/>
      <c r="VDR25" s="5"/>
      <c r="VDS25" s="5"/>
      <c r="VDT25" s="5"/>
      <c r="VDU25" s="5"/>
      <c r="VDV25" s="5"/>
      <c r="VDW25" s="5"/>
      <c r="VDX25" s="5"/>
      <c r="VDY25" s="5"/>
      <c r="VDZ25" s="5"/>
      <c r="VEA25" s="5"/>
      <c r="VEB25" s="5"/>
      <c r="VEC25" s="5"/>
      <c r="VED25" s="5"/>
      <c r="VEE25" s="5"/>
      <c r="VEF25" s="5"/>
      <c r="VEG25" s="5"/>
      <c r="VEH25" s="5"/>
      <c r="VEI25" s="5"/>
      <c r="VEJ25" s="5"/>
      <c r="VEK25" s="5"/>
      <c r="VEL25" s="5"/>
      <c r="VEM25" s="5"/>
      <c r="VEN25" s="5"/>
      <c r="VEO25" s="5"/>
      <c r="VEP25" s="5"/>
      <c r="VEQ25" s="5"/>
      <c r="VER25" s="5"/>
      <c r="VES25" s="5"/>
      <c r="VET25" s="5"/>
      <c r="VEU25" s="5"/>
      <c r="VEV25" s="5"/>
      <c r="VEW25" s="5"/>
      <c r="VEX25" s="5"/>
      <c r="VEY25" s="5"/>
      <c r="VEZ25" s="5"/>
      <c r="VFA25" s="5"/>
      <c r="VFB25" s="5"/>
      <c r="VFC25" s="5"/>
      <c r="VFD25" s="5"/>
      <c r="VFE25" s="5"/>
      <c r="VFF25" s="5"/>
      <c r="VFG25" s="5"/>
      <c r="VFH25" s="5"/>
      <c r="VFI25" s="5"/>
      <c r="VFJ25" s="5"/>
      <c r="VFK25" s="5"/>
      <c r="VFL25" s="5"/>
      <c r="VFM25" s="5"/>
      <c r="VFN25" s="5"/>
      <c r="VFO25" s="5"/>
      <c r="VFP25" s="5"/>
      <c r="VFQ25" s="5"/>
      <c r="VFR25" s="5"/>
      <c r="VFS25" s="5"/>
      <c r="VFT25" s="5"/>
      <c r="VFU25" s="5"/>
      <c r="VFV25" s="5"/>
      <c r="VFW25" s="5"/>
      <c r="VFX25" s="5"/>
      <c r="VFY25" s="5"/>
      <c r="VFZ25" s="5"/>
      <c r="VGA25" s="5"/>
      <c r="VGB25" s="5"/>
      <c r="VGC25" s="5"/>
      <c r="VGD25" s="5"/>
      <c r="VGE25" s="5"/>
      <c r="VGF25" s="5"/>
      <c r="VGG25" s="5"/>
      <c r="VGH25" s="5"/>
      <c r="VGI25" s="5"/>
      <c r="VGJ25" s="5"/>
      <c r="VGK25" s="5"/>
      <c r="VGL25" s="5"/>
      <c r="VGM25" s="5"/>
      <c r="VGN25" s="5"/>
      <c r="VGO25" s="5"/>
      <c r="VGP25" s="5"/>
      <c r="VGQ25" s="5"/>
      <c r="VGR25" s="5"/>
      <c r="VGS25" s="5"/>
      <c r="VGT25" s="5"/>
      <c r="VGU25" s="5"/>
      <c r="VGV25" s="5"/>
      <c r="VGW25" s="5"/>
      <c r="VGX25" s="5"/>
      <c r="VGY25" s="5"/>
      <c r="VGZ25" s="5"/>
      <c r="VHA25" s="5"/>
      <c r="VHB25" s="5"/>
      <c r="VHC25" s="5"/>
      <c r="VHD25" s="5"/>
      <c r="VHE25" s="5"/>
      <c r="VHF25" s="5"/>
      <c r="VHG25" s="5"/>
      <c r="VHH25" s="5"/>
      <c r="VHI25" s="5"/>
      <c r="VHJ25" s="5"/>
      <c r="VHK25" s="5"/>
      <c r="VHL25" s="5"/>
      <c r="VHM25" s="5"/>
      <c r="VHN25" s="5"/>
      <c r="VHO25" s="5"/>
      <c r="VHP25" s="5"/>
      <c r="VHQ25" s="5"/>
      <c r="VHR25" s="5"/>
      <c r="VHS25" s="5"/>
      <c r="VHT25" s="5"/>
      <c r="VHU25" s="5"/>
      <c r="VHV25" s="5"/>
      <c r="VHW25" s="5"/>
      <c r="VHX25" s="5"/>
      <c r="VHY25" s="5"/>
      <c r="VHZ25" s="5"/>
      <c r="VIA25" s="5"/>
      <c r="VIB25" s="5"/>
      <c r="VIC25" s="5"/>
      <c r="VID25" s="5"/>
      <c r="VIE25" s="5"/>
      <c r="VIF25" s="5"/>
      <c r="VIG25" s="5"/>
      <c r="VIH25" s="5"/>
      <c r="VII25" s="5"/>
      <c r="VIJ25" s="5"/>
      <c r="VIK25" s="5"/>
      <c r="VIL25" s="5"/>
      <c r="VIM25" s="5"/>
      <c r="VIN25" s="5"/>
      <c r="VIO25" s="5"/>
      <c r="VIP25" s="5"/>
      <c r="VIQ25" s="5"/>
      <c r="VIR25" s="5"/>
      <c r="VIS25" s="5"/>
      <c r="VIT25" s="5"/>
      <c r="VIU25" s="5"/>
      <c r="VIV25" s="5"/>
      <c r="VIW25" s="5"/>
      <c r="VIX25" s="5"/>
      <c r="VIY25" s="5"/>
      <c r="VIZ25" s="5"/>
      <c r="VJA25" s="5"/>
      <c r="VJB25" s="5"/>
      <c r="VJC25" s="5"/>
      <c r="VJD25" s="5"/>
      <c r="VJE25" s="5"/>
      <c r="VJF25" s="5"/>
      <c r="VJG25" s="5"/>
      <c r="VJH25" s="5"/>
      <c r="VJI25" s="5"/>
      <c r="VJJ25" s="5"/>
      <c r="VJK25" s="5"/>
      <c r="VJL25" s="5"/>
      <c r="VJM25" s="5"/>
      <c r="VJN25" s="5"/>
      <c r="VJO25" s="5"/>
      <c r="VJP25" s="5"/>
      <c r="VJQ25" s="5"/>
      <c r="VJR25" s="5"/>
      <c r="VJS25" s="5"/>
      <c r="VJT25" s="5"/>
      <c r="VJU25" s="5"/>
      <c r="VJV25" s="5"/>
      <c r="VJW25" s="5"/>
      <c r="VJX25" s="5"/>
      <c r="VJY25" s="5"/>
      <c r="VJZ25" s="5"/>
      <c r="VKA25" s="5"/>
      <c r="VKB25" s="5"/>
      <c r="VKC25" s="5"/>
      <c r="VKD25" s="5"/>
      <c r="VKE25" s="5"/>
      <c r="VKF25" s="5"/>
      <c r="VKG25" s="5"/>
      <c r="VKH25" s="5"/>
      <c r="VKI25" s="5"/>
      <c r="VKJ25" s="5"/>
      <c r="VKK25" s="5"/>
      <c r="VKL25" s="5"/>
      <c r="VKM25" s="5"/>
      <c r="VKN25" s="5"/>
      <c r="VKO25" s="5"/>
      <c r="VKP25" s="5"/>
      <c r="VKQ25" s="5"/>
      <c r="VKR25" s="5"/>
      <c r="VKS25" s="5"/>
      <c r="VKT25" s="5"/>
      <c r="VKU25" s="5"/>
      <c r="VKV25" s="5"/>
      <c r="VKW25" s="5"/>
      <c r="VKX25" s="5"/>
      <c r="VKY25" s="5"/>
      <c r="VKZ25" s="5"/>
      <c r="VLA25" s="5"/>
      <c r="VLB25" s="5"/>
      <c r="VLC25" s="5"/>
      <c r="VLD25" s="5"/>
      <c r="VLE25" s="5"/>
      <c r="VLF25" s="5"/>
      <c r="VLG25" s="5"/>
      <c r="VLH25" s="5"/>
      <c r="VLI25" s="5"/>
      <c r="VLJ25" s="5"/>
      <c r="VLK25" s="5"/>
      <c r="VLL25" s="5"/>
      <c r="VLM25" s="5"/>
      <c r="VLN25" s="5"/>
      <c r="VLO25" s="5"/>
      <c r="VLP25" s="5"/>
      <c r="VLQ25" s="5"/>
      <c r="VLR25" s="5"/>
      <c r="VLS25" s="5"/>
      <c r="VLT25" s="5"/>
      <c r="VLU25" s="5"/>
      <c r="VLV25" s="5"/>
      <c r="VLW25" s="5"/>
      <c r="VLX25" s="5"/>
      <c r="VLY25" s="5"/>
      <c r="VLZ25" s="5"/>
      <c r="VMA25" s="5"/>
      <c r="VMB25" s="5"/>
      <c r="VMC25" s="5"/>
      <c r="VMD25" s="5"/>
      <c r="VME25" s="5"/>
      <c r="VMF25" s="5"/>
      <c r="VMG25" s="5"/>
      <c r="VMH25" s="5"/>
      <c r="VMI25" s="5"/>
      <c r="VMJ25" s="5"/>
      <c r="VMK25" s="5"/>
      <c r="VML25" s="5"/>
      <c r="VMM25" s="5"/>
      <c r="VMN25" s="5"/>
      <c r="VMO25" s="5"/>
      <c r="VMP25" s="5"/>
      <c r="VMQ25" s="5"/>
      <c r="VMR25" s="5"/>
      <c r="VMS25" s="5"/>
      <c r="VMT25" s="5"/>
      <c r="VMU25" s="5"/>
      <c r="VMV25" s="5"/>
      <c r="VMW25" s="5"/>
      <c r="VMX25" s="5"/>
      <c r="VMY25" s="5"/>
      <c r="VMZ25" s="5"/>
      <c r="VNA25" s="5"/>
      <c r="VNB25" s="5"/>
      <c r="VNC25" s="5"/>
      <c r="VND25" s="5"/>
      <c r="VNE25" s="5"/>
      <c r="VNF25" s="5"/>
      <c r="VNG25" s="5"/>
      <c r="VNH25" s="5"/>
      <c r="VNI25" s="5"/>
      <c r="VNJ25" s="5"/>
      <c r="VNK25" s="5"/>
      <c r="VNL25" s="5"/>
      <c r="VNM25" s="5"/>
      <c r="VNN25" s="5"/>
      <c r="VNO25" s="5"/>
      <c r="VNP25" s="5"/>
      <c r="VNQ25" s="5"/>
      <c r="VNR25" s="5"/>
      <c r="VNS25" s="5"/>
      <c r="VNT25" s="5"/>
      <c r="VNU25" s="5"/>
      <c r="VNV25" s="5"/>
      <c r="VNW25" s="5"/>
      <c r="VNX25" s="5"/>
      <c r="VNY25" s="5"/>
      <c r="VNZ25" s="5"/>
      <c r="VOA25" s="5"/>
      <c r="VOB25" s="5"/>
      <c r="VOC25" s="5"/>
      <c r="VOD25" s="5"/>
      <c r="VOE25" s="5"/>
      <c r="VOF25" s="5"/>
      <c r="VOG25" s="5"/>
      <c r="VOH25" s="5"/>
      <c r="VOI25" s="5"/>
      <c r="VOJ25" s="5"/>
      <c r="VOK25" s="5"/>
      <c r="VOL25" s="5"/>
      <c r="VOM25" s="5"/>
      <c r="VON25" s="5"/>
      <c r="VOO25" s="5"/>
      <c r="VOP25" s="5"/>
      <c r="VOQ25" s="5"/>
      <c r="VOR25" s="5"/>
      <c r="VOS25" s="5"/>
      <c r="VOT25" s="5"/>
      <c r="VOU25" s="5"/>
      <c r="VOV25" s="5"/>
      <c r="VOW25" s="5"/>
      <c r="VOX25" s="5"/>
      <c r="VOY25" s="5"/>
      <c r="VOZ25" s="5"/>
      <c r="VPA25" s="5"/>
      <c r="VPB25" s="5"/>
      <c r="VPC25" s="5"/>
      <c r="VPD25" s="5"/>
      <c r="VPE25" s="5"/>
      <c r="VPF25" s="5"/>
      <c r="VPG25" s="5"/>
      <c r="VPH25" s="5"/>
      <c r="VPI25" s="5"/>
      <c r="VPJ25" s="5"/>
      <c r="VPK25" s="5"/>
      <c r="VPL25" s="5"/>
      <c r="VPM25" s="5"/>
      <c r="VPN25" s="5"/>
      <c r="VPO25" s="5"/>
      <c r="VPP25" s="5"/>
      <c r="VPQ25" s="5"/>
      <c r="VPR25" s="5"/>
      <c r="VPS25" s="5"/>
      <c r="VPT25" s="5"/>
      <c r="VPU25" s="5"/>
      <c r="VPV25" s="5"/>
      <c r="VPW25" s="5"/>
      <c r="VPX25" s="5"/>
      <c r="VPY25" s="5"/>
      <c r="VPZ25" s="5"/>
      <c r="VQA25" s="5"/>
      <c r="VQB25" s="5"/>
      <c r="VQC25" s="5"/>
      <c r="VQD25" s="5"/>
      <c r="VQE25" s="5"/>
      <c r="VQF25" s="5"/>
      <c r="VQG25" s="5"/>
      <c r="VQH25" s="5"/>
      <c r="VQI25" s="5"/>
      <c r="VQJ25" s="5"/>
      <c r="VQK25" s="5"/>
      <c r="VQL25" s="5"/>
      <c r="VQM25" s="5"/>
      <c r="VQN25" s="5"/>
      <c r="VQO25" s="5"/>
      <c r="VQP25" s="5"/>
      <c r="VQQ25" s="5"/>
      <c r="VQR25" s="5"/>
      <c r="VQS25" s="5"/>
      <c r="VQT25" s="5"/>
      <c r="VQU25" s="5"/>
      <c r="VQV25" s="5"/>
      <c r="VQW25" s="5"/>
      <c r="VQX25" s="5"/>
      <c r="VQY25" s="5"/>
      <c r="VQZ25" s="5"/>
      <c r="VRA25" s="5"/>
      <c r="VRB25" s="5"/>
      <c r="VRC25" s="5"/>
      <c r="VRD25" s="5"/>
      <c r="VRE25" s="5"/>
      <c r="VRF25" s="5"/>
      <c r="VRG25" s="5"/>
      <c r="VRH25" s="5"/>
      <c r="VRI25" s="5"/>
      <c r="VRJ25" s="5"/>
      <c r="VRK25" s="5"/>
      <c r="VRL25" s="5"/>
      <c r="VRM25" s="5"/>
      <c r="VRN25" s="5"/>
      <c r="VRO25" s="5"/>
      <c r="VRP25" s="5"/>
      <c r="VRQ25" s="5"/>
      <c r="VRR25" s="5"/>
      <c r="VRS25" s="5"/>
      <c r="VRT25" s="5"/>
      <c r="VRU25" s="5"/>
      <c r="VRV25" s="5"/>
      <c r="VRW25" s="5"/>
      <c r="VRX25" s="5"/>
      <c r="VRY25" s="5"/>
      <c r="VRZ25" s="5"/>
      <c r="VSA25" s="5"/>
      <c r="VSB25" s="5"/>
      <c r="VSC25" s="5"/>
      <c r="VSD25" s="5"/>
      <c r="VSE25" s="5"/>
      <c r="VSF25" s="5"/>
      <c r="VSG25" s="5"/>
      <c r="VSH25" s="5"/>
      <c r="VSI25" s="5"/>
      <c r="VSJ25" s="5"/>
      <c r="VSK25" s="5"/>
      <c r="VSL25" s="5"/>
      <c r="VSM25" s="5"/>
      <c r="VSN25" s="5"/>
      <c r="VSO25" s="5"/>
      <c r="VSP25" s="5"/>
      <c r="VSQ25" s="5"/>
      <c r="VSR25" s="5"/>
      <c r="VSS25" s="5"/>
      <c r="VST25" s="5"/>
      <c r="VSU25" s="5"/>
      <c r="VSV25" s="5"/>
      <c r="VSW25" s="5"/>
      <c r="VSX25" s="5"/>
      <c r="VSY25" s="5"/>
      <c r="VSZ25" s="5"/>
      <c r="VTA25" s="5"/>
      <c r="VTB25" s="5"/>
      <c r="VTC25" s="5"/>
      <c r="VTD25" s="5"/>
      <c r="VTE25" s="5"/>
      <c r="VTF25" s="5"/>
      <c r="VTG25" s="5"/>
      <c r="VTH25" s="5"/>
      <c r="VTI25" s="5"/>
      <c r="VTJ25" s="5"/>
      <c r="VTK25" s="5"/>
      <c r="VTL25" s="5"/>
      <c r="VTM25" s="5"/>
      <c r="VTN25" s="5"/>
      <c r="VTO25" s="5"/>
      <c r="VTP25" s="5"/>
      <c r="VTQ25" s="5"/>
      <c r="VTR25" s="5"/>
      <c r="VTS25" s="5"/>
      <c r="VTT25" s="5"/>
      <c r="VTU25" s="5"/>
      <c r="VTV25" s="5"/>
      <c r="VTW25" s="5"/>
      <c r="VTX25" s="5"/>
      <c r="VTY25" s="5"/>
      <c r="VTZ25" s="5"/>
      <c r="VUA25" s="5"/>
      <c r="VUB25" s="5"/>
      <c r="VUC25" s="5"/>
      <c r="VUD25" s="5"/>
      <c r="VUE25" s="5"/>
      <c r="VUF25" s="5"/>
      <c r="VUG25" s="5"/>
      <c r="VUH25" s="5"/>
      <c r="VUI25" s="5"/>
      <c r="VUJ25" s="5"/>
      <c r="VUK25" s="5"/>
      <c r="VUL25" s="5"/>
      <c r="VUM25" s="5"/>
      <c r="VUN25" s="5"/>
      <c r="VUO25" s="5"/>
      <c r="VUP25" s="5"/>
      <c r="VUQ25" s="5"/>
      <c r="VUR25" s="5"/>
      <c r="VUS25" s="5"/>
      <c r="VUT25" s="5"/>
      <c r="VUU25" s="5"/>
      <c r="VUV25" s="5"/>
      <c r="VUW25" s="5"/>
      <c r="VUX25" s="5"/>
      <c r="VUY25" s="5"/>
      <c r="VUZ25" s="5"/>
      <c r="VVA25" s="5"/>
      <c r="VVB25" s="5"/>
      <c r="VVC25" s="5"/>
      <c r="VVD25" s="5"/>
      <c r="VVE25" s="5"/>
      <c r="VVF25" s="5"/>
      <c r="VVG25" s="5"/>
      <c r="VVH25" s="5"/>
      <c r="VVI25" s="5"/>
      <c r="VVJ25" s="5"/>
      <c r="VVK25" s="5"/>
      <c r="VVL25" s="5"/>
      <c r="VVM25" s="5"/>
      <c r="VVN25" s="5"/>
      <c r="VVO25" s="5"/>
      <c r="VVP25" s="5"/>
      <c r="VVQ25" s="5"/>
      <c r="VVR25" s="5"/>
      <c r="VVS25" s="5"/>
      <c r="VVT25" s="5"/>
      <c r="VVU25" s="5"/>
      <c r="VVV25" s="5"/>
      <c r="VVW25" s="5"/>
      <c r="VVX25" s="5"/>
      <c r="VVY25" s="5"/>
      <c r="VVZ25" s="5"/>
      <c r="VWA25" s="5"/>
      <c r="VWB25" s="5"/>
      <c r="VWC25" s="5"/>
      <c r="VWD25" s="5"/>
      <c r="VWE25" s="5"/>
      <c r="VWF25" s="5"/>
      <c r="VWG25" s="5"/>
      <c r="VWH25" s="5"/>
      <c r="VWI25" s="5"/>
      <c r="VWJ25" s="5"/>
      <c r="VWK25" s="5"/>
      <c r="VWL25" s="5"/>
      <c r="VWM25" s="5"/>
      <c r="VWN25" s="5"/>
      <c r="VWO25" s="5"/>
      <c r="VWP25" s="5"/>
      <c r="VWQ25" s="5"/>
      <c r="VWR25" s="5"/>
      <c r="VWS25" s="5"/>
      <c r="VWT25" s="5"/>
      <c r="VWU25" s="5"/>
      <c r="VWV25" s="5"/>
      <c r="VWW25" s="5"/>
      <c r="VWX25" s="5"/>
      <c r="VWY25" s="5"/>
      <c r="VWZ25" s="5"/>
      <c r="VXA25" s="5"/>
      <c r="VXB25" s="5"/>
      <c r="VXC25" s="5"/>
      <c r="VXD25" s="5"/>
      <c r="VXE25" s="5"/>
      <c r="VXF25" s="5"/>
      <c r="VXG25" s="5"/>
      <c r="VXH25" s="5"/>
      <c r="VXI25" s="5"/>
      <c r="VXJ25" s="5"/>
      <c r="VXK25" s="5"/>
      <c r="VXL25" s="5"/>
      <c r="VXM25" s="5"/>
      <c r="VXN25" s="5"/>
      <c r="VXO25" s="5"/>
      <c r="VXP25" s="5"/>
      <c r="VXQ25" s="5"/>
      <c r="VXR25" s="5"/>
      <c r="VXS25" s="5"/>
      <c r="VXT25" s="5"/>
      <c r="VXU25" s="5"/>
      <c r="VXV25" s="5"/>
      <c r="VXW25" s="5"/>
      <c r="VXX25" s="5"/>
      <c r="VXY25" s="5"/>
      <c r="VXZ25" s="5"/>
      <c r="VYA25" s="5"/>
      <c r="VYB25" s="5"/>
      <c r="VYC25" s="5"/>
      <c r="VYD25" s="5"/>
      <c r="VYE25" s="5"/>
      <c r="VYF25" s="5"/>
      <c r="VYG25" s="5"/>
      <c r="VYH25" s="5"/>
      <c r="VYI25" s="5"/>
      <c r="VYJ25" s="5"/>
      <c r="VYK25" s="5"/>
      <c r="VYL25" s="5"/>
      <c r="VYM25" s="5"/>
      <c r="VYN25" s="5"/>
      <c r="VYO25" s="5"/>
      <c r="VYP25" s="5"/>
      <c r="VYQ25" s="5"/>
      <c r="VYR25" s="5"/>
      <c r="VYS25" s="5"/>
      <c r="VYT25" s="5"/>
      <c r="VYU25" s="5"/>
      <c r="VYV25" s="5"/>
      <c r="VYW25" s="5"/>
      <c r="VYX25" s="5"/>
      <c r="VYY25" s="5"/>
      <c r="VYZ25" s="5"/>
      <c r="VZA25" s="5"/>
      <c r="VZB25" s="5"/>
      <c r="VZC25" s="5"/>
      <c r="VZD25" s="5"/>
      <c r="VZE25" s="5"/>
      <c r="VZF25" s="5"/>
      <c r="VZG25" s="5"/>
      <c r="VZH25" s="5"/>
      <c r="VZI25" s="5"/>
      <c r="VZJ25" s="5"/>
      <c r="VZK25" s="5"/>
      <c r="VZL25" s="5"/>
      <c r="VZM25" s="5"/>
      <c r="VZN25" s="5"/>
      <c r="VZO25" s="5"/>
      <c r="VZP25" s="5"/>
      <c r="VZQ25" s="5"/>
      <c r="VZR25" s="5"/>
      <c r="VZS25" s="5"/>
      <c r="VZT25" s="5"/>
      <c r="VZU25" s="5"/>
      <c r="VZV25" s="5"/>
      <c r="VZW25" s="5"/>
      <c r="VZX25" s="5"/>
      <c r="VZY25" s="5"/>
      <c r="VZZ25" s="5"/>
      <c r="WAA25" s="5"/>
      <c r="WAB25" s="5"/>
      <c r="WAC25" s="5"/>
      <c r="WAD25" s="5"/>
      <c r="WAE25" s="5"/>
      <c r="WAF25" s="5"/>
      <c r="WAG25" s="5"/>
      <c r="WAH25" s="5"/>
      <c r="WAI25" s="5"/>
      <c r="WAJ25" s="5"/>
      <c r="WAK25" s="5"/>
      <c r="WAL25" s="5"/>
      <c r="WAM25" s="5"/>
      <c r="WAN25" s="5"/>
      <c r="WAO25" s="5"/>
      <c r="WAP25" s="5"/>
      <c r="WAQ25" s="5"/>
      <c r="WAR25" s="5"/>
      <c r="WAS25" s="5"/>
      <c r="WAT25" s="5"/>
      <c r="WAU25" s="5"/>
      <c r="WAV25" s="5"/>
      <c r="WAW25" s="5"/>
      <c r="WAX25" s="5"/>
      <c r="WAY25" s="5"/>
      <c r="WAZ25" s="5"/>
      <c r="WBA25" s="5"/>
      <c r="WBB25" s="5"/>
      <c r="WBC25" s="5"/>
      <c r="WBD25" s="5"/>
      <c r="WBE25" s="5"/>
      <c r="WBF25" s="5"/>
      <c r="WBG25" s="5"/>
      <c r="WBH25" s="5"/>
      <c r="WBI25" s="5"/>
      <c r="WBJ25" s="5"/>
      <c r="WBK25" s="5"/>
      <c r="WBL25" s="5"/>
      <c r="WBM25" s="5"/>
      <c r="WBN25" s="5"/>
      <c r="WBO25" s="5"/>
      <c r="WBP25" s="5"/>
      <c r="WBQ25" s="5"/>
      <c r="WBR25" s="5"/>
      <c r="WBS25" s="5"/>
      <c r="WBT25" s="5"/>
      <c r="WBU25" s="5"/>
      <c r="WBV25" s="5"/>
      <c r="WBW25" s="5"/>
      <c r="WBX25" s="5"/>
      <c r="WBY25" s="5"/>
      <c r="WBZ25" s="5"/>
      <c r="WCA25" s="5"/>
      <c r="WCB25" s="5"/>
      <c r="WCC25" s="5"/>
      <c r="WCD25" s="5"/>
      <c r="WCE25" s="5"/>
      <c r="WCF25" s="5"/>
      <c r="WCG25" s="5"/>
      <c r="WCH25" s="5"/>
      <c r="WCI25" s="5"/>
      <c r="WCJ25" s="5"/>
      <c r="WCK25" s="5"/>
      <c r="WCL25" s="5"/>
      <c r="WCM25" s="5"/>
      <c r="WCN25" s="5"/>
      <c r="WCO25" s="5"/>
      <c r="WCP25" s="5"/>
      <c r="WCQ25" s="5"/>
      <c r="WCR25" s="5"/>
      <c r="WCS25" s="5"/>
      <c r="WCT25" s="5"/>
      <c r="WCU25" s="5"/>
      <c r="WCV25" s="5"/>
      <c r="WCW25" s="5"/>
      <c r="WCX25" s="5"/>
      <c r="WCY25" s="5"/>
      <c r="WCZ25" s="5"/>
      <c r="WDA25" s="5"/>
      <c r="WDB25" s="5"/>
      <c r="WDC25" s="5"/>
      <c r="WDD25" s="5"/>
      <c r="WDE25" s="5"/>
      <c r="WDF25" s="5"/>
      <c r="WDG25" s="5"/>
      <c r="WDH25" s="5"/>
      <c r="WDI25" s="5"/>
      <c r="WDJ25" s="5"/>
      <c r="WDK25" s="5"/>
      <c r="WDL25" s="5"/>
      <c r="WDM25" s="5"/>
      <c r="WDN25" s="5"/>
      <c r="WDO25" s="5"/>
      <c r="WDP25" s="5"/>
      <c r="WDQ25" s="5"/>
      <c r="WDR25" s="5"/>
      <c r="WDS25" s="5"/>
      <c r="WDT25" s="5"/>
      <c r="WDU25" s="5"/>
      <c r="WDV25" s="5"/>
      <c r="WDW25" s="5"/>
      <c r="WDX25" s="5"/>
      <c r="WDY25" s="5"/>
      <c r="WDZ25" s="5"/>
      <c r="WEA25" s="5"/>
      <c r="WEB25" s="5"/>
      <c r="WEC25" s="5"/>
      <c r="WED25" s="5"/>
      <c r="WEE25" s="5"/>
      <c r="WEF25" s="5"/>
      <c r="WEG25" s="5"/>
      <c r="WEH25" s="5"/>
      <c r="WEI25" s="5"/>
      <c r="WEJ25" s="5"/>
      <c r="WEK25" s="5"/>
      <c r="WEL25" s="5"/>
      <c r="WEM25" s="5"/>
      <c r="WEN25" s="5"/>
      <c r="WEO25" s="5"/>
      <c r="WEP25" s="5"/>
      <c r="WEQ25" s="5"/>
      <c r="WER25" s="5"/>
      <c r="WES25" s="5"/>
      <c r="WET25" s="5"/>
      <c r="WEU25" s="5"/>
      <c r="WEV25" s="5"/>
      <c r="WEW25" s="5"/>
      <c r="WEX25" s="5"/>
      <c r="WEY25" s="5"/>
      <c r="WEZ25" s="5"/>
      <c r="WFA25" s="5"/>
      <c r="WFB25" s="5"/>
      <c r="WFC25" s="5"/>
      <c r="WFD25" s="5"/>
      <c r="WFE25" s="5"/>
      <c r="WFF25" s="5"/>
      <c r="WFG25" s="5"/>
      <c r="WFH25" s="5"/>
      <c r="WFI25" s="5"/>
      <c r="WFJ25" s="5"/>
      <c r="WFK25" s="5"/>
      <c r="WFL25" s="5"/>
      <c r="WFM25" s="5"/>
      <c r="WFN25" s="5"/>
      <c r="WFO25" s="5"/>
      <c r="WFP25" s="5"/>
      <c r="WFQ25" s="5"/>
      <c r="WFR25" s="5"/>
      <c r="WFS25" s="5"/>
      <c r="WFT25" s="5"/>
      <c r="WFU25" s="5"/>
      <c r="WFV25" s="5"/>
      <c r="WFW25" s="5"/>
      <c r="WFX25" s="5"/>
      <c r="WFY25" s="5"/>
      <c r="WFZ25" s="5"/>
      <c r="WGA25" s="5"/>
      <c r="WGB25" s="5"/>
      <c r="WGC25" s="5"/>
      <c r="WGD25" s="5"/>
      <c r="WGE25" s="5"/>
      <c r="WGF25" s="5"/>
      <c r="WGG25" s="5"/>
      <c r="WGH25" s="5"/>
      <c r="WGI25" s="5"/>
      <c r="WGJ25" s="5"/>
      <c r="WGK25" s="5"/>
      <c r="WGL25" s="5"/>
      <c r="WGM25" s="5"/>
      <c r="WGN25" s="5"/>
      <c r="WGO25" s="5"/>
      <c r="WGP25" s="5"/>
      <c r="WGQ25" s="5"/>
      <c r="WGR25" s="5"/>
      <c r="WGS25" s="5"/>
      <c r="WGT25" s="5"/>
      <c r="WGU25" s="5"/>
      <c r="WGV25" s="5"/>
      <c r="WGW25" s="5"/>
      <c r="WGX25" s="5"/>
      <c r="WGY25" s="5"/>
      <c r="WGZ25" s="5"/>
      <c r="WHA25" s="5"/>
      <c r="WHB25" s="5"/>
      <c r="WHC25" s="5"/>
      <c r="WHD25" s="5"/>
      <c r="WHE25" s="5"/>
      <c r="WHF25" s="5"/>
      <c r="WHG25" s="5"/>
      <c r="WHH25" s="5"/>
      <c r="WHI25" s="5"/>
      <c r="WHJ25" s="5"/>
      <c r="WHK25" s="5"/>
      <c r="WHL25" s="5"/>
      <c r="WHM25" s="5"/>
      <c r="WHN25" s="5"/>
      <c r="WHO25" s="5"/>
      <c r="WHP25" s="5"/>
      <c r="WHQ25" s="5"/>
      <c r="WHR25" s="5"/>
      <c r="WHS25" s="5"/>
      <c r="WHT25" s="5"/>
      <c r="WHU25" s="5"/>
      <c r="WHV25" s="5"/>
      <c r="WHW25" s="5"/>
      <c r="WHX25" s="5"/>
      <c r="WHY25" s="5"/>
      <c r="WHZ25" s="5"/>
      <c r="WIA25" s="5"/>
      <c r="WIB25" s="5"/>
      <c r="WIC25" s="5"/>
      <c r="WID25" s="5"/>
      <c r="WIE25" s="5"/>
      <c r="WIF25" s="5"/>
      <c r="WIG25" s="5"/>
      <c r="WIH25" s="5"/>
      <c r="WII25" s="5"/>
      <c r="WIJ25" s="5"/>
      <c r="WIK25" s="5"/>
      <c r="WIL25" s="5"/>
      <c r="WIM25" s="5"/>
      <c r="WIN25" s="5"/>
      <c r="WIO25" s="5"/>
      <c r="WIP25" s="5"/>
      <c r="WIQ25" s="5"/>
      <c r="WIR25" s="5"/>
      <c r="WIS25" s="5"/>
      <c r="WIT25" s="5"/>
      <c r="WIU25" s="5"/>
      <c r="WIV25" s="5"/>
      <c r="WIW25" s="5"/>
      <c r="WIX25" s="5"/>
      <c r="WIY25" s="5"/>
      <c r="WIZ25" s="5"/>
      <c r="WJA25" s="5"/>
      <c r="WJB25" s="5"/>
      <c r="WJC25" s="5"/>
      <c r="WJD25" s="5"/>
      <c r="WJE25" s="5"/>
      <c r="WJF25" s="5"/>
      <c r="WJG25" s="5"/>
      <c r="WJH25" s="5"/>
      <c r="WJI25" s="5"/>
      <c r="WJJ25" s="5"/>
      <c r="WJK25" s="5"/>
      <c r="WJL25" s="5"/>
      <c r="WJM25" s="5"/>
      <c r="WJN25" s="5"/>
      <c r="WJO25" s="5"/>
      <c r="WJP25" s="5"/>
      <c r="WJQ25" s="5"/>
      <c r="WJR25" s="5"/>
      <c r="WJS25" s="5"/>
      <c r="WJT25" s="5"/>
      <c r="WJU25" s="5"/>
      <c r="WJV25" s="5"/>
      <c r="WJW25" s="5"/>
      <c r="WJX25" s="5"/>
      <c r="WJY25" s="5"/>
      <c r="WJZ25" s="5"/>
      <c r="WKA25" s="5"/>
      <c r="WKB25" s="5"/>
      <c r="WKC25" s="5"/>
      <c r="WKD25" s="5"/>
      <c r="WKE25" s="5"/>
      <c r="WKF25" s="5"/>
      <c r="WKG25" s="5"/>
      <c r="WKH25" s="5"/>
      <c r="WKI25" s="5"/>
      <c r="WKJ25" s="5"/>
      <c r="WKK25" s="5"/>
      <c r="WKL25" s="5"/>
      <c r="WKM25" s="5"/>
      <c r="WKN25" s="5"/>
      <c r="WKO25" s="5"/>
      <c r="WKP25" s="5"/>
      <c r="WKQ25" s="5"/>
      <c r="WKR25" s="5"/>
      <c r="WKS25" s="5"/>
      <c r="WKT25" s="5"/>
      <c r="WKU25" s="5"/>
      <c r="WKV25" s="5"/>
      <c r="WKW25" s="5"/>
      <c r="WKX25" s="5"/>
      <c r="WKY25" s="5"/>
      <c r="WKZ25" s="5"/>
      <c r="WLA25" s="5"/>
      <c r="WLB25" s="5"/>
      <c r="WLC25" s="5"/>
      <c r="WLD25" s="5"/>
      <c r="WLE25" s="5"/>
      <c r="WLF25" s="5"/>
      <c r="WLG25" s="5"/>
      <c r="WLH25" s="5"/>
      <c r="WLI25" s="5"/>
      <c r="WLJ25" s="5"/>
      <c r="WLK25" s="5"/>
      <c r="WLL25" s="5"/>
      <c r="WLM25" s="5"/>
      <c r="WLN25" s="5"/>
      <c r="WLO25" s="5"/>
      <c r="WLP25" s="5"/>
      <c r="WLQ25" s="5"/>
      <c r="WLR25" s="5"/>
      <c r="WLS25" s="5"/>
      <c r="WLT25" s="5"/>
      <c r="WLU25" s="5"/>
      <c r="WLV25" s="5"/>
      <c r="WLW25" s="5"/>
      <c r="WLX25" s="5"/>
      <c r="WLY25" s="5"/>
      <c r="WLZ25" s="5"/>
      <c r="WMA25" s="5"/>
      <c r="WMB25" s="5"/>
      <c r="WMC25" s="5"/>
      <c r="WMD25" s="5"/>
      <c r="WME25" s="5"/>
      <c r="WMF25" s="5"/>
      <c r="WMG25" s="5"/>
      <c r="WMH25" s="5"/>
      <c r="WMI25" s="5"/>
      <c r="WMJ25" s="5"/>
      <c r="WMK25" s="5"/>
      <c r="WML25" s="5"/>
      <c r="WMM25" s="5"/>
      <c r="WMN25" s="5"/>
      <c r="WMO25" s="5"/>
      <c r="WMP25" s="5"/>
      <c r="WMQ25" s="5"/>
      <c r="WMR25" s="5"/>
      <c r="WMS25" s="5"/>
      <c r="WMT25" s="5"/>
      <c r="WMU25" s="5"/>
      <c r="WMV25" s="5"/>
      <c r="WMW25" s="5"/>
      <c r="WMX25" s="5"/>
      <c r="WMY25" s="5"/>
      <c r="WMZ25" s="5"/>
      <c r="WNA25" s="5"/>
      <c r="WNB25" s="5"/>
      <c r="WNC25" s="5"/>
      <c r="WND25" s="5"/>
      <c r="WNE25" s="5"/>
      <c r="WNF25" s="5"/>
      <c r="WNG25" s="5"/>
      <c r="WNH25" s="5"/>
      <c r="WNI25" s="5"/>
      <c r="WNJ25" s="5"/>
      <c r="WNK25" s="5"/>
      <c r="WNL25" s="5"/>
      <c r="WNM25" s="5"/>
      <c r="WNN25" s="5"/>
      <c r="WNO25" s="5"/>
      <c r="WNP25" s="5"/>
      <c r="WNQ25" s="5"/>
      <c r="WNR25" s="5"/>
      <c r="WNS25" s="5"/>
      <c r="WNT25" s="5"/>
      <c r="WNU25" s="5"/>
      <c r="WNV25" s="5"/>
      <c r="WNW25" s="5"/>
      <c r="WNX25" s="5"/>
      <c r="WNY25" s="5"/>
      <c r="WNZ25" s="5"/>
      <c r="WOA25" s="5"/>
      <c r="WOB25" s="5"/>
      <c r="WOC25" s="5"/>
      <c r="WOD25" s="5"/>
      <c r="WOE25" s="5"/>
      <c r="WOF25" s="5"/>
      <c r="WOG25" s="5"/>
      <c r="WOH25" s="5"/>
      <c r="WOI25" s="5"/>
      <c r="WOJ25" s="5"/>
      <c r="WOK25" s="5"/>
      <c r="WOL25" s="5"/>
      <c r="WOM25" s="5"/>
      <c r="WON25" s="5"/>
      <c r="WOO25" s="5"/>
      <c r="WOP25" s="5"/>
      <c r="WOQ25" s="5"/>
      <c r="WOR25" s="5"/>
      <c r="WOS25" s="5"/>
      <c r="WOT25" s="5"/>
      <c r="WOU25" s="5"/>
      <c r="WOV25" s="5"/>
      <c r="WOW25" s="5"/>
      <c r="WOX25" s="5"/>
      <c r="WOY25" s="5"/>
      <c r="WOZ25" s="5"/>
      <c r="WPA25" s="5"/>
      <c r="WPB25" s="5"/>
      <c r="WPC25" s="5"/>
      <c r="WPD25" s="5"/>
      <c r="WPE25" s="5"/>
      <c r="WPF25" s="5"/>
      <c r="WPG25" s="5"/>
      <c r="WPH25" s="5"/>
      <c r="WPI25" s="5"/>
      <c r="WPJ25" s="5"/>
      <c r="WPK25" s="5"/>
      <c r="WPL25" s="5"/>
      <c r="WPM25" s="5"/>
      <c r="WPN25" s="5"/>
      <c r="WPO25" s="5"/>
      <c r="WPP25" s="5"/>
      <c r="WPQ25" s="5"/>
      <c r="WPR25" s="5"/>
      <c r="WPS25" s="5"/>
      <c r="WPT25" s="5"/>
      <c r="WPU25" s="5"/>
      <c r="WPV25" s="5"/>
      <c r="WPW25" s="5"/>
      <c r="WPX25" s="5"/>
      <c r="WPY25" s="5"/>
      <c r="WPZ25" s="5"/>
      <c r="WQA25" s="5"/>
      <c r="WQB25" s="5"/>
      <c r="WQC25" s="5"/>
      <c r="WQD25" s="5"/>
      <c r="WQE25" s="5"/>
      <c r="WQF25" s="5"/>
      <c r="WQG25" s="5"/>
      <c r="WQH25" s="5"/>
      <c r="WQI25" s="5"/>
      <c r="WQJ25" s="5"/>
      <c r="WQK25" s="5"/>
      <c r="WQL25" s="5"/>
      <c r="WQM25" s="5"/>
      <c r="WQN25" s="5"/>
      <c r="WQO25" s="5"/>
      <c r="WQP25" s="5"/>
      <c r="WQQ25" s="5"/>
      <c r="WQR25" s="5"/>
      <c r="WQS25" s="5"/>
      <c r="WQT25" s="5"/>
      <c r="WQU25" s="5"/>
      <c r="WQV25" s="5"/>
      <c r="WQW25" s="5"/>
      <c r="WQX25" s="5"/>
      <c r="WQY25" s="5"/>
      <c r="WQZ25" s="5"/>
      <c r="WRA25" s="5"/>
      <c r="WRB25" s="5"/>
      <c r="WRC25" s="5"/>
      <c r="WRD25" s="5"/>
      <c r="WRE25" s="5"/>
      <c r="WRF25" s="5"/>
      <c r="WRG25" s="5"/>
      <c r="WRH25" s="5"/>
      <c r="WRI25" s="5"/>
      <c r="WRJ25" s="5"/>
      <c r="WRK25" s="5"/>
      <c r="WRL25" s="5"/>
      <c r="WRM25" s="5"/>
      <c r="WRN25" s="5"/>
      <c r="WRO25" s="5"/>
      <c r="WRP25" s="5"/>
      <c r="WRQ25" s="5"/>
      <c r="WRR25" s="5"/>
      <c r="WRS25" s="5"/>
      <c r="WRT25" s="5"/>
      <c r="WRU25" s="5"/>
      <c r="WRV25" s="5"/>
      <c r="WRW25" s="5"/>
      <c r="WRX25" s="5"/>
      <c r="WRY25" s="5"/>
      <c r="WRZ25" s="5"/>
      <c r="WSA25" s="5"/>
      <c r="WSB25" s="5"/>
      <c r="WSC25" s="5"/>
      <c r="WSD25" s="5"/>
      <c r="WSE25" s="5"/>
      <c r="WSF25" s="5"/>
      <c r="WSG25" s="5"/>
      <c r="WSH25" s="5"/>
      <c r="WSI25" s="5"/>
      <c r="WSJ25" s="5"/>
      <c r="WSK25" s="5"/>
      <c r="WSL25" s="5"/>
      <c r="WSM25" s="5"/>
      <c r="WSN25" s="5"/>
      <c r="WSO25" s="5"/>
      <c r="WSP25" s="5"/>
      <c r="WSQ25" s="5"/>
      <c r="WSR25" s="5"/>
      <c r="WSS25" s="5"/>
      <c r="WST25" s="5"/>
      <c r="WSU25" s="5"/>
      <c r="WSV25" s="5"/>
      <c r="WSW25" s="5"/>
      <c r="WSX25" s="5"/>
      <c r="WSY25" s="5"/>
      <c r="WSZ25" s="5"/>
      <c r="WTA25" s="5"/>
      <c r="WTB25" s="5"/>
      <c r="WTC25" s="5"/>
      <c r="WTD25" s="5"/>
      <c r="WTE25" s="5"/>
      <c r="WTF25" s="5"/>
      <c r="WTG25" s="5"/>
      <c r="WTH25" s="5"/>
      <c r="WTI25" s="5"/>
      <c r="WTJ25" s="5"/>
      <c r="WTK25" s="5"/>
      <c r="WTL25" s="5"/>
      <c r="WTM25" s="5"/>
      <c r="WTN25" s="5"/>
      <c r="WTO25" s="5"/>
      <c r="WTP25" s="5"/>
      <c r="WTQ25" s="5"/>
      <c r="WTR25" s="5"/>
      <c r="WTS25" s="5"/>
      <c r="WTT25" s="5"/>
      <c r="WTU25" s="5"/>
      <c r="WTV25" s="5"/>
      <c r="WTW25" s="5"/>
      <c r="WTX25" s="5"/>
      <c r="WTY25" s="5"/>
      <c r="WTZ25" s="5"/>
      <c r="WUA25" s="5"/>
      <c r="WUB25" s="5"/>
      <c r="WUC25" s="5"/>
      <c r="WUD25" s="5"/>
      <c r="WUE25" s="5"/>
      <c r="WUF25" s="5"/>
      <c r="WUG25" s="5"/>
      <c r="WUH25" s="5"/>
      <c r="WUI25" s="5"/>
      <c r="WUJ25" s="5"/>
      <c r="WUK25" s="5"/>
      <c r="WUL25" s="5"/>
      <c r="WUM25" s="5"/>
      <c r="WUN25" s="5"/>
      <c r="WUO25" s="5"/>
      <c r="WUP25" s="5"/>
      <c r="WUQ25" s="5"/>
      <c r="WUR25" s="5"/>
      <c r="WUS25" s="5"/>
      <c r="WUT25" s="5"/>
      <c r="WUU25" s="5"/>
      <c r="WUV25" s="5"/>
      <c r="WUW25" s="5"/>
      <c r="WUX25" s="5"/>
      <c r="WUY25" s="5"/>
      <c r="WUZ25" s="5"/>
      <c r="WVA25" s="5"/>
      <c r="WVB25" s="5"/>
      <c r="WVC25" s="5"/>
      <c r="WVD25" s="5"/>
      <c r="WVE25" s="5"/>
      <c r="WVF25" s="5"/>
      <c r="WVG25" s="5"/>
      <c r="WVH25" s="5"/>
      <c r="WVI25" s="5"/>
      <c r="WVJ25" s="5"/>
      <c r="WVK25" s="5"/>
      <c r="WVL25" s="5"/>
      <c r="WVM25" s="5"/>
      <c r="WVN25" s="5"/>
      <c r="WVO25" s="5"/>
      <c r="WVP25" s="5"/>
      <c r="WVQ25" s="5"/>
      <c r="WVR25" s="5"/>
      <c r="WVS25" s="5"/>
      <c r="WVT25" s="5"/>
      <c r="WVU25" s="5"/>
      <c r="WVV25" s="5"/>
      <c r="WVW25" s="5"/>
      <c r="WVX25" s="5"/>
      <c r="WVY25" s="5"/>
      <c r="WVZ25" s="5"/>
      <c r="WWA25" s="5"/>
      <c r="WWB25" s="5"/>
      <c r="WWC25" s="5"/>
      <c r="WWD25" s="5"/>
      <c r="WWE25" s="5"/>
      <c r="WWF25" s="5"/>
      <c r="WWG25" s="5"/>
      <c r="WWH25" s="5"/>
      <c r="WWI25" s="5"/>
      <c r="WWJ25" s="5"/>
      <c r="WWK25" s="5"/>
      <c r="WWL25" s="5"/>
      <c r="WWM25" s="5"/>
      <c r="WWN25" s="5"/>
      <c r="WWO25" s="5"/>
      <c r="WWP25" s="5"/>
      <c r="WWQ25" s="5"/>
      <c r="WWR25" s="5"/>
      <c r="WWS25" s="5"/>
      <c r="WWT25" s="5"/>
      <c r="WWU25" s="5"/>
      <c r="WWV25" s="5"/>
      <c r="WWW25" s="5"/>
      <c r="WWX25" s="5"/>
      <c r="WWY25" s="5"/>
      <c r="WWZ25" s="5"/>
      <c r="WXA25" s="5"/>
      <c r="WXB25" s="5"/>
      <c r="WXC25" s="5"/>
      <c r="WXD25" s="5"/>
      <c r="WXE25" s="5"/>
      <c r="WXF25" s="5"/>
      <c r="WXG25" s="5"/>
      <c r="WXH25" s="5"/>
      <c r="WXI25" s="5"/>
      <c r="WXJ25" s="5"/>
      <c r="WXK25" s="5"/>
      <c r="WXL25" s="5"/>
      <c r="WXM25" s="5"/>
      <c r="WXN25" s="5"/>
      <c r="WXO25" s="5"/>
      <c r="WXP25" s="5"/>
      <c r="WXQ25" s="5"/>
      <c r="WXR25" s="5"/>
      <c r="WXS25" s="5"/>
      <c r="WXT25" s="5"/>
      <c r="WXU25" s="5"/>
      <c r="WXV25" s="5"/>
      <c r="WXW25" s="5"/>
      <c r="WXX25" s="5"/>
      <c r="WXY25" s="5"/>
      <c r="WXZ25" s="5"/>
      <c r="WYA25" s="5"/>
      <c r="WYB25" s="5"/>
      <c r="WYC25" s="5"/>
      <c r="WYD25" s="5"/>
      <c r="WYE25" s="5"/>
      <c r="WYF25" s="5"/>
      <c r="WYG25" s="5"/>
      <c r="WYH25" s="5"/>
      <c r="WYI25" s="5"/>
      <c r="WYJ25" s="5"/>
      <c r="WYK25" s="5"/>
      <c r="WYL25" s="5"/>
      <c r="WYM25" s="5"/>
      <c r="WYN25" s="5"/>
      <c r="WYO25" s="5"/>
      <c r="WYP25" s="5"/>
      <c r="WYQ25" s="5"/>
      <c r="WYR25" s="5"/>
      <c r="WYS25" s="5"/>
      <c r="WYT25" s="5"/>
      <c r="WYU25" s="5"/>
      <c r="WYV25" s="5"/>
      <c r="WYW25" s="5"/>
      <c r="WYX25" s="5"/>
      <c r="WYY25" s="5"/>
      <c r="WYZ25" s="5"/>
      <c r="WZA25" s="5"/>
      <c r="WZB25" s="5"/>
      <c r="WZC25" s="5"/>
      <c r="WZD25" s="5"/>
      <c r="WZE25" s="5"/>
      <c r="WZF25" s="5"/>
      <c r="WZG25" s="5"/>
      <c r="WZH25" s="5"/>
      <c r="WZI25" s="5"/>
      <c r="WZJ25" s="5"/>
      <c r="WZK25" s="5"/>
      <c r="WZL25" s="5"/>
      <c r="WZM25" s="5"/>
      <c r="WZN25" s="5"/>
      <c r="WZO25" s="5"/>
      <c r="WZP25" s="5"/>
      <c r="WZQ25" s="5"/>
      <c r="WZR25" s="5"/>
      <c r="WZS25" s="5"/>
      <c r="WZT25" s="5"/>
      <c r="WZU25" s="5"/>
      <c r="WZV25" s="5"/>
      <c r="WZW25" s="5"/>
      <c r="WZX25" s="5"/>
      <c r="WZY25" s="5"/>
      <c r="WZZ25" s="5"/>
      <c r="XAA25" s="5"/>
      <c r="XAB25" s="5"/>
      <c r="XAC25" s="5"/>
      <c r="XAD25" s="5"/>
      <c r="XAE25" s="5"/>
      <c r="XAF25" s="5"/>
      <c r="XAG25" s="5"/>
      <c r="XAH25" s="5"/>
      <c r="XAI25" s="5"/>
      <c r="XAJ25" s="5"/>
      <c r="XAK25" s="5"/>
      <c r="XAL25" s="5"/>
      <c r="XAM25" s="5"/>
      <c r="XAN25" s="5"/>
      <c r="XAO25" s="5"/>
      <c r="XAP25" s="5"/>
      <c r="XAQ25" s="5"/>
      <c r="XAR25" s="5"/>
      <c r="XAS25" s="5"/>
      <c r="XAT25" s="5"/>
      <c r="XAU25" s="5"/>
      <c r="XAV25" s="5"/>
      <c r="XAW25" s="5"/>
      <c r="XAX25" s="5"/>
      <c r="XAY25" s="5"/>
      <c r="XAZ25" s="5"/>
      <c r="XBA25" s="5"/>
      <c r="XBB25" s="5"/>
      <c r="XBC25" s="5"/>
      <c r="XBD25" s="5"/>
      <c r="XBE25" s="5"/>
      <c r="XBF25" s="5"/>
      <c r="XBG25" s="5"/>
      <c r="XBH25" s="5"/>
      <c r="XBI25" s="5"/>
      <c r="XBJ25" s="5"/>
      <c r="XBK25" s="5"/>
      <c r="XBL25" s="5"/>
      <c r="XBM25" s="5"/>
      <c r="XBN25" s="5"/>
      <c r="XBO25" s="5"/>
      <c r="XBP25" s="5"/>
      <c r="XBQ25" s="5"/>
      <c r="XBR25" s="5"/>
      <c r="XBS25" s="5"/>
      <c r="XBT25" s="5"/>
      <c r="XBU25" s="5"/>
      <c r="XBV25" s="5"/>
      <c r="XBW25" s="5"/>
      <c r="XBX25" s="5"/>
      <c r="XBY25" s="5"/>
      <c r="XBZ25" s="5"/>
      <c r="XCA25" s="5"/>
      <c r="XCB25" s="5"/>
      <c r="XCC25" s="5"/>
      <c r="XCD25" s="5"/>
      <c r="XCE25" s="5"/>
      <c r="XCF25" s="5"/>
      <c r="XCG25" s="5"/>
      <c r="XCH25" s="5"/>
      <c r="XCI25" s="5"/>
      <c r="XCJ25" s="5"/>
      <c r="XCK25" s="5"/>
      <c r="XCL25" s="5"/>
      <c r="XCM25" s="5"/>
      <c r="XCN25" s="5"/>
      <c r="XCO25" s="5"/>
      <c r="XCP25" s="5"/>
      <c r="XCQ25" s="5"/>
      <c r="XCR25" s="5"/>
      <c r="XCS25" s="5"/>
      <c r="XCT25" s="5"/>
      <c r="XCU25" s="5"/>
      <c r="XCV25" s="5"/>
      <c r="XCW25" s="5"/>
      <c r="XCX25" s="5"/>
      <c r="XCY25" s="5"/>
      <c r="XCZ25" s="5"/>
      <c r="XDA25" s="5"/>
      <c r="XDB25" s="5"/>
      <c r="XDC25" s="5"/>
      <c r="XDD25" s="5"/>
      <c r="XDE25" s="5"/>
      <c r="XDF25" s="5"/>
      <c r="XDG25" s="5"/>
      <c r="XDH25" s="5"/>
      <c r="XDI25" s="5"/>
      <c r="XDJ25" s="5"/>
      <c r="XDK25" s="5"/>
      <c r="XDL25" s="5"/>
      <c r="XDM25" s="5"/>
      <c r="XDN25" s="5"/>
      <c r="XDO25" s="5"/>
      <c r="XDP25" s="5"/>
      <c r="XDQ25" s="5"/>
      <c r="XDR25" s="5"/>
      <c r="XDS25" s="5"/>
      <c r="XDT25" s="5"/>
      <c r="XDU25" s="5"/>
      <c r="XDV25" s="5"/>
      <c r="XDW25" s="5"/>
      <c r="XDX25" s="5"/>
      <c r="XDY25" s="5"/>
      <c r="XDZ25" s="5"/>
      <c r="XEA25" s="5"/>
      <c r="XEB25" s="5"/>
      <c r="XEC25" s="5"/>
      <c r="XED25" s="5"/>
      <c r="XEE25" s="5"/>
      <c r="XEF25" s="5"/>
      <c r="XEG25" s="5"/>
      <c r="XEH25" s="5"/>
      <c r="XEI25" s="5"/>
      <c r="XEJ25" s="5"/>
      <c r="XEK25" s="5"/>
      <c r="XEL25" s="5"/>
      <c r="XEM25" s="5"/>
      <c r="XEN25" s="5"/>
      <c r="XEO25" s="5"/>
      <c r="XEP25" s="5"/>
      <c r="XEQ25" s="5"/>
      <c r="XER25" s="5"/>
      <c r="XES25" s="5"/>
      <c r="XET25" s="5"/>
      <c r="XEU25" s="5"/>
      <c r="XEV25" s="5"/>
      <c r="XEW25" s="5"/>
      <c r="XEX25" s="5"/>
      <c r="XEY25" s="5"/>
      <c r="XEZ25" s="5"/>
      <c r="XFA25" s="5"/>
      <c r="XFB25" s="5"/>
      <c r="XFC25" s="5"/>
      <c r="XFD25" s="5"/>
    </row>
    <row r="26" spans="2:16384" ht="15.75">
      <c r="B26" s="22" t="s">
        <v>568</v>
      </c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</row>
    <row r="27" spans="2:16384">
      <c r="B27" s="23" t="s">
        <v>555</v>
      </c>
      <c r="C27" s="18"/>
      <c r="D27" s="23"/>
      <c r="E27" s="5"/>
      <c r="F27" s="5"/>
      <c r="G27" s="5"/>
      <c r="H27" s="5"/>
      <c r="I27" s="23" t="s">
        <v>567</v>
      </c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</row>
    <row r="28" spans="2:16384" ht="15" customHeight="1">
      <c r="B28" s="479" t="s">
        <v>9</v>
      </c>
      <c r="C28" s="485" t="s">
        <v>212</v>
      </c>
      <c r="D28" s="487" t="s">
        <v>315</v>
      </c>
      <c r="E28" s="488"/>
      <c r="F28" s="491" t="s">
        <v>12</v>
      </c>
      <c r="G28" s="479" t="s">
        <v>163</v>
      </c>
      <c r="H28" s="5"/>
      <c r="I28" s="479" t="s">
        <v>12</v>
      </c>
      <c r="J28" s="226">
        <f>SUM(I28,1)</f>
        <v>1</v>
      </c>
      <c r="K28" s="226">
        <f t="shared" ref="K28" si="0">SUM(J28,1)</f>
        <v>2</v>
      </c>
      <c r="L28" s="226">
        <f t="shared" ref="L28" si="1">SUM(K28,1)</f>
        <v>3</v>
      </c>
      <c r="M28" s="226">
        <f t="shared" ref="M28" si="2">SUM(L28,1)</f>
        <v>4</v>
      </c>
      <c r="N28" s="226">
        <f t="shared" ref="N28" si="3">SUM(M28,1)</f>
        <v>5</v>
      </c>
      <c r="O28" s="226">
        <f t="shared" ref="O28" si="4">SUM(N28,1)</f>
        <v>6</v>
      </c>
      <c r="P28" s="226">
        <f t="shared" ref="P28" si="5">SUM(O28,1)</f>
        <v>7</v>
      </c>
      <c r="Q28" s="226">
        <f t="shared" ref="Q28" si="6">SUM(P28,1)</f>
        <v>8</v>
      </c>
      <c r="R28" s="226">
        <f t="shared" ref="R28" si="7">SUM(Q28,1)</f>
        <v>9</v>
      </c>
      <c r="S28" s="226">
        <f t="shared" ref="S28" si="8">SUM(R28,1)</f>
        <v>10</v>
      </c>
      <c r="T28" s="226">
        <f t="shared" ref="T28" si="9">SUM(S28,1)</f>
        <v>11</v>
      </c>
      <c r="U28" s="226">
        <f t="shared" ref="U28" si="10">SUM(T28,1)</f>
        <v>12</v>
      </c>
      <c r="V28" s="226">
        <f t="shared" ref="V28" si="11">SUM(U28,1)</f>
        <v>13</v>
      </c>
      <c r="W28" s="226">
        <f t="shared" ref="W28" si="12">SUM(V28,1)</f>
        <v>14</v>
      </c>
      <c r="X28" s="226">
        <f t="shared" ref="X28" si="13">SUM(W28,1)</f>
        <v>15</v>
      </c>
      <c r="Y28" s="226">
        <f t="shared" ref="Y28" si="14">SUM(X28,1)</f>
        <v>16</v>
      </c>
      <c r="Z28" s="226">
        <f t="shared" ref="Z28" si="15">SUM(Y28,1)</f>
        <v>17</v>
      </c>
      <c r="AA28" s="226">
        <f t="shared" ref="AA28" si="16">SUM(Z28,1)</f>
        <v>18</v>
      </c>
      <c r="AB28" s="226">
        <f t="shared" ref="AB28" si="17">SUM(AA28,1)</f>
        <v>19</v>
      </c>
      <c r="AC28" s="226">
        <f t="shared" ref="AC28" si="18">SUM(AB28,1)</f>
        <v>20</v>
      </c>
      <c r="AD28" s="226">
        <f t="shared" ref="AD28" si="19">SUM(AC28,1)</f>
        <v>21</v>
      </c>
      <c r="AE28" s="226">
        <f t="shared" ref="AE28" si="20">SUM(AD28,1)</f>
        <v>22</v>
      </c>
      <c r="AF28" s="226">
        <f t="shared" ref="AF28" si="21">SUM(AE28,1)</f>
        <v>23</v>
      </c>
      <c r="AG28" s="226">
        <f t="shared" ref="AG28" si="22">SUM(AF28,1)</f>
        <v>24</v>
      </c>
      <c r="AH28" s="226">
        <f t="shared" ref="AH28" si="23">SUM(AG28,1)</f>
        <v>25</v>
      </c>
      <c r="AI28" s="226">
        <f t="shared" ref="AI28" si="24">SUM(AH28,1)</f>
        <v>26</v>
      </c>
      <c r="AJ28" s="226">
        <f t="shared" ref="AJ28" si="25">SUM(AI28,1)</f>
        <v>27</v>
      </c>
      <c r="AK28" s="226">
        <f t="shared" ref="AK28" si="26">SUM(AJ28,1)</f>
        <v>28</v>
      </c>
      <c r="AL28" s="226">
        <f t="shared" ref="AL28:BR28" si="27">SUM(AK28,1)</f>
        <v>29</v>
      </c>
      <c r="AM28" s="226">
        <f t="shared" si="27"/>
        <v>30</v>
      </c>
      <c r="AN28" s="226">
        <f t="shared" si="27"/>
        <v>31</v>
      </c>
      <c r="AO28" s="226">
        <f t="shared" si="27"/>
        <v>32</v>
      </c>
      <c r="AP28" s="226">
        <f t="shared" si="27"/>
        <v>33</v>
      </c>
      <c r="AQ28" s="226">
        <f t="shared" si="27"/>
        <v>34</v>
      </c>
      <c r="AR28" s="226">
        <f t="shared" si="27"/>
        <v>35</v>
      </c>
      <c r="AS28" s="226">
        <f t="shared" si="27"/>
        <v>36</v>
      </c>
      <c r="AT28" s="226">
        <f t="shared" si="27"/>
        <v>37</v>
      </c>
      <c r="AU28" s="226">
        <f t="shared" si="27"/>
        <v>38</v>
      </c>
      <c r="AV28" s="226">
        <f t="shared" si="27"/>
        <v>39</v>
      </c>
      <c r="AW28" s="226">
        <f t="shared" si="27"/>
        <v>40</v>
      </c>
      <c r="AX28" s="226">
        <f t="shared" si="27"/>
        <v>41</v>
      </c>
      <c r="AY28" s="226">
        <f t="shared" si="27"/>
        <v>42</v>
      </c>
      <c r="AZ28" s="226">
        <f t="shared" si="27"/>
        <v>43</v>
      </c>
      <c r="BA28" s="226">
        <f t="shared" si="27"/>
        <v>44</v>
      </c>
      <c r="BB28" s="226">
        <f t="shared" si="27"/>
        <v>45</v>
      </c>
      <c r="BC28" s="226">
        <f t="shared" si="27"/>
        <v>46</v>
      </c>
      <c r="BD28" s="226">
        <f t="shared" si="27"/>
        <v>47</v>
      </c>
      <c r="BE28" s="226">
        <f t="shared" si="27"/>
        <v>48</v>
      </c>
      <c r="BF28" s="226">
        <f t="shared" si="27"/>
        <v>49</v>
      </c>
      <c r="BG28" s="226">
        <f t="shared" si="27"/>
        <v>50</v>
      </c>
      <c r="BH28" s="226">
        <f t="shared" si="27"/>
        <v>51</v>
      </c>
      <c r="BI28" s="226">
        <f t="shared" si="27"/>
        <v>52</v>
      </c>
      <c r="BJ28" s="226">
        <f t="shared" si="27"/>
        <v>53</v>
      </c>
      <c r="BK28" s="226">
        <f t="shared" si="27"/>
        <v>54</v>
      </c>
      <c r="BL28" s="226">
        <f t="shared" si="27"/>
        <v>55</v>
      </c>
      <c r="BM28" s="226">
        <f t="shared" si="27"/>
        <v>56</v>
      </c>
      <c r="BN28" s="226">
        <f t="shared" si="27"/>
        <v>57</v>
      </c>
      <c r="BO28" s="226">
        <f t="shared" si="27"/>
        <v>58</v>
      </c>
      <c r="BP28" s="226">
        <f t="shared" si="27"/>
        <v>59</v>
      </c>
      <c r="BQ28" s="226">
        <f t="shared" si="27"/>
        <v>60</v>
      </c>
      <c r="BR28" s="226">
        <f t="shared" si="27"/>
        <v>61</v>
      </c>
      <c r="BS28" s="404" t="s">
        <v>489</v>
      </c>
    </row>
    <row r="29" spans="2:16384">
      <c r="B29" s="479"/>
      <c r="C29" s="486"/>
      <c r="D29" s="489"/>
      <c r="E29" s="490"/>
      <c r="F29" s="493"/>
      <c r="G29" s="479"/>
      <c r="H29" s="5"/>
      <c r="I29" s="479"/>
      <c r="J29" s="227">
        <f>IF(J28=1,$C$13,I30+1)</f>
        <v>46204</v>
      </c>
      <c r="K29" s="227">
        <f t="shared" ref="K29:AC29" si="28">IF(K28=1,$C$13,J30+1)</f>
        <v>46296</v>
      </c>
      <c r="L29" s="227">
        <f t="shared" si="28"/>
        <v>46388</v>
      </c>
      <c r="M29" s="227">
        <f t="shared" si="28"/>
        <v>46478</v>
      </c>
      <c r="N29" s="227">
        <f t="shared" si="28"/>
        <v>46569</v>
      </c>
      <c r="O29" s="227">
        <f t="shared" si="28"/>
        <v>46661</v>
      </c>
      <c r="P29" s="227">
        <f t="shared" si="28"/>
        <v>46753</v>
      </c>
      <c r="Q29" s="227">
        <f t="shared" si="28"/>
        <v>46844</v>
      </c>
      <c r="R29" s="227">
        <f t="shared" si="28"/>
        <v>46935</v>
      </c>
      <c r="S29" s="227">
        <f t="shared" si="28"/>
        <v>47027</v>
      </c>
      <c r="T29" s="227">
        <f t="shared" si="28"/>
        <v>47119</v>
      </c>
      <c r="U29" s="227">
        <f t="shared" si="28"/>
        <v>47209</v>
      </c>
      <c r="V29" s="227">
        <f t="shared" si="28"/>
        <v>47300</v>
      </c>
      <c r="W29" s="227">
        <f t="shared" si="28"/>
        <v>47392</v>
      </c>
      <c r="X29" s="227">
        <f t="shared" si="28"/>
        <v>47484</v>
      </c>
      <c r="Y29" s="227">
        <f t="shared" si="28"/>
        <v>47574</v>
      </c>
      <c r="Z29" s="227">
        <f t="shared" si="28"/>
        <v>47665</v>
      </c>
      <c r="AA29" s="227">
        <f t="shared" si="28"/>
        <v>47757</v>
      </c>
      <c r="AB29" s="227">
        <f t="shared" si="28"/>
        <v>47849</v>
      </c>
      <c r="AC29" s="227">
        <f t="shared" si="28"/>
        <v>47939</v>
      </c>
      <c r="AD29" s="227">
        <f t="shared" ref="AD29" si="29">IF(AD28=1,$C$13,AC30+1)</f>
        <v>48030</v>
      </c>
      <c r="AE29" s="227">
        <f t="shared" ref="AE29" si="30">IF(AE28=1,$C$13,AD30+1)</f>
        <v>48122</v>
      </c>
      <c r="AF29" s="227">
        <f t="shared" ref="AF29" si="31">IF(AF28=1,$C$13,AE30+1)</f>
        <v>48214</v>
      </c>
      <c r="AG29" s="227">
        <f t="shared" ref="AG29" si="32">IF(AG28=1,$C$13,AF30+1)</f>
        <v>48305</v>
      </c>
      <c r="AH29" s="227">
        <f t="shared" ref="AH29" si="33">IF(AH28=1,$C$13,AG30+1)</f>
        <v>48396</v>
      </c>
      <c r="AI29" s="227">
        <f t="shared" ref="AI29" si="34">IF(AI28=1,$C$13,AH30+1)</f>
        <v>48488</v>
      </c>
      <c r="AJ29" s="227">
        <f t="shared" ref="AJ29" si="35">IF(AJ28=1,$C$13,AI30+1)</f>
        <v>48580</v>
      </c>
      <c r="AK29" s="227">
        <f t="shared" ref="AK29" si="36">IF(AK28=1,$C$13,AJ30+1)</f>
        <v>48670</v>
      </c>
      <c r="AL29" s="227">
        <f t="shared" ref="AL29:BR29" si="37">IF(AL28=1,$C$13,AK30+1)</f>
        <v>48761</v>
      </c>
      <c r="AM29" s="227">
        <f t="shared" si="37"/>
        <v>48853</v>
      </c>
      <c r="AN29" s="227">
        <f t="shared" si="37"/>
        <v>48945</v>
      </c>
      <c r="AO29" s="227">
        <f t="shared" si="37"/>
        <v>49035</v>
      </c>
      <c r="AP29" s="227">
        <f t="shared" si="37"/>
        <v>49126</v>
      </c>
      <c r="AQ29" s="227">
        <f t="shared" si="37"/>
        <v>49218</v>
      </c>
      <c r="AR29" s="227">
        <f t="shared" si="37"/>
        <v>49310</v>
      </c>
      <c r="AS29" s="227">
        <f t="shared" si="37"/>
        <v>49400</v>
      </c>
      <c r="AT29" s="227">
        <f t="shared" si="37"/>
        <v>49491</v>
      </c>
      <c r="AU29" s="227">
        <f t="shared" si="37"/>
        <v>49583</v>
      </c>
      <c r="AV29" s="227">
        <f t="shared" si="37"/>
        <v>49675</v>
      </c>
      <c r="AW29" s="227">
        <f t="shared" si="37"/>
        <v>49766</v>
      </c>
      <c r="AX29" s="227">
        <f t="shared" si="37"/>
        <v>49857</v>
      </c>
      <c r="AY29" s="227">
        <f t="shared" si="37"/>
        <v>49949</v>
      </c>
      <c r="AZ29" s="227">
        <f t="shared" si="37"/>
        <v>50041</v>
      </c>
      <c r="BA29" s="227">
        <f t="shared" si="37"/>
        <v>50131</v>
      </c>
      <c r="BB29" s="227">
        <f t="shared" si="37"/>
        <v>50222</v>
      </c>
      <c r="BC29" s="227">
        <f t="shared" si="37"/>
        <v>50314</v>
      </c>
      <c r="BD29" s="227">
        <f t="shared" si="37"/>
        <v>50406</v>
      </c>
      <c r="BE29" s="227">
        <f t="shared" si="37"/>
        <v>50496</v>
      </c>
      <c r="BF29" s="227">
        <f t="shared" si="37"/>
        <v>50587</v>
      </c>
      <c r="BG29" s="227">
        <f t="shared" si="37"/>
        <v>50679</v>
      </c>
      <c r="BH29" s="227">
        <f t="shared" si="37"/>
        <v>50771</v>
      </c>
      <c r="BI29" s="227">
        <f t="shared" si="37"/>
        <v>50861</v>
      </c>
      <c r="BJ29" s="227">
        <f t="shared" si="37"/>
        <v>50952</v>
      </c>
      <c r="BK29" s="227">
        <f t="shared" si="37"/>
        <v>51044</v>
      </c>
      <c r="BL29" s="227">
        <f t="shared" si="37"/>
        <v>51136</v>
      </c>
      <c r="BM29" s="227">
        <f t="shared" si="37"/>
        <v>51227</v>
      </c>
      <c r="BN29" s="227">
        <f t="shared" si="37"/>
        <v>51318</v>
      </c>
      <c r="BO29" s="227">
        <f t="shared" si="37"/>
        <v>51410</v>
      </c>
      <c r="BP29" s="227">
        <f t="shared" si="37"/>
        <v>51502</v>
      </c>
      <c r="BQ29" s="227">
        <f t="shared" si="37"/>
        <v>51592</v>
      </c>
      <c r="BR29" s="227">
        <f t="shared" si="37"/>
        <v>51683</v>
      </c>
      <c r="BS29" s="480"/>
    </row>
    <row r="30" spans="2:16384" ht="45">
      <c r="B30" s="479"/>
      <c r="C30" s="318" t="str">
        <f>"Сумма, "&amp;Единица_измерения&amp;" в т.ч. НДС"</f>
        <v>Сумма, тыс. руб. в т.ч. НДС</v>
      </c>
      <c r="D30" s="318" t="s">
        <v>312</v>
      </c>
      <c r="E30" s="318" t="s">
        <v>213</v>
      </c>
      <c r="F30" s="318" t="s">
        <v>554</v>
      </c>
      <c r="G30" s="479"/>
      <c r="H30" s="5"/>
      <c r="I30" s="479"/>
      <c r="J30" s="227">
        <f>EOMONTH(J29,Месяцев_в_квартале-1)</f>
        <v>46295</v>
      </c>
      <c r="K30" s="227">
        <f t="shared" ref="K30:AC30" si="38">EOMONTH(K29,Месяцев_в_квартале-1)</f>
        <v>46387</v>
      </c>
      <c r="L30" s="227">
        <f t="shared" si="38"/>
        <v>46477</v>
      </c>
      <c r="M30" s="227">
        <f t="shared" si="38"/>
        <v>46568</v>
      </c>
      <c r="N30" s="227">
        <f t="shared" si="38"/>
        <v>46660</v>
      </c>
      <c r="O30" s="227">
        <f t="shared" si="38"/>
        <v>46752</v>
      </c>
      <c r="P30" s="227">
        <f t="shared" si="38"/>
        <v>46843</v>
      </c>
      <c r="Q30" s="227">
        <f t="shared" si="38"/>
        <v>46934</v>
      </c>
      <c r="R30" s="227">
        <f t="shared" si="38"/>
        <v>47026</v>
      </c>
      <c r="S30" s="227">
        <f t="shared" si="38"/>
        <v>47118</v>
      </c>
      <c r="T30" s="227">
        <f t="shared" si="38"/>
        <v>47208</v>
      </c>
      <c r="U30" s="227">
        <f t="shared" si="38"/>
        <v>47299</v>
      </c>
      <c r="V30" s="227">
        <f t="shared" si="38"/>
        <v>47391</v>
      </c>
      <c r="W30" s="227">
        <f t="shared" si="38"/>
        <v>47483</v>
      </c>
      <c r="X30" s="227">
        <f t="shared" si="38"/>
        <v>47573</v>
      </c>
      <c r="Y30" s="227">
        <f t="shared" si="38"/>
        <v>47664</v>
      </c>
      <c r="Z30" s="227">
        <f t="shared" si="38"/>
        <v>47756</v>
      </c>
      <c r="AA30" s="227">
        <f t="shared" si="38"/>
        <v>47848</v>
      </c>
      <c r="AB30" s="227">
        <f t="shared" si="38"/>
        <v>47938</v>
      </c>
      <c r="AC30" s="227">
        <f t="shared" si="38"/>
        <v>48029</v>
      </c>
      <c r="AD30" s="227">
        <f t="shared" ref="AD30:AL30" si="39">EOMONTH(AD29,Месяцев_в_квартале-1)</f>
        <v>48121</v>
      </c>
      <c r="AE30" s="227">
        <f t="shared" si="39"/>
        <v>48213</v>
      </c>
      <c r="AF30" s="227">
        <f t="shared" si="39"/>
        <v>48304</v>
      </c>
      <c r="AG30" s="227">
        <f t="shared" si="39"/>
        <v>48395</v>
      </c>
      <c r="AH30" s="227">
        <f t="shared" si="39"/>
        <v>48487</v>
      </c>
      <c r="AI30" s="227">
        <f t="shared" si="39"/>
        <v>48579</v>
      </c>
      <c r="AJ30" s="227">
        <f t="shared" si="39"/>
        <v>48669</v>
      </c>
      <c r="AK30" s="227">
        <f t="shared" si="39"/>
        <v>48760</v>
      </c>
      <c r="AL30" s="227">
        <f t="shared" si="39"/>
        <v>48852</v>
      </c>
      <c r="AM30" s="227">
        <f t="shared" ref="AM30:AP30" si="40">EOMONTH(AM29,Месяцев_в_квартале-1)</f>
        <v>48944</v>
      </c>
      <c r="AN30" s="227">
        <f t="shared" si="40"/>
        <v>49034</v>
      </c>
      <c r="AO30" s="227">
        <f t="shared" si="40"/>
        <v>49125</v>
      </c>
      <c r="AP30" s="227">
        <f t="shared" si="40"/>
        <v>49217</v>
      </c>
      <c r="AQ30" s="227">
        <f t="shared" ref="AQ30:AT30" si="41">EOMONTH(AQ29,Месяцев_в_квартале-1)</f>
        <v>49309</v>
      </c>
      <c r="AR30" s="227">
        <f t="shared" si="41"/>
        <v>49399</v>
      </c>
      <c r="AS30" s="227">
        <f t="shared" si="41"/>
        <v>49490</v>
      </c>
      <c r="AT30" s="227">
        <f t="shared" si="41"/>
        <v>49582</v>
      </c>
      <c r="AU30" s="227">
        <f t="shared" ref="AU30:BB30" si="42">EOMONTH(AU29,Месяцев_в_квартале-1)</f>
        <v>49674</v>
      </c>
      <c r="AV30" s="227">
        <f t="shared" si="42"/>
        <v>49765</v>
      </c>
      <c r="AW30" s="227">
        <f t="shared" si="42"/>
        <v>49856</v>
      </c>
      <c r="AX30" s="227">
        <f t="shared" si="42"/>
        <v>49948</v>
      </c>
      <c r="AY30" s="227">
        <f t="shared" si="42"/>
        <v>50040</v>
      </c>
      <c r="AZ30" s="227">
        <f t="shared" si="42"/>
        <v>50130</v>
      </c>
      <c r="BA30" s="227">
        <f t="shared" si="42"/>
        <v>50221</v>
      </c>
      <c r="BB30" s="227">
        <f t="shared" si="42"/>
        <v>50313</v>
      </c>
      <c r="BC30" s="227">
        <f t="shared" ref="BC30:BF30" si="43">EOMONTH(BC29,Месяцев_в_квартале-1)</f>
        <v>50405</v>
      </c>
      <c r="BD30" s="227">
        <f t="shared" si="43"/>
        <v>50495</v>
      </c>
      <c r="BE30" s="227">
        <f t="shared" si="43"/>
        <v>50586</v>
      </c>
      <c r="BF30" s="227">
        <f t="shared" si="43"/>
        <v>50678</v>
      </c>
      <c r="BG30" s="227">
        <f t="shared" ref="BG30:BJ30" si="44">EOMONTH(BG29,Месяцев_в_квартале-1)</f>
        <v>50770</v>
      </c>
      <c r="BH30" s="227">
        <f t="shared" si="44"/>
        <v>50860</v>
      </c>
      <c r="BI30" s="227">
        <f t="shared" si="44"/>
        <v>50951</v>
      </c>
      <c r="BJ30" s="227">
        <f t="shared" si="44"/>
        <v>51043</v>
      </c>
      <c r="BK30" s="227">
        <f t="shared" ref="BK30:BN30" si="45">EOMONTH(BK29,Месяцев_в_квартале-1)</f>
        <v>51135</v>
      </c>
      <c r="BL30" s="227">
        <f t="shared" si="45"/>
        <v>51226</v>
      </c>
      <c r="BM30" s="227">
        <f t="shared" si="45"/>
        <v>51317</v>
      </c>
      <c r="BN30" s="227">
        <f t="shared" si="45"/>
        <v>51409</v>
      </c>
      <c r="BO30" s="227">
        <f t="shared" ref="BO30:BP30" si="46">EOMONTH(BO29,Месяцев_в_квартале-1)</f>
        <v>51501</v>
      </c>
      <c r="BP30" s="227">
        <f t="shared" si="46"/>
        <v>51591</v>
      </c>
      <c r="BQ30" s="227">
        <f t="shared" ref="BQ30:BR30" si="47">EOMONTH(BQ29,Месяцев_в_квартале-1)</f>
        <v>51682</v>
      </c>
      <c r="BR30" s="227">
        <f t="shared" si="47"/>
        <v>51774</v>
      </c>
      <c r="BS30" s="481"/>
    </row>
    <row r="31" spans="2:16384" ht="15" customHeight="1">
      <c r="B31" s="349"/>
      <c r="C31" s="288"/>
      <c r="D31" s="288"/>
      <c r="E31" s="288"/>
      <c r="F31" s="320">
        <f t="array" aca="1" ref="F31" ca="1">C31+IFERROR(SUM(E31*(J31:BR31)*OFFSET(support!$C$9:$BK$9,MATCH($D31,support!$B$10:$B$13,0),0)),0)</f>
        <v>0</v>
      </c>
      <c r="G31" s="71">
        <f t="shared" ref="G31:G70" si="48">IFERROR(MATCH(D31,$H$13:$H$16,0),1)</f>
        <v>1</v>
      </c>
      <c r="H31" s="5"/>
      <c r="I31" s="246">
        <f t="shared" ref="I31" si="49">SUM(J31:BU31)</f>
        <v>0</v>
      </c>
      <c r="J31" s="284"/>
      <c r="K31" s="284"/>
      <c r="L31" s="284"/>
      <c r="M31" s="284"/>
      <c r="N31" s="284"/>
      <c r="O31" s="284"/>
      <c r="P31" s="284"/>
      <c r="Q31" s="284"/>
      <c r="R31" s="284"/>
      <c r="S31" s="284"/>
      <c r="T31" s="284"/>
      <c r="U31" s="284"/>
      <c r="V31" s="284"/>
      <c r="W31" s="284"/>
      <c r="X31" s="284"/>
      <c r="Y31" s="284"/>
      <c r="Z31" s="284"/>
      <c r="AA31" s="284"/>
      <c r="AB31" s="284"/>
      <c r="AC31" s="284"/>
      <c r="AD31" s="284"/>
      <c r="AE31" s="284"/>
      <c r="AF31" s="284"/>
      <c r="AG31" s="284"/>
      <c r="AH31" s="284"/>
      <c r="AI31" s="284"/>
      <c r="AJ31" s="284"/>
      <c r="AK31" s="284"/>
      <c r="AL31" s="284"/>
      <c r="AM31" s="284"/>
      <c r="AN31" s="284"/>
      <c r="AO31" s="284"/>
      <c r="AP31" s="284"/>
      <c r="AQ31" s="284"/>
      <c r="AR31" s="284"/>
      <c r="AS31" s="284"/>
      <c r="AT31" s="284"/>
      <c r="AU31" s="284"/>
      <c r="AV31" s="284"/>
      <c r="AW31" s="284"/>
      <c r="AX31" s="284"/>
      <c r="AY31" s="284"/>
      <c r="AZ31" s="284"/>
      <c r="BA31" s="284"/>
      <c r="BB31" s="284"/>
      <c r="BC31" s="284"/>
      <c r="BD31" s="284"/>
      <c r="BE31" s="284"/>
      <c r="BF31" s="284"/>
      <c r="BG31" s="284"/>
      <c r="BH31" s="284"/>
      <c r="BI31" s="284"/>
      <c r="BJ31" s="284"/>
      <c r="BK31" s="284"/>
      <c r="BL31" s="284"/>
      <c r="BM31" s="284"/>
      <c r="BN31" s="284"/>
      <c r="BO31" s="284"/>
      <c r="BP31" s="284"/>
      <c r="BQ31" s="284"/>
      <c r="BR31" s="284"/>
      <c r="BS31" s="73" t="str">
        <f t="shared" ref="BS31:BS70" si="50">IF(E31=0,"R",IF(SUM(J31:BR31)=1,"R","Q"))</f>
        <v>R</v>
      </c>
    </row>
    <row r="32" spans="2:16384" ht="15" customHeight="1">
      <c r="B32" s="349"/>
      <c r="C32" s="288"/>
      <c r="D32" s="288"/>
      <c r="E32" s="288"/>
      <c r="F32" s="320">
        <f t="array" aca="1" ref="F32" ca="1">C32+IFERROR(SUM(E32*(J32:BR32)*OFFSET(support!$C$9:$BK$9,MATCH($D32,support!$B$10:$B$13,0),0)),0)</f>
        <v>0</v>
      </c>
      <c r="G32" s="71">
        <f t="shared" si="48"/>
        <v>1</v>
      </c>
      <c r="H32" s="5"/>
      <c r="I32" s="246">
        <f t="shared" ref="I32:I70" si="51">SUM(J32:BU32)</f>
        <v>0</v>
      </c>
      <c r="J32" s="284"/>
      <c r="K32" s="284"/>
      <c r="L32" s="284"/>
      <c r="M32" s="284"/>
      <c r="N32" s="284"/>
      <c r="O32" s="284"/>
      <c r="P32" s="284"/>
      <c r="Q32" s="284"/>
      <c r="R32" s="284"/>
      <c r="S32" s="284"/>
      <c r="T32" s="284"/>
      <c r="U32" s="284"/>
      <c r="V32" s="284"/>
      <c r="W32" s="284"/>
      <c r="X32" s="284"/>
      <c r="Y32" s="284"/>
      <c r="Z32" s="284"/>
      <c r="AA32" s="284"/>
      <c r="AB32" s="284"/>
      <c r="AC32" s="284"/>
      <c r="AD32" s="284"/>
      <c r="AE32" s="284"/>
      <c r="AF32" s="284"/>
      <c r="AG32" s="284"/>
      <c r="AH32" s="284"/>
      <c r="AI32" s="284"/>
      <c r="AJ32" s="284"/>
      <c r="AK32" s="284"/>
      <c r="AL32" s="284"/>
      <c r="AM32" s="284"/>
      <c r="AN32" s="284"/>
      <c r="AO32" s="284"/>
      <c r="AP32" s="284"/>
      <c r="AQ32" s="284"/>
      <c r="AR32" s="284"/>
      <c r="AS32" s="284"/>
      <c r="AT32" s="284"/>
      <c r="AU32" s="284"/>
      <c r="AV32" s="284"/>
      <c r="AW32" s="284"/>
      <c r="AX32" s="284"/>
      <c r="AY32" s="284"/>
      <c r="AZ32" s="284"/>
      <c r="BA32" s="284"/>
      <c r="BB32" s="284"/>
      <c r="BC32" s="284"/>
      <c r="BD32" s="284"/>
      <c r="BE32" s="284"/>
      <c r="BF32" s="284"/>
      <c r="BG32" s="284"/>
      <c r="BH32" s="284"/>
      <c r="BI32" s="284"/>
      <c r="BJ32" s="284"/>
      <c r="BK32" s="284"/>
      <c r="BL32" s="284"/>
      <c r="BM32" s="284"/>
      <c r="BN32" s="284"/>
      <c r="BO32" s="284"/>
      <c r="BP32" s="284"/>
      <c r="BQ32" s="284"/>
      <c r="BR32" s="284"/>
      <c r="BS32" s="73" t="str">
        <f t="shared" si="50"/>
        <v>R</v>
      </c>
    </row>
    <row r="33" spans="2:71" ht="15" customHeight="1">
      <c r="B33" s="349"/>
      <c r="C33" s="288"/>
      <c r="D33" s="288"/>
      <c r="E33" s="288"/>
      <c r="F33" s="320">
        <f t="array" aca="1" ref="F33" ca="1">C33+IFERROR(SUM(E33*(J33:BR33)*OFFSET(support!$C$9:$BK$9,MATCH($D33,support!$B$10:$B$13,0),0)),0)</f>
        <v>0</v>
      </c>
      <c r="G33" s="71">
        <f t="shared" si="48"/>
        <v>1</v>
      </c>
      <c r="H33" s="5"/>
      <c r="I33" s="246">
        <f t="shared" si="51"/>
        <v>0</v>
      </c>
      <c r="J33" s="284"/>
      <c r="K33" s="284"/>
      <c r="L33" s="284"/>
      <c r="M33" s="284"/>
      <c r="N33" s="289"/>
      <c r="O33" s="289"/>
      <c r="P33" s="289"/>
      <c r="Q33" s="289"/>
      <c r="R33" s="289"/>
      <c r="S33" s="289"/>
      <c r="T33" s="284"/>
      <c r="U33" s="284"/>
      <c r="V33" s="284"/>
      <c r="W33" s="284"/>
      <c r="X33" s="284"/>
      <c r="Y33" s="284"/>
      <c r="Z33" s="284"/>
      <c r="AA33" s="284"/>
      <c r="AB33" s="284"/>
      <c r="AC33" s="284"/>
      <c r="AD33" s="284"/>
      <c r="AE33" s="284"/>
      <c r="AF33" s="284"/>
      <c r="AG33" s="284"/>
      <c r="AH33" s="284"/>
      <c r="AI33" s="284"/>
      <c r="AJ33" s="284"/>
      <c r="AK33" s="284"/>
      <c r="AL33" s="284"/>
      <c r="AM33" s="284"/>
      <c r="AN33" s="284"/>
      <c r="AO33" s="284"/>
      <c r="AP33" s="284"/>
      <c r="AQ33" s="284"/>
      <c r="AR33" s="284"/>
      <c r="AS33" s="284"/>
      <c r="AT33" s="284"/>
      <c r="AU33" s="284"/>
      <c r="AV33" s="284"/>
      <c r="AW33" s="284"/>
      <c r="AX33" s="284"/>
      <c r="AY33" s="284"/>
      <c r="AZ33" s="284"/>
      <c r="BA33" s="284"/>
      <c r="BB33" s="284"/>
      <c r="BC33" s="284"/>
      <c r="BD33" s="284"/>
      <c r="BE33" s="284"/>
      <c r="BF33" s="284"/>
      <c r="BG33" s="284"/>
      <c r="BH33" s="284"/>
      <c r="BI33" s="284"/>
      <c r="BJ33" s="284"/>
      <c r="BK33" s="284"/>
      <c r="BL33" s="284"/>
      <c r="BM33" s="284"/>
      <c r="BN33" s="284"/>
      <c r="BO33" s="284"/>
      <c r="BP33" s="284"/>
      <c r="BQ33" s="284"/>
      <c r="BR33" s="284"/>
      <c r="BS33" s="73" t="str">
        <f t="shared" si="50"/>
        <v>R</v>
      </c>
    </row>
    <row r="34" spans="2:71" ht="15" customHeight="1">
      <c r="B34" s="349"/>
      <c r="C34" s="288"/>
      <c r="D34" s="288"/>
      <c r="E34" s="288"/>
      <c r="F34" s="320">
        <f t="array" aca="1" ref="F34" ca="1">C34+IFERROR(SUM(E34*(J34:BR34)*OFFSET(support!$C$9:$BK$9,MATCH($D34,support!$B$10:$B$13,0),0)),0)</f>
        <v>0</v>
      </c>
      <c r="G34" s="71">
        <f t="shared" si="48"/>
        <v>1</v>
      </c>
      <c r="H34" s="5"/>
      <c r="I34" s="246">
        <f t="shared" si="51"/>
        <v>0</v>
      </c>
      <c r="J34" s="284"/>
      <c r="K34" s="284"/>
      <c r="L34" s="284"/>
      <c r="M34" s="284"/>
      <c r="N34" s="289"/>
      <c r="O34" s="289"/>
      <c r="P34" s="289"/>
      <c r="Q34" s="289"/>
      <c r="R34" s="289"/>
      <c r="S34" s="289"/>
      <c r="T34" s="284"/>
      <c r="U34" s="284"/>
      <c r="V34" s="284"/>
      <c r="W34" s="284"/>
      <c r="X34" s="284"/>
      <c r="Y34" s="284"/>
      <c r="Z34" s="284"/>
      <c r="AA34" s="284"/>
      <c r="AB34" s="284"/>
      <c r="AC34" s="284"/>
      <c r="AD34" s="284"/>
      <c r="AE34" s="284"/>
      <c r="AF34" s="284"/>
      <c r="AG34" s="284"/>
      <c r="AH34" s="284"/>
      <c r="AI34" s="284"/>
      <c r="AJ34" s="284"/>
      <c r="AK34" s="284"/>
      <c r="AL34" s="284"/>
      <c r="AM34" s="284"/>
      <c r="AN34" s="284"/>
      <c r="AO34" s="284"/>
      <c r="AP34" s="284"/>
      <c r="AQ34" s="284"/>
      <c r="AR34" s="284"/>
      <c r="AS34" s="284"/>
      <c r="AT34" s="284"/>
      <c r="AU34" s="284"/>
      <c r="AV34" s="284"/>
      <c r="AW34" s="284"/>
      <c r="AX34" s="284"/>
      <c r="AY34" s="284"/>
      <c r="AZ34" s="284"/>
      <c r="BA34" s="284"/>
      <c r="BB34" s="284"/>
      <c r="BC34" s="284"/>
      <c r="BD34" s="284"/>
      <c r="BE34" s="284"/>
      <c r="BF34" s="284"/>
      <c r="BG34" s="284"/>
      <c r="BH34" s="284"/>
      <c r="BI34" s="284"/>
      <c r="BJ34" s="284"/>
      <c r="BK34" s="284"/>
      <c r="BL34" s="284"/>
      <c r="BM34" s="284"/>
      <c r="BN34" s="284"/>
      <c r="BO34" s="284"/>
      <c r="BP34" s="284"/>
      <c r="BQ34" s="284"/>
      <c r="BR34" s="284"/>
      <c r="BS34" s="73" t="str">
        <f t="shared" si="50"/>
        <v>R</v>
      </c>
    </row>
    <row r="35" spans="2:71" ht="15" customHeight="1">
      <c r="B35" s="349"/>
      <c r="C35" s="288"/>
      <c r="D35" s="288"/>
      <c r="E35" s="288"/>
      <c r="F35" s="320">
        <f t="array" aca="1" ref="F35" ca="1">C35+IFERROR(SUM(E35*(J35:BR35)*OFFSET(support!$C$9:$BK$9,MATCH($D35,support!$B$10:$B$13,0),0)),0)</f>
        <v>0</v>
      </c>
      <c r="G35" s="71">
        <f t="shared" si="48"/>
        <v>1</v>
      </c>
      <c r="H35" s="5"/>
      <c r="I35" s="246">
        <f t="shared" si="51"/>
        <v>0</v>
      </c>
      <c r="J35" s="284"/>
      <c r="K35" s="284"/>
      <c r="L35" s="284"/>
      <c r="M35" s="284"/>
      <c r="N35" s="288"/>
      <c r="O35" s="288"/>
      <c r="P35" s="288"/>
      <c r="Q35" s="289"/>
      <c r="R35" s="289"/>
      <c r="S35" s="289"/>
      <c r="T35" s="284"/>
      <c r="U35" s="284"/>
      <c r="V35" s="284"/>
      <c r="W35" s="284"/>
      <c r="X35" s="284"/>
      <c r="Y35" s="284"/>
      <c r="Z35" s="284"/>
      <c r="AA35" s="284"/>
      <c r="AB35" s="284"/>
      <c r="AC35" s="284"/>
      <c r="AD35" s="284"/>
      <c r="AE35" s="284"/>
      <c r="AF35" s="284"/>
      <c r="AG35" s="284"/>
      <c r="AH35" s="284"/>
      <c r="AI35" s="284"/>
      <c r="AJ35" s="284"/>
      <c r="AK35" s="284"/>
      <c r="AL35" s="284"/>
      <c r="AM35" s="284"/>
      <c r="AN35" s="284"/>
      <c r="AO35" s="284"/>
      <c r="AP35" s="284"/>
      <c r="AQ35" s="284"/>
      <c r="AR35" s="284"/>
      <c r="AS35" s="284"/>
      <c r="AT35" s="284"/>
      <c r="AU35" s="284"/>
      <c r="AV35" s="284"/>
      <c r="AW35" s="284"/>
      <c r="AX35" s="284"/>
      <c r="AY35" s="284"/>
      <c r="AZ35" s="284"/>
      <c r="BA35" s="284"/>
      <c r="BB35" s="284"/>
      <c r="BC35" s="284"/>
      <c r="BD35" s="284"/>
      <c r="BE35" s="284"/>
      <c r="BF35" s="284"/>
      <c r="BG35" s="284"/>
      <c r="BH35" s="284"/>
      <c r="BI35" s="284"/>
      <c r="BJ35" s="284"/>
      <c r="BK35" s="284"/>
      <c r="BL35" s="284"/>
      <c r="BM35" s="284"/>
      <c r="BN35" s="284"/>
      <c r="BO35" s="284"/>
      <c r="BP35" s="284"/>
      <c r="BQ35" s="284"/>
      <c r="BR35" s="284"/>
      <c r="BS35" s="73" t="str">
        <f t="shared" si="50"/>
        <v>R</v>
      </c>
    </row>
    <row r="36" spans="2:71" ht="15" customHeight="1">
      <c r="B36" s="349"/>
      <c r="C36" s="288"/>
      <c r="D36" s="288"/>
      <c r="E36" s="288"/>
      <c r="F36" s="320">
        <f t="array" aca="1" ref="F36" ca="1">C36+IFERROR(SUM(E36*(J36:BR36)*OFFSET(support!$C$9:$BK$9,MATCH($D36,support!$B$10:$B$13,0),0)),0)</f>
        <v>0</v>
      </c>
      <c r="G36" s="71">
        <f t="shared" si="48"/>
        <v>1</v>
      </c>
      <c r="H36" s="5"/>
      <c r="I36" s="246">
        <f t="shared" si="51"/>
        <v>0</v>
      </c>
      <c r="J36" s="284"/>
      <c r="K36" s="284"/>
      <c r="L36" s="284"/>
      <c r="M36" s="284"/>
      <c r="N36" s="289"/>
      <c r="O36" s="289"/>
      <c r="P36" s="289"/>
      <c r="Q36" s="289"/>
      <c r="R36" s="289"/>
      <c r="S36" s="289"/>
      <c r="T36" s="284"/>
      <c r="U36" s="284"/>
      <c r="V36" s="284"/>
      <c r="W36" s="284"/>
      <c r="X36" s="284"/>
      <c r="Y36" s="284"/>
      <c r="Z36" s="284"/>
      <c r="AA36" s="284"/>
      <c r="AB36" s="284"/>
      <c r="AC36" s="284"/>
      <c r="AD36" s="284"/>
      <c r="AE36" s="284"/>
      <c r="AF36" s="284"/>
      <c r="AG36" s="284"/>
      <c r="AH36" s="284"/>
      <c r="AI36" s="284"/>
      <c r="AJ36" s="284"/>
      <c r="AK36" s="284"/>
      <c r="AL36" s="284"/>
      <c r="AM36" s="284"/>
      <c r="AN36" s="284"/>
      <c r="AO36" s="284"/>
      <c r="AP36" s="284"/>
      <c r="AQ36" s="284"/>
      <c r="AR36" s="284"/>
      <c r="AS36" s="284"/>
      <c r="AT36" s="284"/>
      <c r="AU36" s="284"/>
      <c r="AV36" s="284"/>
      <c r="AW36" s="284"/>
      <c r="AX36" s="284"/>
      <c r="AY36" s="284"/>
      <c r="AZ36" s="284"/>
      <c r="BA36" s="284"/>
      <c r="BB36" s="284"/>
      <c r="BC36" s="284"/>
      <c r="BD36" s="284"/>
      <c r="BE36" s="284"/>
      <c r="BF36" s="284"/>
      <c r="BG36" s="284"/>
      <c r="BH36" s="284"/>
      <c r="BI36" s="284"/>
      <c r="BJ36" s="284"/>
      <c r="BK36" s="284"/>
      <c r="BL36" s="284"/>
      <c r="BM36" s="284"/>
      <c r="BN36" s="284"/>
      <c r="BO36" s="284"/>
      <c r="BP36" s="284"/>
      <c r="BQ36" s="284"/>
      <c r="BR36" s="284"/>
      <c r="BS36" s="73" t="str">
        <f t="shared" si="50"/>
        <v>R</v>
      </c>
    </row>
    <row r="37" spans="2:71" ht="15" customHeight="1">
      <c r="B37" s="349"/>
      <c r="C37" s="288"/>
      <c r="D37" s="288"/>
      <c r="E37" s="288"/>
      <c r="F37" s="320">
        <f t="array" aca="1" ref="F37" ca="1">C37+IFERROR(SUM(E37*(J37:BR37)*OFFSET(support!$C$9:$BK$9,MATCH($D37,support!$B$10:$B$13,0),0)),0)</f>
        <v>0</v>
      </c>
      <c r="G37" s="71">
        <f t="shared" si="48"/>
        <v>1</v>
      </c>
      <c r="H37" s="5"/>
      <c r="I37" s="246">
        <f t="shared" si="51"/>
        <v>0</v>
      </c>
      <c r="J37" s="284"/>
      <c r="K37" s="284"/>
      <c r="L37" s="284"/>
      <c r="M37" s="284"/>
      <c r="N37" s="288"/>
      <c r="O37" s="288"/>
      <c r="P37" s="288"/>
      <c r="Q37" s="289"/>
      <c r="R37" s="289"/>
      <c r="S37" s="289"/>
      <c r="T37" s="284"/>
      <c r="U37" s="284"/>
      <c r="V37" s="284"/>
      <c r="W37" s="284"/>
      <c r="X37" s="284"/>
      <c r="Y37" s="284"/>
      <c r="Z37" s="284"/>
      <c r="AA37" s="284"/>
      <c r="AB37" s="284"/>
      <c r="AC37" s="284"/>
      <c r="AD37" s="284"/>
      <c r="AE37" s="284"/>
      <c r="AF37" s="284"/>
      <c r="AG37" s="284"/>
      <c r="AH37" s="284"/>
      <c r="AI37" s="284"/>
      <c r="AJ37" s="284"/>
      <c r="AK37" s="284"/>
      <c r="AL37" s="284"/>
      <c r="AM37" s="284"/>
      <c r="AN37" s="284"/>
      <c r="AO37" s="284"/>
      <c r="AP37" s="284"/>
      <c r="AQ37" s="284"/>
      <c r="AR37" s="284"/>
      <c r="AS37" s="284"/>
      <c r="AT37" s="284"/>
      <c r="AU37" s="284"/>
      <c r="AV37" s="284"/>
      <c r="AW37" s="284"/>
      <c r="AX37" s="284"/>
      <c r="AY37" s="284"/>
      <c r="AZ37" s="284"/>
      <c r="BA37" s="284"/>
      <c r="BB37" s="284"/>
      <c r="BC37" s="284"/>
      <c r="BD37" s="284"/>
      <c r="BE37" s="284"/>
      <c r="BF37" s="284"/>
      <c r="BG37" s="284"/>
      <c r="BH37" s="284"/>
      <c r="BI37" s="284"/>
      <c r="BJ37" s="284"/>
      <c r="BK37" s="284"/>
      <c r="BL37" s="284"/>
      <c r="BM37" s="284"/>
      <c r="BN37" s="284"/>
      <c r="BO37" s="284"/>
      <c r="BP37" s="284"/>
      <c r="BQ37" s="284"/>
      <c r="BR37" s="284"/>
      <c r="BS37" s="73" t="str">
        <f t="shared" si="50"/>
        <v>R</v>
      </c>
    </row>
    <row r="38" spans="2:71" ht="15" customHeight="1">
      <c r="B38" s="349"/>
      <c r="C38" s="288"/>
      <c r="D38" s="288"/>
      <c r="E38" s="288"/>
      <c r="F38" s="320">
        <f t="array" aca="1" ref="F38" ca="1">C38+IFERROR(SUM(E38*(J38:BR38)*OFFSET(support!$C$9:$BK$9,MATCH($D38,support!$B$10:$B$13,0),0)),0)</f>
        <v>0</v>
      </c>
      <c r="G38" s="71">
        <f t="shared" si="48"/>
        <v>1</v>
      </c>
      <c r="H38" s="5"/>
      <c r="I38" s="246">
        <f t="shared" si="51"/>
        <v>0</v>
      </c>
      <c r="J38" s="284"/>
      <c r="K38" s="284"/>
      <c r="L38" s="284"/>
      <c r="M38" s="284"/>
      <c r="N38" s="288"/>
      <c r="O38" s="288"/>
      <c r="P38" s="288"/>
      <c r="Q38" s="289"/>
      <c r="R38" s="289"/>
      <c r="S38" s="289"/>
      <c r="T38" s="284"/>
      <c r="U38" s="284"/>
      <c r="V38" s="284"/>
      <c r="W38" s="284"/>
      <c r="X38" s="284"/>
      <c r="Y38" s="284"/>
      <c r="Z38" s="284"/>
      <c r="AA38" s="284"/>
      <c r="AB38" s="284"/>
      <c r="AC38" s="284"/>
      <c r="AD38" s="284"/>
      <c r="AE38" s="284"/>
      <c r="AF38" s="284"/>
      <c r="AG38" s="284"/>
      <c r="AH38" s="284"/>
      <c r="AI38" s="284"/>
      <c r="AJ38" s="284"/>
      <c r="AK38" s="284"/>
      <c r="AL38" s="284"/>
      <c r="AM38" s="284"/>
      <c r="AN38" s="284"/>
      <c r="AO38" s="284"/>
      <c r="AP38" s="284"/>
      <c r="AQ38" s="284"/>
      <c r="AR38" s="284"/>
      <c r="AS38" s="284"/>
      <c r="AT38" s="284"/>
      <c r="AU38" s="284"/>
      <c r="AV38" s="284"/>
      <c r="AW38" s="284"/>
      <c r="AX38" s="284"/>
      <c r="AY38" s="284"/>
      <c r="AZ38" s="284"/>
      <c r="BA38" s="284"/>
      <c r="BB38" s="284"/>
      <c r="BC38" s="284"/>
      <c r="BD38" s="284"/>
      <c r="BE38" s="284"/>
      <c r="BF38" s="284"/>
      <c r="BG38" s="284"/>
      <c r="BH38" s="284"/>
      <c r="BI38" s="284"/>
      <c r="BJ38" s="284"/>
      <c r="BK38" s="284"/>
      <c r="BL38" s="284"/>
      <c r="BM38" s="284"/>
      <c r="BN38" s="284"/>
      <c r="BO38" s="284"/>
      <c r="BP38" s="284"/>
      <c r="BQ38" s="284"/>
      <c r="BR38" s="284"/>
      <c r="BS38" s="73" t="str">
        <f t="shared" si="50"/>
        <v>R</v>
      </c>
    </row>
    <row r="39" spans="2:71" ht="15" customHeight="1">
      <c r="B39" s="349"/>
      <c r="C39" s="288"/>
      <c r="D39" s="288"/>
      <c r="E39" s="288"/>
      <c r="F39" s="320">
        <f t="array" aca="1" ref="F39" ca="1">C39+IFERROR(SUM(E39*(J39:BR39)*OFFSET(support!$C$9:$BK$9,MATCH($D39,support!$B$10:$B$13,0),0)),0)</f>
        <v>0</v>
      </c>
      <c r="G39" s="71">
        <f t="shared" si="48"/>
        <v>1</v>
      </c>
      <c r="H39" s="5"/>
      <c r="I39" s="246">
        <f t="shared" si="51"/>
        <v>0</v>
      </c>
      <c r="J39" s="284"/>
      <c r="K39" s="284"/>
      <c r="L39" s="284"/>
      <c r="M39" s="284"/>
      <c r="N39" s="289"/>
      <c r="O39" s="289"/>
      <c r="P39" s="289"/>
      <c r="Q39" s="289"/>
      <c r="R39" s="289"/>
      <c r="S39" s="289"/>
      <c r="T39" s="284"/>
      <c r="U39" s="284"/>
      <c r="V39" s="284"/>
      <c r="W39" s="284"/>
      <c r="X39" s="284"/>
      <c r="Y39" s="284"/>
      <c r="Z39" s="284"/>
      <c r="AA39" s="284"/>
      <c r="AB39" s="284"/>
      <c r="AC39" s="284"/>
      <c r="AD39" s="284"/>
      <c r="AE39" s="284"/>
      <c r="AF39" s="284"/>
      <c r="AG39" s="284"/>
      <c r="AH39" s="284"/>
      <c r="AI39" s="284"/>
      <c r="AJ39" s="284"/>
      <c r="AK39" s="284"/>
      <c r="AL39" s="284"/>
      <c r="AM39" s="284"/>
      <c r="AN39" s="284"/>
      <c r="AO39" s="284"/>
      <c r="AP39" s="284"/>
      <c r="AQ39" s="284"/>
      <c r="AR39" s="284"/>
      <c r="AS39" s="284"/>
      <c r="AT39" s="284"/>
      <c r="AU39" s="284"/>
      <c r="AV39" s="284"/>
      <c r="AW39" s="284"/>
      <c r="AX39" s="284"/>
      <c r="AY39" s="284"/>
      <c r="AZ39" s="284"/>
      <c r="BA39" s="284"/>
      <c r="BB39" s="284"/>
      <c r="BC39" s="284"/>
      <c r="BD39" s="284"/>
      <c r="BE39" s="284"/>
      <c r="BF39" s="284"/>
      <c r="BG39" s="284"/>
      <c r="BH39" s="284"/>
      <c r="BI39" s="284"/>
      <c r="BJ39" s="284"/>
      <c r="BK39" s="284"/>
      <c r="BL39" s="284"/>
      <c r="BM39" s="284"/>
      <c r="BN39" s="284"/>
      <c r="BO39" s="284"/>
      <c r="BP39" s="284"/>
      <c r="BQ39" s="284"/>
      <c r="BR39" s="284"/>
      <c r="BS39" s="73" t="str">
        <f t="shared" si="50"/>
        <v>R</v>
      </c>
    </row>
    <row r="40" spans="2:71" ht="15" customHeight="1">
      <c r="B40" s="349"/>
      <c r="C40" s="288"/>
      <c r="D40" s="288"/>
      <c r="E40" s="288"/>
      <c r="F40" s="320">
        <f t="array" aca="1" ref="F40" ca="1">C40+IFERROR(SUM(E40*(J40:BR40)*OFFSET(support!$C$9:$BK$9,MATCH($D40,support!$B$10:$B$13,0),0)),0)</f>
        <v>0</v>
      </c>
      <c r="G40" s="71">
        <f t="shared" si="48"/>
        <v>1</v>
      </c>
      <c r="H40" s="5"/>
      <c r="I40" s="246">
        <f t="shared" si="51"/>
        <v>0</v>
      </c>
      <c r="J40" s="284"/>
      <c r="K40" s="284"/>
      <c r="L40" s="284"/>
      <c r="M40" s="284"/>
      <c r="N40" s="289"/>
      <c r="O40" s="289"/>
      <c r="P40" s="289"/>
      <c r="Q40" s="289"/>
      <c r="R40" s="289"/>
      <c r="S40" s="289"/>
      <c r="T40" s="284"/>
      <c r="U40" s="284"/>
      <c r="V40" s="284"/>
      <c r="W40" s="284"/>
      <c r="X40" s="284"/>
      <c r="Y40" s="284"/>
      <c r="Z40" s="284"/>
      <c r="AA40" s="284"/>
      <c r="AB40" s="284"/>
      <c r="AC40" s="284"/>
      <c r="AD40" s="284"/>
      <c r="AE40" s="284"/>
      <c r="AF40" s="284"/>
      <c r="AG40" s="284"/>
      <c r="AH40" s="284"/>
      <c r="AI40" s="284"/>
      <c r="AJ40" s="284"/>
      <c r="AK40" s="284"/>
      <c r="AL40" s="284"/>
      <c r="AM40" s="284"/>
      <c r="AN40" s="284"/>
      <c r="AO40" s="284"/>
      <c r="AP40" s="284"/>
      <c r="AQ40" s="284"/>
      <c r="AR40" s="284"/>
      <c r="AS40" s="284"/>
      <c r="AT40" s="284"/>
      <c r="AU40" s="284"/>
      <c r="AV40" s="284"/>
      <c r="AW40" s="284"/>
      <c r="AX40" s="284"/>
      <c r="AY40" s="284"/>
      <c r="AZ40" s="284"/>
      <c r="BA40" s="284"/>
      <c r="BB40" s="284"/>
      <c r="BC40" s="284"/>
      <c r="BD40" s="284"/>
      <c r="BE40" s="284"/>
      <c r="BF40" s="284"/>
      <c r="BG40" s="284"/>
      <c r="BH40" s="284"/>
      <c r="BI40" s="284"/>
      <c r="BJ40" s="284"/>
      <c r="BK40" s="284"/>
      <c r="BL40" s="284"/>
      <c r="BM40" s="284"/>
      <c r="BN40" s="284"/>
      <c r="BO40" s="284"/>
      <c r="BP40" s="284"/>
      <c r="BQ40" s="284"/>
      <c r="BR40" s="284"/>
      <c r="BS40" s="73" t="str">
        <f t="shared" si="50"/>
        <v>R</v>
      </c>
    </row>
    <row r="41" spans="2:71" ht="15" customHeight="1">
      <c r="B41" s="349"/>
      <c r="C41" s="288"/>
      <c r="D41" s="288"/>
      <c r="E41" s="288"/>
      <c r="F41" s="320">
        <f t="array" aca="1" ref="F41" ca="1">C41+IFERROR(SUM(E41*(J41:BR41)*OFFSET(support!$C$9:$BK$9,MATCH($D41,support!$B$10:$B$13,0),0)),0)</f>
        <v>0</v>
      </c>
      <c r="G41" s="71">
        <f t="shared" si="48"/>
        <v>1</v>
      </c>
      <c r="H41" s="5"/>
      <c r="I41" s="246">
        <f t="shared" si="51"/>
        <v>0</v>
      </c>
      <c r="J41" s="284"/>
      <c r="K41" s="284"/>
      <c r="L41" s="284"/>
      <c r="M41" s="284"/>
      <c r="N41" s="289"/>
      <c r="O41" s="289"/>
      <c r="P41" s="289"/>
      <c r="Q41" s="289"/>
      <c r="R41" s="289"/>
      <c r="S41" s="289"/>
      <c r="T41" s="284"/>
      <c r="U41" s="284"/>
      <c r="V41" s="284"/>
      <c r="W41" s="284"/>
      <c r="X41" s="284"/>
      <c r="Y41" s="284"/>
      <c r="Z41" s="284"/>
      <c r="AA41" s="284"/>
      <c r="AB41" s="284"/>
      <c r="AC41" s="284"/>
      <c r="AD41" s="284"/>
      <c r="AE41" s="284"/>
      <c r="AF41" s="284"/>
      <c r="AG41" s="284"/>
      <c r="AH41" s="284"/>
      <c r="AI41" s="284"/>
      <c r="AJ41" s="284"/>
      <c r="AK41" s="284"/>
      <c r="AL41" s="284"/>
      <c r="AM41" s="284"/>
      <c r="AN41" s="284"/>
      <c r="AO41" s="284"/>
      <c r="AP41" s="284"/>
      <c r="AQ41" s="284"/>
      <c r="AR41" s="284"/>
      <c r="AS41" s="284"/>
      <c r="AT41" s="284"/>
      <c r="AU41" s="284"/>
      <c r="AV41" s="284"/>
      <c r="AW41" s="284"/>
      <c r="AX41" s="284"/>
      <c r="AY41" s="284"/>
      <c r="AZ41" s="284"/>
      <c r="BA41" s="284"/>
      <c r="BB41" s="284"/>
      <c r="BC41" s="284"/>
      <c r="BD41" s="284"/>
      <c r="BE41" s="284"/>
      <c r="BF41" s="284"/>
      <c r="BG41" s="284"/>
      <c r="BH41" s="284"/>
      <c r="BI41" s="284"/>
      <c r="BJ41" s="284"/>
      <c r="BK41" s="284"/>
      <c r="BL41" s="284"/>
      <c r="BM41" s="284"/>
      <c r="BN41" s="284"/>
      <c r="BO41" s="284"/>
      <c r="BP41" s="284"/>
      <c r="BQ41" s="284"/>
      <c r="BR41" s="284"/>
      <c r="BS41" s="73" t="str">
        <f t="shared" si="50"/>
        <v>R</v>
      </c>
    </row>
    <row r="42" spans="2:71" ht="15" customHeight="1">
      <c r="B42" s="349"/>
      <c r="C42" s="288"/>
      <c r="D42" s="288"/>
      <c r="E42" s="288"/>
      <c r="F42" s="320">
        <f t="array" aca="1" ref="F42" ca="1">C42+IFERROR(SUM(E42*(J42:BR42)*OFFSET(support!$C$9:$BK$9,MATCH($D42,support!$B$10:$B$13,0),0)),0)</f>
        <v>0</v>
      </c>
      <c r="G42" s="71">
        <f t="shared" si="48"/>
        <v>1</v>
      </c>
      <c r="H42" s="5"/>
      <c r="I42" s="246">
        <f t="shared" si="51"/>
        <v>0</v>
      </c>
      <c r="J42" s="284"/>
      <c r="K42" s="284"/>
      <c r="L42" s="284"/>
      <c r="M42" s="284"/>
      <c r="N42" s="289"/>
      <c r="O42" s="289"/>
      <c r="P42" s="289"/>
      <c r="Q42" s="289"/>
      <c r="R42" s="289"/>
      <c r="S42" s="289"/>
      <c r="T42" s="284"/>
      <c r="U42" s="284"/>
      <c r="V42" s="284"/>
      <c r="W42" s="284"/>
      <c r="X42" s="284"/>
      <c r="Y42" s="284"/>
      <c r="Z42" s="284"/>
      <c r="AA42" s="284"/>
      <c r="AB42" s="284"/>
      <c r="AC42" s="284"/>
      <c r="AD42" s="284"/>
      <c r="AE42" s="284"/>
      <c r="AF42" s="284"/>
      <c r="AG42" s="284"/>
      <c r="AH42" s="284"/>
      <c r="AI42" s="284"/>
      <c r="AJ42" s="284"/>
      <c r="AK42" s="284"/>
      <c r="AL42" s="284"/>
      <c r="AM42" s="284"/>
      <c r="AN42" s="284"/>
      <c r="AO42" s="284"/>
      <c r="AP42" s="284"/>
      <c r="AQ42" s="284"/>
      <c r="AR42" s="284"/>
      <c r="AS42" s="284"/>
      <c r="AT42" s="284"/>
      <c r="AU42" s="284"/>
      <c r="AV42" s="284"/>
      <c r="AW42" s="284"/>
      <c r="AX42" s="284"/>
      <c r="AY42" s="284"/>
      <c r="AZ42" s="284"/>
      <c r="BA42" s="284"/>
      <c r="BB42" s="284"/>
      <c r="BC42" s="284"/>
      <c r="BD42" s="284"/>
      <c r="BE42" s="284"/>
      <c r="BF42" s="284"/>
      <c r="BG42" s="284"/>
      <c r="BH42" s="284"/>
      <c r="BI42" s="284"/>
      <c r="BJ42" s="284"/>
      <c r="BK42" s="284"/>
      <c r="BL42" s="284"/>
      <c r="BM42" s="284"/>
      <c r="BN42" s="284"/>
      <c r="BO42" s="284"/>
      <c r="BP42" s="284"/>
      <c r="BQ42" s="284"/>
      <c r="BR42" s="284"/>
      <c r="BS42" s="73" t="str">
        <f t="shared" si="50"/>
        <v>R</v>
      </c>
    </row>
    <row r="43" spans="2:71" ht="15" customHeight="1">
      <c r="B43" s="349"/>
      <c r="C43" s="288"/>
      <c r="D43" s="288"/>
      <c r="E43" s="288"/>
      <c r="F43" s="320">
        <f t="array" aca="1" ref="F43" ca="1">C43+IFERROR(SUM(E43*(J43:BR43)*OFFSET(support!$C$9:$BK$9,MATCH($D43,support!$B$10:$B$13,0),0)),0)</f>
        <v>0</v>
      </c>
      <c r="G43" s="71">
        <f t="shared" si="48"/>
        <v>1</v>
      </c>
      <c r="H43" s="5"/>
      <c r="I43" s="246">
        <f t="shared" si="51"/>
        <v>0</v>
      </c>
      <c r="J43" s="284"/>
      <c r="K43" s="284"/>
      <c r="L43" s="284"/>
      <c r="M43" s="284"/>
      <c r="N43" s="289"/>
      <c r="O43" s="289"/>
      <c r="P43" s="289"/>
      <c r="Q43" s="289"/>
      <c r="R43" s="289"/>
      <c r="S43" s="289"/>
      <c r="T43" s="284"/>
      <c r="U43" s="284"/>
      <c r="V43" s="284"/>
      <c r="W43" s="284"/>
      <c r="X43" s="284"/>
      <c r="Y43" s="284"/>
      <c r="Z43" s="284"/>
      <c r="AA43" s="284"/>
      <c r="AB43" s="284"/>
      <c r="AC43" s="284"/>
      <c r="AD43" s="284"/>
      <c r="AE43" s="284"/>
      <c r="AF43" s="284"/>
      <c r="AG43" s="284"/>
      <c r="AH43" s="284"/>
      <c r="AI43" s="284"/>
      <c r="AJ43" s="284"/>
      <c r="AK43" s="284"/>
      <c r="AL43" s="284"/>
      <c r="AM43" s="284"/>
      <c r="AN43" s="284"/>
      <c r="AO43" s="284"/>
      <c r="AP43" s="284"/>
      <c r="AQ43" s="284"/>
      <c r="AR43" s="284"/>
      <c r="AS43" s="284"/>
      <c r="AT43" s="284"/>
      <c r="AU43" s="284"/>
      <c r="AV43" s="284"/>
      <c r="AW43" s="284"/>
      <c r="AX43" s="284"/>
      <c r="AY43" s="284"/>
      <c r="AZ43" s="284"/>
      <c r="BA43" s="284"/>
      <c r="BB43" s="284"/>
      <c r="BC43" s="284"/>
      <c r="BD43" s="284"/>
      <c r="BE43" s="284"/>
      <c r="BF43" s="284"/>
      <c r="BG43" s="284"/>
      <c r="BH43" s="284"/>
      <c r="BI43" s="284"/>
      <c r="BJ43" s="284"/>
      <c r="BK43" s="284"/>
      <c r="BL43" s="284"/>
      <c r="BM43" s="284"/>
      <c r="BN43" s="284"/>
      <c r="BO43" s="284"/>
      <c r="BP43" s="284"/>
      <c r="BQ43" s="284"/>
      <c r="BR43" s="284"/>
      <c r="BS43" s="73" t="str">
        <f t="shared" si="50"/>
        <v>R</v>
      </c>
    </row>
    <row r="44" spans="2:71" ht="15" customHeight="1">
      <c r="B44" s="349"/>
      <c r="C44" s="288"/>
      <c r="D44" s="288"/>
      <c r="E44" s="288"/>
      <c r="F44" s="320">
        <f t="array" aca="1" ref="F44" ca="1">C44+IFERROR(SUM(E44*(J44:BR44)*OFFSET(support!$C$9:$BK$9,MATCH($D44,support!$B$10:$B$13,0),0)),0)</f>
        <v>0</v>
      </c>
      <c r="G44" s="71">
        <f t="shared" si="48"/>
        <v>1</v>
      </c>
      <c r="H44" s="5"/>
      <c r="I44" s="246">
        <f t="shared" si="51"/>
        <v>0</v>
      </c>
      <c r="J44" s="284"/>
      <c r="K44" s="284"/>
      <c r="L44" s="284"/>
      <c r="M44" s="284"/>
      <c r="N44" s="289"/>
      <c r="O44" s="289"/>
      <c r="P44" s="289"/>
      <c r="Q44" s="289"/>
      <c r="R44" s="289"/>
      <c r="S44" s="289"/>
      <c r="T44" s="284"/>
      <c r="U44" s="284"/>
      <c r="V44" s="284"/>
      <c r="W44" s="284"/>
      <c r="X44" s="284"/>
      <c r="Y44" s="284"/>
      <c r="Z44" s="284"/>
      <c r="AA44" s="284"/>
      <c r="AB44" s="284"/>
      <c r="AC44" s="284"/>
      <c r="AD44" s="284"/>
      <c r="AE44" s="284"/>
      <c r="AF44" s="284"/>
      <c r="AG44" s="284"/>
      <c r="AH44" s="284"/>
      <c r="AI44" s="284"/>
      <c r="AJ44" s="284"/>
      <c r="AK44" s="284"/>
      <c r="AL44" s="284"/>
      <c r="AM44" s="284"/>
      <c r="AN44" s="284"/>
      <c r="AO44" s="284"/>
      <c r="AP44" s="284"/>
      <c r="AQ44" s="284"/>
      <c r="AR44" s="284"/>
      <c r="AS44" s="284"/>
      <c r="AT44" s="284"/>
      <c r="AU44" s="284"/>
      <c r="AV44" s="284"/>
      <c r="AW44" s="284"/>
      <c r="AX44" s="284"/>
      <c r="AY44" s="284"/>
      <c r="AZ44" s="284"/>
      <c r="BA44" s="284"/>
      <c r="BB44" s="284"/>
      <c r="BC44" s="284"/>
      <c r="BD44" s="284"/>
      <c r="BE44" s="284"/>
      <c r="BF44" s="284"/>
      <c r="BG44" s="284"/>
      <c r="BH44" s="284"/>
      <c r="BI44" s="284"/>
      <c r="BJ44" s="284"/>
      <c r="BK44" s="284"/>
      <c r="BL44" s="284"/>
      <c r="BM44" s="284"/>
      <c r="BN44" s="284"/>
      <c r="BO44" s="284"/>
      <c r="BP44" s="284"/>
      <c r="BQ44" s="284"/>
      <c r="BR44" s="284"/>
      <c r="BS44" s="73" t="str">
        <f t="shared" si="50"/>
        <v>R</v>
      </c>
    </row>
    <row r="45" spans="2:71" ht="15" customHeight="1">
      <c r="B45" s="349"/>
      <c r="C45" s="288"/>
      <c r="D45" s="288"/>
      <c r="E45" s="288"/>
      <c r="F45" s="320">
        <f t="array" aca="1" ref="F45" ca="1">C45+IFERROR(SUM(E45*(J45:BR45)*OFFSET(support!$C$9:$BK$9,MATCH($D45,support!$B$10:$B$13,0),0)),0)</f>
        <v>0</v>
      </c>
      <c r="G45" s="71">
        <f t="shared" si="48"/>
        <v>1</v>
      </c>
      <c r="H45" s="5"/>
      <c r="I45" s="246">
        <f t="shared" si="51"/>
        <v>0</v>
      </c>
      <c r="J45" s="284"/>
      <c r="K45" s="284"/>
      <c r="L45" s="284"/>
      <c r="M45" s="284"/>
      <c r="N45" s="289"/>
      <c r="O45" s="289"/>
      <c r="P45" s="289"/>
      <c r="Q45" s="289"/>
      <c r="R45" s="289"/>
      <c r="S45" s="289"/>
      <c r="T45" s="284"/>
      <c r="U45" s="284"/>
      <c r="V45" s="284"/>
      <c r="W45" s="284"/>
      <c r="X45" s="284"/>
      <c r="Y45" s="284"/>
      <c r="Z45" s="284"/>
      <c r="AA45" s="284"/>
      <c r="AB45" s="284"/>
      <c r="AC45" s="284"/>
      <c r="AD45" s="284"/>
      <c r="AE45" s="284"/>
      <c r="AF45" s="284"/>
      <c r="AG45" s="284"/>
      <c r="AH45" s="284"/>
      <c r="AI45" s="284"/>
      <c r="AJ45" s="284"/>
      <c r="AK45" s="284"/>
      <c r="AL45" s="284"/>
      <c r="AM45" s="284"/>
      <c r="AN45" s="284"/>
      <c r="AO45" s="284"/>
      <c r="AP45" s="284"/>
      <c r="AQ45" s="284"/>
      <c r="AR45" s="284"/>
      <c r="AS45" s="284"/>
      <c r="AT45" s="284"/>
      <c r="AU45" s="284"/>
      <c r="AV45" s="284"/>
      <c r="AW45" s="284"/>
      <c r="AX45" s="284"/>
      <c r="AY45" s="284"/>
      <c r="AZ45" s="284"/>
      <c r="BA45" s="284"/>
      <c r="BB45" s="284"/>
      <c r="BC45" s="284"/>
      <c r="BD45" s="284"/>
      <c r="BE45" s="284"/>
      <c r="BF45" s="284"/>
      <c r="BG45" s="284"/>
      <c r="BH45" s="284"/>
      <c r="BI45" s="284"/>
      <c r="BJ45" s="284"/>
      <c r="BK45" s="284"/>
      <c r="BL45" s="284"/>
      <c r="BM45" s="284"/>
      <c r="BN45" s="284"/>
      <c r="BO45" s="284"/>
      <c r="BP45" s="284"/>
      <c r="BQ45" s="284"/>
      <c r="BR45" s="284"/>
      <c r="BS45" s="73" t="str">
        <f t="shared" si="50"/>
        <v>R</v>
      </c>
    </row>
    <row r="46" spans="2:71" ht="15" customHeight="1">
      <c r="B46" s="349"/>
      <c r="C46" s="288"/>
      <c r="D46" s="288"/>
      <c r="E46" s="288"/>
      <c r="F46" s="320">
        <f t="array" aca="1" ref="F46" ca="1">C46+IFERROR(SUM(E46*(J46:BR46)*OFFSET(support!$C$9:$BK$9,MATCH($D46,support!$B$10:$B$13,0),0)),0)</f>
        <v>0</v>
      </c>
      <c r="G46" s="71">
        <f t="shared" si="48"/>
        <v>1</v>
      </c>
      <c r="H46" s="5"/>
      <c r="I46" s="246">
        <f t="shared" si="51"/>
        <v>0</v>
      </c>
      <c r="J46" s="284"/>
      <c r="K46" s="284"/>
      <c r="L46" s="284"/>
      <c r="M46" s="284"/>
      <c r="N46" s="289"/>
      <c r="O46" s="289"/>
      <c r="P46" s="289"/>
      <c r="Q46" s="289"/>
      <c r="R46" s="289"/>
      <c r="S46" s="289"/>
      <c r="T46" s="284"/>
      <c r="U46" s="284"/>
      <c r="V46" s="284"/>
      <c r="W46" s="284"/>
      <c r="X46" s="284"/>
      <c r="Y46" s="284"/>
      <c r="Z46" s="284"/>
      <c r="AA46" s="284"/>
      <c r="AB46" s="284"/>
      <c r="AC46" s="284"/>
      <c r="AD46" s="284"/>
      <c r="AE46" s="284"/>
      <c r="AF46" s="284"/>
      <c r="AG46" s="284"/>
      <c r="AH46" s="284"/>
      <c r="AI46" s="284"/>
      <c r="AJ46" s="284"/>
      <c r="AK46" s="284"/>
      <c r="AL46" s="284"/>
      <c r="AM46" s="284"/>
      <c r="AN46" s="284"/>
      <c r="AO46" s="284"/>
      <c r="AP46" s="284"/>
      <c r="AQ46" s="284"/>
      <c r="AR46" s="284"/>
      <c r="AS46" s="284"/>
      <c r="AT46" s="284"/>
      <c r="AU46" s="284"/>
      <c r="AV46" s="284"/>
      <c r="AW46" s="284"/>
      <c r="AX46" s="284"/>
      <c r="AY46" s="284"/>
      <c r="AZ46" s="284"/>
      <c r="BA46" s="284"/>
      <c r="BB46" s="284"/>
      <c r="BC46" s="284"/>
      <c r="BD46" s="284"/>
      <c r="BE46" s="284"/>
      <c r="BF46" s="284"/>
      <c r="BG46" s="284"/>
      <c r="BH46" s="284"/>
      <c r="BI46" s="284"/>
      <c r="BJ46" s="284"/>
      <c r="BK46" s="284"/>
      <c r="BL46" s="284"/>
      <c r="BM46" s="284"/>
      <c r="BN46" s="284"/>
      <c r="BO46" s="284"/>
      <c r="BP46" s="284"/>
      <c r="BQ46" s="284"/>
      <c r="BR46" s="284"/>
      <c r="BS46" s="73" t="str">
        <f t="shared" si="50"/>
        <v>R</v>
      </c>
    </row>
    <row r="47" spans="2:71" ht="15" customHeight="1">
      <c r="B47" s="349"/>
      <c r="C47" s="288"/>
      <c r="D47" s="288"/>
      <c r="E47" s="288"/>
      <c r="F47" s="320">
        <f t="array" aca="1" ref="F47" ca="1">C47+IFERROR(SUM(E47*(J47:BR47)*OFFSET(support!$C$9:$BK$9,MATCH($D47,support!$B$10:$B$13,0),0)),0)</f>
        <v>0</v>
      </c>
      <c r="G47" s="71">
        <f t="shared" si="48"/>
        <v>1</v>
      </c>
      <c r="H47" s="5"/>
      <c r="I47" s="246">
        <f t="shared" si="51"/>
        <v>0</v>
      </c>
      <c r="J47" s="284"/>
      <c r="K47" s="284"/>
      <c r="L47" s="284"/>
      <c r="M47" s="284"/>
      <c r="N47" s="289"/>
      <c r="O47" s="289"/>
      <c r="P47" s="289"/>
      <c r="Q47" s="289"/>
      <c r="R47" s="289"/>
      <c r="S47" s="289"/>
      <c r="T47" s="284"/>
      <c r="U47" s="284"/>
      <c r="V47" s="284"/>
      <c r="W47" s="284"/>
      <c r="X47" s="284"/>
      <c r="Y47" s="284"/>
      <c r="Z47" s="284"/>
      <c r="AA47" s="284"/>
      <c r="AB47" s="284"/>
      <c r="AC47" s="284"/>
      <c r="AD47" s="284"/>
      <c r="AE47" s="284"/>
      <c r="AF47" s="284"/>
      <c r="AG47" s="284"/>
      <c r="AH47" s="284"/>
      <c r="AI47" s="284"/>
      <c r="AJ47" s="284"/>
      <c r="AK47" s="284"/>
      <c r="AL47" s="284"/>
      <c r="AM47" s="284"/>
      <c r="AN47" s="284"/>
      <c r="AO47" s="284"/>
      <c r="AP47" s="284"/>
      <c r="AQ47" s="284"/>
      <c r="AR47" s="284"/>
      <c r="AS47" s="284"/>
      <c r="AT47" s="284"/>
      <c r="AU47" s="284"/>
      <c r="AV47" s="284"/>
      <c r="AW47" s="284"/>
      <c r="AX47" s="284"/>
      <c r="AY47" s="284"/>
      <c r="AZ47" s="284"/>
      <c r="BA47" s="284"/>
      <c r="BB47" s="284"/>
      <c r="BC47" s="284"/>
      <c r="BD47" s="284"/>
      <c r="BE47" s="284"/>
      <c r="BF47" s="284"/>
      <c r="BG47" s="284"/>
      <c r="BH47" s="284"/>
      <c r="BI47" s="284"/>
      <c r="BJ47" s="284"/>
      <c r="BK47" s="284"/>
      <c r="BL47" s="284"/>
      <c r="BM47" s="284"/>
      <c r="BN47" s="284"/>
      <c r="BO47" s="284"/>
      <c r="BP47" s="284"/>
      <c r="BQ47" s="284"/>
      <c r="BR47" s="284"/>
      <c r="BS47" s="73" t="str">
        <f t="shared" si="50"/>
        <v>R</v>
      </c>
    </row>
    <row r="48" spans="2:71" ht="15" customHeight="1">
      <c r="B48" s="349"/>
      <c r="C48" s="288"/>
      <c r="D48" s="288"/>
      <c r="E48" s="288"/>
      <c r="F48" s="320">
        <f t="array" aca="1" ref="F48" ca="1">C48+IFERROR(SUM(E48*(J48:BR48)*OFFSET(support!$C$9:$BK$9,MATCH($D48,support!$B$10:$B$13,0),0)),0)</f>
        <v>0</v>
      </c>
      <c r="G48" s="71">
        <f t="shared" si="48"/>
        <v>1</v>
      </c>
      <c r="H48" s="5"/>
      <c r="I48" s="246">
        <f t="shared" si="51"/>
        <v>0</v>
      </c>
      <c r="J48" s="284"/>
      <c r="K48" s="284"/>
      <c r="L48" s="284"/>
      <c r="M48" s="284"/>
      <c r="N48" s="289"/>
      <c r="O48" s="289"/>
      <c r="P48" s="289"/>
      <c r="Q48" s="289"/>
      <c r="R48" s="289"/>
      <c r="S48" s="289"/>
      <c r="T48" s="284"/>
      <c r="U48" s="284"/>
      <c r="V48" s="284"/>
      <c r="W48" s="284"/>
      <c r="X48" s="284"/>
      <c r="Y48" s="284"/>
      <c r="Z48" s="284"/>
      <c r="AA48" s="284"/>
      <c r="AB48" s="284"/>
      <c r="AC48" s="284"/>
      <c r="AD48" s="284"/>
      <c r="AE48" s="284"/>
      <c r="AF48" s="284"/>
      <c r="AG48" s="284"/>
      <c r="AH48" s="284"/>
      <c r="AI48" s="284"/>
      <c r="AJ48" s="284"/>
      <c r="AK48" s="284"/>
      <c r="AL48" s="284"/>
      <c r="AM48" s="284"/>
      <c r="AN48" s="284"/>
      <c r="AO48" s="284"/>
      <c r="AP48" s="284"/>
      <c r="AQ48" s="284"/>
      <c r="AR48" s="284"/>
      <c r="AS48" s="284"/>
      <c r="AT48" s="284"/>
      <c r="AU48" s="284"/>
      <c r="AV48" s="284"/>
      <c r="AW48" s="284"/>
      <c r="AX48" s="284"/>
      <c r="AY48" s="284"/>
      <c r="AZ48" s="284"/>
      <c r="BA48" s="284"/>
      <c r="BB48" s="284"/>
      <c r="BC48" s="284"/>
      <c r="BD48" s="284"/>
      <c r="BE48" s="284"/>
      <c r="BF48" s="284"/>
      <c r="BG48" s="284"/>
      <c r="BH48" s="284"/>
      <c r="BI48" s="284"/>
      <c r="BJ48" s="284"/>
      <c r="BK48" s="284"/>
      <c r="BL48" s="284"/>
      <c r="BM48" s="284"/>
      <c r="BN48" s="284"/>
      <c r="BO48" s="284"/>
      <c r="BP48" s="284"/>
      <c r="BQ48" s="284"/>
      <c r="BR48" s="284"/>
      <c r="BS48" s="73" t="str">
        <f t="shared" si="50"/>
        <v>R</v>
      </c>
    </row>
    <row r="49" spans="2:71" ht="15" customHeight="1">
      <c r="B49" s="349"/>
      <c r="C49" s="288"/>
      <c r="D49" s="288"/>
      <c r="E49" s="288"/>
      <c r="F49" s="320">
        <f t="array" aca="1" ref="F49" ca="1">C49+IFERROR(SUM(E49*(J49:BR49)*OFFSET(support!$C$9:$BK$9,MATCH($D49,support!$B$10:$B$13,0),0)),0)</f>
        <v>0</v>
      </c>
      <c r="G49" s="71">
        <f t="shared" si="48"/>
        <v>1</v>
      </c>
      <c r="H49" s="5"/>
      <c r="I49" s="246">
        <f t="shared" si="51"/>
        <v>0</v>
      </c>
      <c r="J49" s="284"/>
      <c r="K49" s="284"/>
      <c r="L49" s="284"/>
      <c r="M49" s="284"/>
      <c r="N49" s="289"/>
      <c r="O49" s="289"/>
      <c r="P49" s="289"/>
      <c r="Q49" s="289"/>
      <c r="R49" s="289"/>
      <c r="S49" s="289"/>
      <c r="T49" s="284"/>
      <c r="U49" s="284"/>
      <c r="V49" s="284"/>
      <c r="W49" s="284"/>
      <c r="X49" s="284"/>
      <c r="Y49" s="284"/>
      <c r="Z49" s="284"/>
      <c r="AA49" s="284"/>
      <c r="AB49" s="284"/>
      <c r="AC49" s="284"/>
      <c r="AD49" s="284"/>
      <c r="AE49" s="284"/>
      <c r="AF49" s="284"/>
      <c r="AG49" s="284"/>
      <c r="AH49" s="284"/>
      <c r="AI49" s="284"/>
      <c r="AJ49" s="284"/>
      <c r="AK49" s="284"/>
      <c r="AL49" s="284"/>
      <c r="AM49" s="284"/>
      <c r="AN49" s="284"/>
      <c r="AO49" s="284"/>
      <c r="AP49" s="284"/>
      <c r="AQ49" s="284"/>
      <c r="AR49" s="284"/>
      <c r="AS49" s="284"/>
      <c r="AT49" s="284"/>
      <c r="AU49" s="284"/>
      <c r="AV49" s="284"/>
      <c r="AW49" s="284"/>
      <c r="AX49" s="284"/>
      <c r="AY49" s="284"/>
      <c r="AZ49" s="284"/>
      <c r="BA49" s="284"/>
      <c r="BB49" s="284"/>
      <c r="BC49" s="284"/>
      <c r="BD49" s="284"/>
      <c r="BE49" s="284"/>
      <c r="BF49" s="284"/>
      <c r="BG49" s="284"/>
      <c r="BH49" s="284"/>
      <c r="BI49" s="284"/>
      <c r="BJ49" s="284"/>
      <c r="BK49" s="284"/>
      <c r="BL49" s="284"/>
      <c r="BM49" s="284"/>
      <c r="BN49" s="284"/>
      <c r="BO49" s="284"/>
      <c r="BP49" s="284"/>
      <c r="BQ49" s="284"/>
      <c r="BR49" s="284"/>
      <c r="BS49" s="73" t="str">
        <f t="shared" si="50"/>
        <v>R</v>
      </c>
    </row>
    <row r="50" spans="2:71" ht="15" customHeight="1">
      <c r="B50" s="349"/>
      <c r="C50" s="288"/>
      <c r="D50" s="288"/>
      <c r="E50" s="288"/>
      <c r="F50" s="320">
        <f t="array" aca="1" ref="F50" ca="1">C50+IFERROR(SUM(E50*(J50:BR50)*OFFSET(support!$C$9:$BK$9,MATCH($D50,support!$B$10:$B$13,0),0)),0)</f>
        <v>0</v>
      </c>
      <c r="G50" s="71">
        <f t="shared" si="48"/>
        <v>1</v>
      </c>
      <c r="H50" s="5"/>
      <c r="I50" s="246">
        <f t="shared" si="51"/>
        <v>0</v>
      </c>
      <c r="J50" s="284"/>
      <c r="K50" s="284"/>
      <c r="L50" s="284"/>
      <c r="M50" s="284"/>
      <c r="N50" s="289"/>
      <c r="O50" s="289"/>
      <c r="P50" s="289"/>
      <c r="Q50" s="289"/>
      <c r="R50" s="289"/>
      <c r="S50" s="289"/>
      <c r="T50" s="284"/>
      <c r="U50" s="284"/>
      <c r="V50" s="284"/>
      <c r="W50" s="284"/>
      <c r="X50" s="284"/>
      <c r="Y50" s="284"/>
      <c r="Z50" s="284"/>
      <c r="AA50" s="284"/>
      <c r="AB50" s="284"/>
      <c r="AC50" s="284"/>
      <c r="AD50" s="284"/>
      <c r="AE50" s="284"/>
      <c r="AF50" s="284"/>
      <c r="AG50" s="284"/>
      <c r="AH50" s="284"/>
      <c r="AI50" s="284"/>
      <c r="AJ50" s="284"/>
      <c r="AK50" s="284"/>
      <c r="AL50" s="284"/>
      <c r="AM50" s="284"/>
      <c r="AN50" s="284"/>
      <c r="AO50" s="284"/>
      <c r="AP50" s="284"/>
      <c r="AQ50" s="284"/>
      <c r="AR50" s="284"/>
      <c r="AS50" s="284"/>
      <c r="AT50" s="284"/>
      <c r="AU50" s="284"/>
      <c r="AV50" s="284"/>
      <c r="AW50" s="284"/>
      <c r="AX50" s="284"/>
      <c r="AY50" s="284"/>
      <c r="AZ50" s="284"/>
      <c r="BA50" s="284"/>
      <c r="BB50" s="284"/>
      <c r="BC50" s="284"/>
      <c r="BD50" s="284"/>
      <c r="BE50" s="284"/>
      <c r="BF50" s="284"/>
      <c r="BG50" s="284"/>
      <c r="BH50" s="284"/>
      <c r="BI50" s="284"/>
      <c r="BJ50" s="284"/>
      <c r="BK50" s="284"/>
      <c r="BL50" s="284"/>
      <c r="BM50" s="284"/>
      <c r="BN50" s="284"/>
      <c r="BO50" s="284"/>
      <c r="BP50" s="284"/>
      <c r="BQ50" s="284"/>
      <c r="BR50" s="284"/>
      <c r="BS50" s="73" t="str">
        <f t="shared" si="50"/>
        <v>R</v>
      </c>
    </row>
    <row r="51" spans="2:71" ht="15" customHeight="1">
      <c r="B51" s="349"/>
      <c r="C51" s="288"/>
      <c r="D51" s="288"/>
      <c r="E51" s="288"/>
      <c r="F51" s="320">
        <f t="array" aca="1" ref="F51" ca="1">C51+IFERROR(SUM(E51*(J51:BR51)*OFFSET(support!$C$9:$BK$9,MATCH($D51,support!$B$10:$B$13,0),0)),0)</f>
        <v>0</v>
      </c>
      <c r="G51" s="71">
        <f t="shared" si="48"/>
        <v>1</v>
      </c>
      <c r="H51" s="5"/>
      <c r="I51" s="246">
        <f t="shared" si="51"/>
        <v>0</v>
      </c>
      <c r="J51" s="284"/>
      <c r="K51" s="284"/>
      <c r="L51" s="284"/>
      <c r="M51" s="284"/>
      <c r="N51" s="284"/>
      <c r="O51" s="284"/>
      <c r="P51" s="284"/>
      <c r="Q51" s="284"/>
      <c r="R51" s="284"/>
      <c r="S51" s="284"/>
      <c r="T51" s="284"/>
      <c r="U51" s="284"/>
      <c r="V51" s="284"/>
      <c r="W51" s="284"/>
      <c r="X51" s="284"/>
      <c r="Y51" s="284"/>
      <c r="Z51" s="284"/>
      <c r="AA51" s="284"/>
      <c r="AB51" s="284"/>
      <c r="AC51" s="284"/>
      <c r="AD51" s="284"/>
      <c r="AE51" s="284"/>
      <c r="AF51" s="284"/>
      <c r="AG51" s="284"/>
      <c r="AH51" s="284"/>
      <c r="AI51" s="284"/>
      <c r="AJ51" s="284"/>
      <c r="AK51" s="284"/>
      <c r="AL51" s="284"/>
      <c r="AM51" s="284"/>
      <c r="AN51" s="284"/>
      <c r="AO51" s="284"/>
      <c r="AP51" s="284"/>
      <c r="AQ51" s="284"/>
      <c r="AR51" s="284"/>
      <c r="AS51" s="284"/>
      <c r="AT51" s="284"/>
      <c r="AU51" s="284"/>
      <c r="AV51" s="284"/>
      <c r="AW51" s="284"/>
      <c r="AX51" s="284"/>
      <c r="AY51" s="284"/>
      <c r="AZ51" s="284"/>
      <c r="BA51" s="284"/>
      <c r="BB51" s="284"/>
      <c r="BC51" s="284"/>
      <c r="BD51" s="284"/>
      <c r="BE51" s="284"/>
      <c r="BF51" s="284"/>
      <c r="BG51" s="284"/>
      <c r="BH51" s="284"/>
      <c r="BI51" s="284"/>
      <c r="BJ51" s="284"/>
      <c r="BK51" s="284"/>
      <c r="BL51" s="284"/>
      <c r="BM51" s="284"/>
      <c r="BN51" s="284"/>
      <c r="BO51" s="284"/>
      <c r="BP51" s="284"/>
      <c r="BQ51" s="284"/>
      <c r="BR51" s="284"/>
      <c r="BS51" s="73" t="str">
        <f t="shared" si="50"/>
        <v>R</v>
      </c>
    </row>
    <row r="52" spans="2:71" ht="15" customHeight="1">
      <c r="B52" s="349"/>
      <c r="C52" s="288"/>
      <c r="D52" s="288"/>
      <c r="E52" s="288"/>
      <c r="F52" s="320">
        <f t="array" aca="1" ref="F52" ca="1">C52+IFERROR(SUM(E52*(J52:BR52)*OFFSET(support!$C$9:$BK$9,MATCH($D52,support!$B$10:$B$13,0),0)),0)</f>
        <v>0</v>
      </c>
      <c r="G52" s="71">
        <f t="shared" si="48"/>
        <v>1</v>
      </c>
      <c r="H52" s="5"/>
      <c r="I52" s="246">
        <f t="shared" si="51"/>
        <v>0</v>
      </c>
      <c r="J52" s="284"/>
      <c r="K52" s="284"/>
      <c r="L52" s="284"/>
      <c r="M52" s="284"/>
      <c r="N52" s="284"/>
      <c r="O52" s="284"/>
      <c r="P52" s="284"/>
      <c r="Q52" s="284"/>
      <c r="R52" s="284"/>
      <c r="S52" s="284"/>
      <c r="T52" s="284"/>
      <c r="U52" s="284"/>
      <c r="V52" s="284"/>
      <c r="W52" s="284"/>
      <c r="X52" s="284"/>
      <c r="Y52" s="284"/>
      <c r="Z52" s="284"/>
      <c r="AA52" s="284"/>
      <c r="AB52" s="284"/>
      <c r="AC52" s="284"/>
      <c r="AD52" s="284"/>
      <c r="AE52" s="284"/>
      <c r="AF52" s="284"/>
      <c r="AG52" s="284"/>
      <c r="AH52" s="284"/>
      <c r="AI52" s="284"/>
      <c r="AJ52" s="284"/>
      <c r="AK52" s="284"/>
      <c r="AL52" s="284"/>
      <c r="AM52" s="284"/>
      <c r="AN52" s="284"/>
      <c r="AO52" s="284"/>
      <c r="AP52" s="284"/>
      <c r="AQ52" s="284"/>
      <c r="AR52" s="284"/>
      <c r="AS52" s="284"/>
      <c r="AT52" s="284"/>
      <c r="AU52" s="284"/>
      <c r="AV52" s="284"/>
      <c r="AW52" s="284"/>
      <c r="AX52" s="284"/>
      <c r="AY52" s="284"/>
      <c r="AZ52" s="284"/>
      <c r="BA52" s="284"/>
      <c r="BB52" s="284"/>
      <c r="BC52" s="284"/>
      <c r="BD52" s="284"/>
      <c r="BE52" s="284"/>
      <c r="BF52" s="284"/>
      <c r="BG52" s="284"/>
      <c r="BH52" s="284"/>
      <c r="BI52" s="284"/>
      <c r="BJ52" s="284"/>
      <c r="BK52" s="284"/>
      <c r="BL52" s="284"/>
      <c r="BM52" s="284"/>
      <c r="BN52" s="284"/>
      <c r="BO52" s="284"/>
      <c r="BP52" s="284"/>
      <c r="BQ52" s="284"/>
      <c r="BR52" s="284"/>
      <c r="BS52" s="73" t="str">
        <f t="shared" si="50"/>
        <v>R</v>
      </c>
    </row>
    <row r="53" spans="2:71" ht="15" customHeight="1">
      <c r="B53" s="349"/>
      <c r="C53" s="288"/>
      <c r="D53" s="288"/>
      <c r="E53" s="288"/>
      <c r="F53" s="320">
        <f t="array" aca="1" ref="F53" ca="1">C53+IFERROR(SUM(E53*(J53:BR53)*OFFSET(support!$C$9:$BK$9,MATCH($D53,support!$B$10:$B$13,0),0)),0)</f>
        <v>0</v>
      </c>
      <c r="G53" s="71">
        <f t="shared" si="48"/>
        <v>1</v>
      </c>
      <c r="H53" s="5"/>
      <c r="I53" s="246">
        <f t="shared" si="51"/>
        <v>0</v>
      </c>
      <c r="J53" s="284"/>
      <c r="K53" s="284"/>
      <c r="L53" s="284"/>
      <c r="M53" s="284"/>
      <c r="N53" s="284"/>
      <c r="O53" s="284"/>
      <c r="P53" s="284"/>
      <c r="Q53" s="284"/>
      <c r="R53" s="284"/>
      <c r="S53" s="284"/>
      <c r="T53" s="284"/>
      <c r="U53" s="284"/>
      <c r="V53" s="284"/>
      <c r="W53" s="284"/>
      <c r="X53" s="284"/>
      <c r="Y53" s="284"/>
      <c r="Z53" s="284"/>
      <c r="AA53" s="284"/>
      <c r="AB53" s="284"/>
      <c r="AC53" s="284"/>
      <c r="AD53" s="284"/>
      <c r="AE53" s="284"/>
      <c r="AF53" s="284"/>
      <c r="AG53" s="284"/>
      <c r="AH53" s="284"/>
      <c r="AI53" s="284"/>
      <c r="AJ53" s="284"/>
      <c r="AK53" s="284"/>
      <c r="AL53" s="284"/>
      <c r="AM53" s="284"/>
      <c r="AN53" s="284"/>
      <c r="AO53" s="284"/>
      <c r="AP53" s="284"/>
      <c r="AQ53" s="284"/>
      <c r="AR53" s="284"/>
      <c r="AS53" s="284"/>
      <c r="AT53" s="284"/>
      <c r="AU53" s="284"/>
      <c r="AV53" s="284"/>
      <c r="AW53" s="284"/>
      <c r="AX53" s="284"/>
      <c r="AY53" s="284"/>
      <c r="AZ53" s="284"/>
      <c r="BA53" s="284"/>
      <c r="BB53" s="284"/>
      <c r="BC53" s="284"/>
      <c r="BD53" s="284"/>
      <c r="BE53" s="284"/>
      <c r="BF53" s="284"/>
      <c r="BG53" s="284"/>
      <c r="BH53" s="284"/>
      <c r="BI53" s="284"/>
      <c r="BJ53" s="284"/>
      <c r="BK53" s="284"/>
      <c r="BL53" s="284"/>
      <c r="BM53" s="284"/>
      <c r="BN53" s="284"/>
      <c r="BO53" s="284"/>
      <c r="BP53" s="284"/>
      <c r="BQ53" s="284"/>
      <c r="BR53" s="284"/>
      <c r="BS53" s="73" t="str">
        <f t="shared" si="50"/>
        <v>R</v>
      </c>
    </row>
    <row r="54" spans="2:71" ht="15" customHeight="1">
      <c r="B54" s="349"/>
      <c r="C54" s="288"/>
      <c r="D54" s="288"/>
      <c r="E54" s="288"/>
      <c r="F54" s="320">
        <f t="array" aca="1" ref="F54" ca="1">C54+IFERROR(SUM(E54*(J54:BR54)*OFFSET(support!$C$9:$BK$9,MATCH($D54,support!$B$10:$B$13,0),0)),0)</f>
        <v>0</v>
      </c>
      <c r="G54" s="71">
        <f t="shared" si="48"/>
        <v>1</v>
      </c>
      <c r="H54" s="5"/>
      <c r="I54" s="246">
        <f t="shared" si="51"/>
        <v>0</v>
      </c>
      <c r="J54" s="284"/>
      <c r="K54" s="284"/>
      <c r="L54" s="284"/>
      <c r="M54" s="284"/>
      <c r="N54" s="284"/>
      <c r="O54" s="284"/>
      <c r="P54" s="284"/>
      <c r="Q54" s="284"/>
      <c r="R54" s="284"/>
      <c r="S54" s="284"/>
      <c r="T54" s="284"/>
      <c r="U54" s="284"/>
      <c r="V54" s="284"/>
      <c r="W54" s="284"/>
      <c r="X54" s="284"/>
      <c r="Y54" s="284"/>
      <c r="Z54" s="284"/>
      <c r="AA54" s="284"/>
      <c r="AB54" s="284"/>
      <c r="AC54" s="284"/>
      <c r="AD54" s="284"/>
      <c r="AE54" s="284"/>
      <c r="AF54" s="284"/>
      <c r="AG54" s="284"/>
      <c r="AH54" s="284"/>
      <c r="AI54" s="284"/>
      <c r="AJ54" s="284"/>
      <c r="AK54" s="284"/>
      <c r="AL54" s="284"/>
      <c r="AM54" s="284"/>
      <c r="AN54" s="284"/>
      <c r="AO54" s="284"/>
      <c r="AP54" s="284"/>
      <c r="AQ54" s="284"/>
      <c r="AR54" s="284"/>
      <c r="AS54" s="284"/>
      <c r="AT54" s="284"/>
      <c r="AU54" s="284"/>
      <c r="AV54" s="284"/>
      <c r="AW54" s="284"/>
      <c r="AX54" s="284"/>
      <c r="AY54" s="284"/>
      <c r="AZ54" s="284"/>
      <c r="BA54" s="284"/>
      <c r="BB54" s="284"/>
      <c r="BC54" s="284"/>
      <c r="BD54" s="284"/>
      <c r="BE54" s="284"/>
      <c r="BF54" s="284"/>
      <c r="BG54" s="284"/>
      <c r="BH54" s="284"/>
      <c r="BI54" s="284"/>
      <c r="BJ54" s="284"/>
      <c r="BK54" s="284"/>
      <c r="BL54" s="284"/>
      <c r="BM54" s="284"/>
      <c r="BN54" s="284"/>
      <c r="BO54" s="284"/>
      <c r="BP54" s="284"/>
      <c r="BQ54" s="284"/>
      <c r="BR54" s="284"/>
      <c r="BS54" s="73" t="str">
        <f t="shared" si="50"/>
        <v>R</v>
      </c>
    </row>
    <row r="55" spans="2:71" ht="15" customHeight="1">
      <c r="B55" s="349"/>
      <c r="C55" s="288"/>
      <c r="D55" s="288"/>
      <c r="E55" s="288"/>
      <c r="F55" s="320">
        <f t="array" aca="1" ref="F55" ca="1">C55+IFERROR(SUM(E55*(J55:BR55)*OFFSET(support!$C$9:$BK$9,MATCH($D55,support!$B$10:$B$13,0),0)),0)</f>
        <v>0</v>
      </c>
      <c r="G55" s="71">
        <f t="shared" si="48"/>
        <v>1</v>
      </c>
      <c r="H55" s="5"/>
      <c r="I55" s="246">
        <f t="shared" si="51"/>
        <v>0</v>
      </c>
      <c r="J55" s="284"/>
      <c r="K55" s="284"/>
      <c r="L55" s="284"/>
      <c r="M55" s="284"/>
      <c r="N55" s="284"/>
      <c r="O55" s="284"/>
      <c r="P55" s="284"/>
      <c r="Q55" s="284"/>
      <c r="R55" s="284"/>
      <c r="S55" s="284"/>
      <c r="T55" s="284"/>
      <c r="U55" s="284"/>
      <c r="V55" s="284"/>
      <c r="W55" s="284"/>
      <c r="X55" s="284"/>
      <c r="Y55" s="284"/>
      <c r="Z55" s="284"/>
      <c r="AA55" s="284"/>
      <c r="AB55" s="284"/>
      <c r="AC55" s="284"/>
      <c r="AD55" s="284"/>
      <c r="AE55" s="284"/>
      <c r="AF55" s="284"/>
      <c r="AG55" s="284"/>
      <c r="AH55" s="284"/>
      <c r="AI55" s="284"/>
      <c r="AJ55" s="284"/>
      <c r="AK55" s="284"/>
      <c r="AL55" s="284"/>
      <c r="AM55" s="284"/>
      <c r="AN55" s="284"/>
      <c r="AO55" s="284"/>
      <c r="AP55" s="284"/>
      <c r="AQ55" s="284"/>
      <c r="AR55" s="284"/>
      <c r="AS55" s="284"/>
      <c r="AT55" s="284"/>
      <c r="AU55" s="284"/>
      <c r="AV55" s="284"/>
      <c r="AW55" s="284"/>
      <c r="AX55" s="284"/>
      <c r="AY55" s="284"/>
      <c r="AZ55" s="284"/>
      <c r="BA55" s="284"/>
      <c r="BB55" s="284"/>
      <c r="BC55" s="284"/>
      <c r="BD55" s="284"/>
      <c r="BE55" s="284"/>
      <c r="BF55" s="284"/>
      <c r="BG55" s="284"/>
      <c r="BH55" s="284"/>
      <c r="BI55" s="284"/>
      <c r="BJ55" s="284"/>
      <c r="BK55" s="284"/>
      <c r="BL55" s="284"/>
      <c r="BM55" s="284"/>
      <c r="BN55" s="284"/>
      <c r="BO55" s="284"/>
      <c r="BP55" s="284"/>
      <c r="BQ55" s="284"/>
      <c r="BR55" s="284"/>
      <c r="BS55" s="73" t="str">
        <f t="shared" si="50"/>
        <v>R</v>
      </c>
    </row>
    <row r="56" spans="2:71" ht="15" customHeight="1">
      <c r="B56" s="349"/>
      <c r="C56" s="288"/>
      <c r="D56" s="288"/>
      <c r="E56" s="288"/>
      <c r="F56" s="320">
        <f t="array" aca="1" ref="F56" ca="1">C56+IFERROR(SUM(E56*(J56:BR56)*OFFSET(support!$C$9:$BK$9,MATCH($D56,support!$B$10:$B$13,0),0)),0)</f>
        <v>0</v>
      </c>
      <c r="G56" s="71">
        <f t="shared" si="48"/>
        <v>1</v>
      </c>
      <c r="H56" s="5"/>
      <c r="I56" s="246">
        <f t="shared" si="51"/>
        <v>0</v>
      </c>
      <c r="J56" s="284"/>
      <c r="K56" s="284"/>
      <c r="L56" s="284"/>
      <c r="M56" s="284"/>
      <c r="N56" s="284"/>
      <c r="O56" s="284"/>
      <c r="P56" s="284"/>
      <c r="Q56" s="284"/>
      <c r="R56" s="284"/>
      <c r="S56" s="284"/>
      <c r="T56" s="284"/>
      <c r="U56" s="284"/>
      <c r="V56" s="284"/>
      <c r="W56" s="284"/>
      <c r="X56" s="284"/>
      <c r="Y56" s="284"/>
      <c r="Z56" s="284"/>
      <c r="AA56" s="284"/>
      <c r="AB56" s="284"/>
      <c r="AC56" s="284"/>
      <c r="AD56" s="284"/>
      <c r="AE56" s="284"/>
      <c r="AF56" s="284"/>
      <c r="AG56" s="284"/>
      <c r="AH56" s="284"/>
      <c r="AI56" s="284"/>
      <c r="AJ56" s="284"/>
      <c r="AK56" s="284"/>
      <c r="AL56" s="284"/>
      <c r="AM56" s="284"/>
      <c r="AN56" s="284"/>
      <c r="AO56" s="284"/>
      <c r="AP56" s="284"/>
      <c r="AQ56" s="284"/>
      <c r="AR56" s="284"/>
      <c r="AS56" s="284"/>
      <c r="AT56" s="284"/>
      <c r="AU56" s="284"/>
      <c r="AV56" s="284"/>
      <c r="AW56" s="284"/>
      <c r="AX56" s="284"/>
      <c r="AY56" s="284"/>
      <c r="AZ56" s="284"/>
      <c r="BA56" s="284"/>
      <c r="BB56" s="284"/>
      <c r="BC56" s="284"/>
      <c r="BD56" s="284"/>
      <c r="BE56" s="284"/>
      <c r="BF56" s="284"/>
      <c r="BG56" s="284"/>
      <c r="BH56" s="284"/>
      <c r="BI56" s="284"/>
      <c r="BJ56" s="284"/>
      <c r="BK56" s="284"/>
      <c r="BL56" s="284"/>
      <c r="BM56" s="284"/>
      <c r="BN56" s="284"/>
      <c r="BO56" s="284"/>
      <c r="BP56" s="284"/>
      <c r="BQ56" s="284"/>
      <c r="BR56" s="284"/>
      <c r="BS56" s="73" t="str">
        <f t="shared" si="50"/>
        <v>R</v>
      </c>
    </row>
    <row r="57" spans="2:71" ht="15" customHeight="1">
      <c r="B57" s="349"/>
      <c r="C57" s="288"/>
      <c r="D57" s="288"/>
      <c r="E57" s="288"/>
      <c r="F57" s="320">
        <f t="array" aca="1" ref="F57" ca="1">C57+IFERROR(SUM(E57*(J57:BR57)*OFFSET(support!$C$9:$BK$9,MATCH($D57,support!$B$10:$B$13,0),0)),0)</f>
        <v>0</v>
      </c>
      <c r="G57" s="71">
        <f t="shared" si="48"/>
        <v>1</v>
      </c>
      <c r="H57" s="5"/>
      <c r="I57" s="246">
        <f t="shared" si="51"/>
        <v>0</v>
      </c>
      <c r="J57" s="284"/>
      <c r="K57" s="284"/>
      <c r="L57" s="284"/>
      <c r="M57" s="284"/>
      <c r="N57" s="284"/>
      <c r="O57" s="284"/>
      <c r="P57" s="284"/>
      <c r="Q57" s="284"/>
      <c r="R57" s="284"/>
      <c r="S57" s="284"/>
      <c r="T57" s="284"/>
      <c r="U57" s="284"/>
      <c r="V57" s="284"/>
      <c r="W57" s="284"/>
      <c r="X57" s="284"/>
      <c r="Y57" s="284"/>
      <c r="Z57" s="284"/>
      <c r="AA57" s="284"/>
      <c r="AB57" s="284"/>
      <c r="AC57" s="284"/>
      <c r="AD57" s="284"/>
      <c r="AE57" s="284"/>
      <c r="AF57" s="284"/>
      <c r="AG57" s="284"/>
      <c r="AH57" s="284"/>
      <c r="AI57" s="284"/>
      <c r="AJ57" s="284"/>
      <c r="AK57" s="284"/>
      <c r="AL57" s="284"/>
      <c r="AM57" s="284"/>
      <c r="AN57" s="284"/>
      <c r="AO57" s="284"/>
      <c r="AP57" s="284"/>
      <c r="AQ57" s="284"/>
      <c r="AR57" s="284"/>
      <c r="AS57" s="284"/>
      <c r="AT57" s="284"/>
      <c r="AU57" s="284"/>
      <c r="AV57" s="284"/>
      <c r="AW57" s="284"/>
      <c r="AX57" s="284"/>
      <c r="AY57" s="284"/>
      <c r="AZ57" s="284"/>
      <c r="BA57" s="284"/>
      <c r="BB57" s="284"/>
      <c r="BC57" s="284"/>
      <c r="BD57" s="284"/>
      <c r="BE57" s="284"/>
      <c r="BF57" s="284"/>
      <c r="BG57" s="284"/>
      <c r="BH57" s="284"/>
      <c r="BI57" s="284"/>
      <c r="BJ57" s="284"/>
      <c r="BK57" s="284"/>
      <c r="BL57" s="284"/>
      <c r="BM57" s="284"/>
      <c r="BN57" s="284"/>
      <c r="BO57" s="284"/>
      <c r="BP57" s="284"/>
      <c r="BQ57" s="284"/>
      <c r="BR57" s="284"/>
      <c r="BS57" s="73" t="str">
        <f t="shared" si="50"/>
        <v>R</v>
      </c>
    </row>
    <row r="58" spans="2:71" ht="15" customHeight="1">
      <c r="B58" s="349"/>
      <c r="C58" s="288"/>
      <c r="D58" s="288"/>
      <c r="E58" s="288"/>
      <c r="F58" s="320">
        <f t="array" aca="1" ref="F58" ca="1">C58+IFERROR(SUM(E58*(J58:BR58)*OFFSET(support!$C$9:$BK$9,MATCH($D58,support!$B$10:$B$13,0),0)),0)</f>
        <v>0</v>
      </c>
      <c r="G58" s="71">
        <f t="shared" si="48"/>
        <v>1</v>
      </c>
      <c r="H58" s="5"/>
      <c r="I58" s="246">
        <f t="shared" si="51"/>
        <v>0</v>
      </c>
      <c r="J58" s="284"/>
      <c r="K58" s="284"/>
      <c r="L58" s="284"/>
      <c r="M58" s="284"/>
      <c r="N58" s="284"/>
      <c r="O58" s="284"/>
      <c r="P58" s="284"/>
      <c r="Q58" s="284"/>
      <c r="R58" s="284"/>
      <c r="S58" s="284"/>
      <c r="T58" s="284"/>
      <c r="U58" s="284"/>
      <c r="V58" s="284"/>
      <c r="W58" s="284"/>
      <c r="X58" s="284"/>
      <c r="Y58" s="284"/>
      <c r="Z58" s="284"/>
      <c r="AA58" s="284"/>
      <c r="AB58" s="284"/>
      <c r="AC58" s="284"/>
      <c r="AD58" s="284"/>
      <c r="AE58" s="284"/>
      <c r="AF58" s="284"/>
      <c r="AG58" s="284"/>
      <c r="AH58" s="284"/>
      <c r="AI58" s="284"/>
      <c r="AJ58" s="284"/>
      <c r="AK58" s="284"/>
      <c r="AL58" s="284"/>
      <c r="AM58" s="284"/>
      <c r="AN58" s="284"/>
      <c r="AO58" s="284"/>
      <c r="AP58" s="284"/>
      <c r="AQ58" s="284"/>
      <c r="AR58" s="284"/>
      <c r="AS58" s="284"/>
      <c r="AT58" s="284"/>
      <c r="AU58" s="284"/>
      <c r="AV58" s="284"/>
      <c r="AW58" s="284"/>
      <c r="AX58" s="284"/>
      <c r="AY58" s="284"/>
      <c r="AZ58" s="284"/>
      <c r="BA58" s="284"/>
      <c r="BB58" s="284"/>
      <c r="BC58" s="284"/>
      <c r="BD58" s="284"/>
      <c r="BE58" s="284"/>
      <c r="BF58" s="284"/>
      <c r="BG58" s="284"/>
      <c r="BH58" s="284"/>
      <c r="BI58" s="284"/>
      <c r="BJ58" s="284"/>
      <c r="BK58" s="284"/>
      <c r="BL58" s="284"/>
      <c r="BM58" s="284"/>
      <c r="BN58" s="284"/>
      <c r="BO58" s="284"/>
      <c r="BP58" s="284"/>
      <c r="BQ58" s="284"/>
      <c r="BR58" s="284"/>
      <c r="BS58" s="73" t="str">
        <f t="shared" si="50"/>
        <v>R</v>
      </c>
    </row>
    <row r="59" spans="2:71" ht="15" customHeight="1">
      <c r="B59" s="349"/>
      <c r="C59" s="288"/>
      <c r="D59" s="288"/>
      <c r="E59" s="288"/>
      <c r="F59" s="320">
        <f t="array" aca="1" ref="F59" ca="1">C59+IFERROR(SUM(E59*(J59:BR59)*OFFSET(support!$C$9:$BK$9,MATCH($D59,support!$B$10:$B$13,0),0)),0)</f>
        <v>0</v>
      </c>
      <c r="G59" s="71">
        <f t="shared" si="48"/>
        <v>1</v>
      </c>
      <c r="H59" s="5"/>
      <c r="I59" s="246">
        <f t="shared" si="51"/>
        <v>0</v>
      </c>
      <c r="J59" s="284"/>
      <c r="K59" s="284"/>
      <c r="L59" s="284"/>
      <c r="M59" s="284"/>
      <c r="N59" s="284"/>
      <c r="O59" s="284"/>
      <c r="P59" s="284"/>
      <c r="Q59" s="284"/>
      <c r="R59" s="284"/>
      <c r="S59" s="284"/>
      <c r="T59" s="284"/>
      <c r="U59" s="284"/>
      <c r="V59" s="284"/>
      <c r="W59" s="284"/>
      <c r="X59" s="284"/>
      <c r="Y59" s="284"/>
      <c r="Z59" s="284"/>
      <c r="AA59" s="284"/>
      <c r="AB59" s="284"/>
      <c r="AC59" s="284"/>
      <c r="AD59" s="284"/>
      <c r="AE59" s="284"/>
      <c r="AF59" s="284"/>
      <c r="AG59" s="284"/>
      <c r="AH59" s="284"/>
      <c r="AI59" s="284"/>
      <c r="AJ59" s="284"/>
      <c r="AK59" s="284"/>
      <c r="AL59" s="284"/>
      <c r="AM59" s="284"/>
      <c r="AN59" s="284"/>
      <c r="AO59" s="284"/>
      <c r="AP59" s="284"/>
      <c r="AQ59" s="284"/>
      <c r="AR59" s="284"/>
      <c r="AS59" s="284"/>
      <c r="AT59" s="284"/>
      <c r="AU59" s="284"/>
      <c r="AV59" s="284"/>
      <c r="AW59" s="284"/>
      <c r="AX59" s="284"/>
      <c r="AY59" s="284"/>
      <c r="AZ59" s="284"/>
      <c r="BA59" s="284"/>
      <c r="BB59" s="284"/>
      <c r="BC59" s="284"/>
      <c r="BD59" s="284"/>
      <c r="BE59" s="284"/>
      <c r="BF59" s="284"/>
      <c r="BG59" s="284"/>
      <c r="BH59" s="284"/>
      <c r="BI59" s="284"/>
      <c r="BJ59" s="284"/>
      <c r="BK59" s="284"/>
      <c r="BL59" s="284"/>
      <c r="BM59" s="284"/>
      <c r="BN59" s="284"/>
      <c r="BO59" s="284"/>
      <c r="BP59" s="284"/>
      <c r="BQ59" s="284"/>
      <c r="BR59" s="284"/>
      <c r="BS59" s="73" t="str">
        <f t="shared" si="50"/>
        <v>R</v>
      </c>
    </row>
    <row r="60" spans="2:71" ht="15" customHeight="1">
      <c r="B60" s="349"/>
      <c r="C60" s="288"/>
      <c r="D60" s="288"/>
      <c r="E60" s="288"/>
      <c r="F60" s="320">
        <f t="array" aca="1" ref="F60" ca="1">C60+IFERROR(SUM(E60*(J60:BR60)*OFFSET(support!$C$9:$BK$9,MATCH($D60,support!$B$10:$B$13,0),0)),0)</f>
        <v>0</v>
      </c>
      <c r="G60" s="71">
        <f t="shared" si="48"/>
        <v>1</v>
      </c>
      <c r="H60" s="5"/>
      <c r="I60" s="246">
        <f t="shared" si="51"/>
        <v>0</v>
      </c>
      <c r="J60" s="284"/>
      <c r="K60" s="284"/>
      <c r="L60" s="284"/>
      <c r="M60" s="284"/>
      <c r="N60" s="284"/>
      <c r="O60" s="284"/>
      <c r="P60" s="284"/>
      <c r="Q60" s="284"/>
      <c r="R60" s="284"/>
      <c r="S60" s="284"/>
      <c r="T60" s="284"/>
      <c r="U60" s="284"/>
      <c r="V60" s="284"/>
      <c r="W60" s="284"/>
      <c r="X60" s="284"/>
      <c r="Y60" s="284"/>
      <c r="Z60" s="284"/>
      <c r="AA60" s="284"/>
      <c r="AB60" s="284"/>
      <c r="AC60" s="284"/>
      <c r="AD60" s="284"/>
      <c r="AE60" s="284"/>
      <c r="AF60" s="284"/>
      <c r="AG60" s="284"/>
      <c r="AH60" s="284"/>
      <c r="AI60" s="284"/>
      <c r="AJ60" s="284"/>
      <c r="AK60" s="284"/>
      <c r="AL60" s="284"/>
      <c r="AM60" s="284"/>
      <c r="AN60" s="284"/>
      <c r="AO60" s="284"/>
      <c r="AP60" s="284"/>
      <c r="AQ60" s="284"/>
      <c r="AR60" s="284"/>
      <c r="AS60" s="284"/>
      <c r="AT60" s="284"/>
      <c r="AU60" s="284"/>
      <c r="AV60" s="284"/>
      <c r="AW60" s="284"/>
      <c r="AX60" s="284"/>
      <c r="AY60" s="284"/>
      <c r="AZ60" s="284"/>
      <c r="BA60" s="284"/>
      <c r="BB60" s="284"/>
      <c r="BC60" s="284"/>
      <c r="BD60" s="284"/>
      <c r="BE60" s="284"/>
      <c r="BF60" s="284"/>
      <c r="BG60" s="284"/>
      <c r="BH60" s="284"/>
      <c r="BI60" s="284"/>
      <c r="BJ60" s="284"/>
      <c r="BK60" s="284"/>
      <c r="BL60" s="284"/>
      <c r="BM60" s="284"/>
      <c r="BN60" s="284"/>
      <c r="BO60" s="284"/>
      <c r="BP60" s="284"/>
      <c r="BQ60" s="284"/>
      <c r="BR60" s="284"/>
      <c r="BS60" s="73" t="str">
        <f t="shared" si="50"/>
        <v>R</v>
      </c>
    </row>
    <row r="61" spans="2:71" ht="15" customHeight="1">
      <c r="B61" s="349"/>
      <c r="C61" s="288"/>
      <c r="D61" s="288"/>
      <c r="E61" s="288"/>
      <c r="F61" s="320">
        <f t="array" aca="1" ref="F61" ca="1">C61+IFERROR(SUM(E61*(J61:BR61)*OFFSET(support!$C$9:$BK$9,MATCH($D61,support!$B$10:$B$13,0),0)),0)</f>
        <v>0</v>
      </c>
      <c r="G61" s="71">
        <f t="shared" si="48"/>
        <v>1</v>
      </c>
      <c r="H61" s="5"/>
      <c r="I61" s="246">
        <f t="shared" si="51"/>
        <v>0</v>
      </c>
      <c r="J61" s="284"/>
      <c r="K61" s="284"/>
      <c r="L61" s="284"/>
      <c r="M61" s="284"/>
      <c r="N61" s="284"/>
      <c r="O61" s="284"/>
      <c r="P61" s="284"/>
      <c r="Q61" s="284"/>
      <c r="R61" s="284"/>
      <c r="S61" s="284"/>
      <c r="T61" s="284"/>
      <c r="U61" s="284"/>
      <c r="V61" s="284"/>
      <c r="W61" s="284"/>
      <c r="X61" s="284"/>
      <c r="Y61" s="284"/>
      <c r="Z61" s="284"/>
      <c r="AA61" s="284"/>
      <c r="AB61" s="284"/>
      <c r="AC61" s="284"/>
      <c r="AD61" s="284"/>
      <c r="AE61" s="284"/>
      <c r="AF61" s="284"/>
      <c r="AG61" s="284"/>
      <c r="AH61" s="284"/>
      <c r="AI61" s="284"/>
      <c r="AJ61" s="284"/>
      <c r="AK61" s="284"/>
      <c r="AL61" s="284"/>
      <c r="AM61" s="284"/>
      <c r="AN61" s="284"/>
      <c r="AO61" s="284"/>
      <c r="AP61" s="284"/>
      <c r="AQ61" s="284"/>
      <c r="AR61" s="284"/>
      <c r="AS61" s="284"/>
      <c r="AT61" s="284"/>
      <c r="AU61" s="284"/>
      <c r="AV61" s="284"/>
      <c r="AW61" s="284"/>
      <c r="AX61" s="284"/>
      <c r="AY61" s="284"/>
      <c r="AZ61" s="284"/>
      <c r="BA61" s="284"/>
      <c r="BB61" s="284"/>
      <c r="BC61" s="284"/>
      <c r="BD61" s="284"/>
      <c r="BE61" s="284"/>
      <c r="BF61" s="284"/>
      <c r="BG61" s="284"/>
      <c r="BH61" s="284"/>
      <c r="BI61" s="284"/>
      <c r="BJ61" s="284"/>
      <c r="BK61" s="284"/>
      <c r="BL61" s="284"/>
      <c r="BM61" s="284"/>
      <c r="BN61" s="284"/>
      <c r="BO61" s="284"/>
      <c r="BP61" s="284"/>
      <c r="BQ61" s="284"/>
      <c r="BR61" s="284"/>
      <c r="BS61" s="73" t="str">
        <f t="shared" si="50"/>
        <v>R</v>
      </c>
    </row>
    <row r="62" spans="2:71" ht="15" customHeight="1">
      <c r="B62" s="349"/>
      <c r="C62" s="288"/>
      <c r="D62" s="288"/>
      <c r="E62" s="288"/>
      <c r="F62" s="320">
        <f t="array" aca="1" ref="F62" ca="1">C62+IFERROR(SUM(E62*(J62:BR62)*OFFSET(support!$C$9:$BK$9,MATCH($D62,support!$B$10:$B$13,0),0)),0)</f>
        <v>0</v>
      </c>
      <c r="G62" s="71">
        <f t="shared" si="48"/>
        <v>1</v>
      </c>
      <c r="H62" s="5"/>
      <c r="I62" s="246">
        <f t="shared" si="51"/>
        <v>0</v>
      </c>
      <c r="J62" s="284"/>
      <c r="K62" s="284"/>
      <c r="L62" s="284"/>
      <c r="M62" s="284"/>
      <c r="N62" s="284"/>
      <c r="O62" s="284"/>
      <c r="P62" s="284"/>
      <c r="Q62" s="284"/>
      <c r="R62" s="284"/>
      <c r="S62" s="284"/>
      <c r="T62" s="284"/>
      <c r="U62" s="284"/>
      <c r="V62" s="284"/>
      <c r="W62" s="284"/>
      <c r="X62" s="284"/>
      <c r="Y62" s="284"/>
      <c r="Z62" s="284"/>
      <c r="AA62" s="284"/>
      <c r="AB62" s="284"/>
      <c r="AC62" s="284"/>
      <c r="AD62" s="284"/>
      <c r="AE62" s="284"/>
      <c r="AF62" s="284"/>
      <c r="AG62" s="284"/>
      <c r="AH62" s="284"/>
      <c r="AI62" s="284"/>
      <c r="AJ62" s="284"/>
      <c r="AK62" s="284"/>
      <c r="AL62" s="284"/>
      <c r="AM62" s="284"/>
      <c r="AN62" s="284"/>
      <c r="AO62" s="284"/>
      <c r="AP62" s="284"/>
      <c r="AQ62" s="284"/>
      <c r="AR62" s="284"/>
      <c r="AS62" s="284"/>
      <c r="AT62" s="284"/>
      <c r="AU62" s="284"/>
      <c r="AV62" s="284"/>
      <c r="AW62" s="284"/>
      <c r="AX62" s="284"/>
      <c r="AY62" s="284"/>
      <c r="AZ62" s="284"/>
      <c r="BA62" s="284"/>
      <c r="BB62" s="284"/>
      <c r="BC62" s="284"/>
      <c r="BD62" s="284"/>
      <c r="BE62" s="284"/>
      <c r="BF62" s="284"/>
      <c r="BG62" s="284"/>
      <c r="BH62" s="284"/>
      <c r="BI62" s="284"/>
      <c r="BJ62" s="284"/>
      <c r="BK62" s="284"/>
      <c r="BL62" s="284"/>
      <c r="BM62" s="284"/>
      <c r="BN62" s="284"/>
      <c r="BO62" s="284"/>
      <c r="BP62" s="284"/>
      <c r="BQ62" s="284"/>
      <c r="BR62" s="284"/>
      <c r="BS62" s="73" t="str">
        <f t="shared" si="50"/>
        <v>R</v>
      </c>
    </row>
    <row r="63" spans="2:71" ht="15" customHeight="1">
      <c r="B63" s="286"/>
      <c r="C63" s="288"/>
      <c r="D63" s="288"/>
      <c r="E63" s="288"/>
      <c r="F63" s="320">
        <f t="array" aca="1" ref="F63" ca="1">C63+IFERROR(SUM(E63*(J63:BR63)*OFFSET(support!$C$9:$BK$9,MATCH($D63,support!$B$10:$B$13,0),0)),0)</f>
        <v>0</v>
      </c>
      <c r="G63" s="71">
        <f t="shared" si="48"/>
        <v>1</v>
      </c>
      <c r="H63" s="5"/>
      <c r="I63" s="246">
        <f t="shared" si="51"/>
        <v>0</v>
      </c>
      <c r="J63" s="284"/>
      <c r="K63" s="284"/>
      <c r="L63" s="284"/>
      <c r="M63" s="284"/>
      <c r="N63" s="284"/>
      <c r="O63" s="284"/>
      <c r="P63" s="284"/>
      <c r="Q63" s="284"/>
      <c r="R63" s="284"/>
      <c r="S63" s="284"/>
      <c r="T63" s="284"/>
      <c r="U63" s="284"/>
      <c r="V63" s="284"/>
      <c r="W63" s="284"/>
      <c r="X63" s="284"/>
      <c r="Y63" s="284"/>
      <c r="Z63" s="284"/>
      <c r="AA63" s="284"/>
      <c r="AB63" s="284"/>
      <c r="AC63" s="284"/>
      <c r="AD63" s="284"/>
      <c r="AE63" s="284"/>
      <c r="AF63" s="284"/>
      <c r="AG63" s="284"/>
      <c r="AH63" s="284"/>
      <c r="AI63" s="284"/>
      <c r="AJ63" s="284"/>
      <c r="AK63" s="284"/>
      <c r="AL63" s="284"/>
      <c r="AM63" s="284"/>
      <c r="AN63" s="284"/>
      <c r="AO63" s="284"/>
      <c r="AP63" s="284"/>
      <c r="AQ63" s="284"/>
      <c r="AR63" s="284"/>
      <c r="AS63" s="284"/>
      <c r="AT63" s="284"/>
      <c r="AU63" s="284"/>
      <c r="AV63" s="284"/>
      <c r="AW63" s="284"/>
      <c r="AX63" s="284"/>
      <c r="AY63" s="284"/>
      <c r="AZ63" s="284"/>
      <c r="BA63" s="284"/>
      <c r="BB63" s="284"/>
      <c r="BC63" s="284"/>
      <c r="BD63" s="284"/>
      <c r="BE63" s="284"/>
      <c r="BF63" s="284"/>
      <c r="BG63" s="284"/>
      <c r="BH63" s="284"/>
      <c r="BI63" s="284"/>
      <c r="BJ63" s="284"/>
      <c r="BK63" s="284"/>
      <c r="BL63" s="284"/>
      <c r="BM63" s="284"/>
      <c r="BN63" s="284"/>
      <c r="BO63" s="284"/>
      <c r="BP63" s="284"/>
      <c r="BQ63" s="284"/>
      <c r="BR63" s="284"/>
      <c r="BS63" s="73" t="str">
        <f t="shared" si="50"/>
        <v>R</v>
      </c>
    </row>
    <row r="64" spans="2:71" ht="15" customHeight="1">
      <c r="B64" s="286"/>
      <c r="C64" s="288"/>
      <c r="D64" s="288"/>
      <c r="E64" s="288"/>
      <c r="F64" s="320">
        <f t="array" aca="1" ref="F64" ca="1">C64+IFERROR(SUM(E64*(J64:BR64)*OFFSET(support!$C$9:$BK$9,MATCH($D64,support!$B$10:$B$13,0),0)),0)</f>
        <v>0</v>
      </c>
      <c r="G64" s="71">
        <f t="shared" si="48"/>
        <v>1</v>
      </c>
      <c r="H64" s="5"/>
      <c r="I64" s="246">
        <f t="shared" si="51"/>
        <v>0</v>
      </c>
      <c r="J64" s="284"/>
      <c r="K64" s="284"/>
      <c r="L64" s="284"/>
      <c r="M64" s="284"/>
      <c r="N64" s="284"/>
      <c r="O64" s="284"/>
      <c r="P64" s="284"/>
      <c r="Q64" s="284"/>
      <c r="R64" s="284"/>
      <c r="S64" s="284"/>
      <c r="T64" s="284"/>
      <c r="U64" s="284"/>
      <c r="V64" s="284"/>
      <c r="W64" s="284"/>
      <c r="X64" s="284"/>
      <c r="Y64" s="284"/>
      <c r="Z64" s="284"/>
      <c r="AA64" s="284"/>
      <c r="AB64" s="284"/>
      <c r="AC64" s="284"/>
      <c r="AD64" s="284"/>
      <c r="AE64" s="284"/>
      <c r="AF64" s="284"/>
      <c r="AG64" s="284"/>
      <c r="AH64" s="284"/>
      <c r="AI64" s="284"/>
      <c r="AJ64" s="284"/>
      <c r="AK64" s="284"/>
      <c r="AL64" s="284"/>
      <c r="AM64" s="284"/>
      <c r="AN64" s="284"/>
      <c r="AO64" s="284"/>
      <c r="AP64" s="284"/>
      <c r="AQ64" s="284"/>
      <c r="AR64" s="284"/>
      <c r="AS64" s="284"/>
      <c r="AT64" s="284"/>
      <c r="AU64" s="284"/>
      <c r="AV64" s="284"/>
      <c r="AW64" s="284"/>
      <c r="AX64" s="284"/>
      <c r="AY64" s="284"/>
      <c r="AZ64" s="284"/>
      <c r="BA64" s="284"/>
      <c r="BB64" s="284"/>
      <c r="BC64" s="284"/>
      <c r="BD64" s="284"/>
      <c r="BE64" s="284"/>
      <c r="BF64" s="284"/>
      <c r="BG64" s="284"/>
      <c r="BH64" s="284"/>
      <c r="BI64" s="284"/>
      <c r="BJ64" s="284"/>
      <c r="BK64" s="284"/>
      <c r="BL64" s="284"/>
      <c r="BM64" s="284"/>
      <c r="BN64" s="284"/>
      <c r="BO64" s="284"/>
      <c r="BP64" s="284"/>
      <c r="BQ64" s="284"/>
      <c r="BR64" s="284"/>
      <c r="BS64" s="73" t="str">
        <f t="shared" si="50"/>
        <v>R</v>
      </c>
    </row>
    <row r="65" spans="2:71" ht="15" customHeight="1">
      <c r="B65" s="286"/>
      <c r="C65" s="288"/>
      <c r="D65" s="288"/>
      <c r="E65" s="288"/>
      <c r="F65" s="320">
        <f t="array" aca="1" ref="F65" ca="1">C65+IFERROR(SUM(E65*(J65:BR65)*OFFSET(support!$C$9:$BK$9,MATCH($D65,support!$B$10:$B$13,0),0)),0)</f>
        <v>0</v>
      </c>
      <c r="G65" s="71">
        <f t="shared" si="48"/>
        <v>1</v>
      </c>
      <c r="H65" s="5"/>
      <c r="I65" s="246">
        <f t="shared" si="51"/>
        <v>0</v>
      </c>
      <c r="J65" s="284"/>
      <c r="K65" s="284"/>
      <c r="L65" s="284"/>
      <c r="M65" s="284"/>
      <c r="N65" s="284"/>
      <c r="O65" s="284"/>
      <c r="P65" s="284"/>
      <c r="Q65" s="284"/>
      <c r="R65" s="284"/>
      <c r="S65" s="284"/>
      <c r="T65" s="284"/>
      <c r="U65" s="284"/>
      <c r="V65" s="284"/>
      <c r="W65" s="284"/>
      <c r="X65" s="284"/>
      <c r="Y65" s="284"/>
      <c r="Z65" s="284"/>
      <c r="AA65" s="284"/>
      <c r="AB65" s="284"/>
      <c r="AC65" s="284"/>
      <c r="AD65" s="284"/>
      <c r="AE65" s="284"/>
      <c r="AF65" s="284"/>
      <c r="AG65" s="284"/>
      <c r="AH65" s="284"/>
      <c r="AI65" s="284"/>
      <c r="AJ65" s="284"/>
      <c r="AK65" s="284"/>
      <c r="AL65" s="284"/>
      <c r="AM65" s="284"/>
      <c r="AN65" s="284"/>
      <c r="AO65" s="284"/>
      <c r="AP65" s="284"/>
      <c r="AQ65" s="284"/>
      <c r="AR65" s="284"/>
      <c r="AS65" s="284"/>
      <c r="AT65" s="284"/>
      <c r="AU65" s="284"/>
      <c r="AV65" s="284"/>
      <c r="AW65" s="284"/>
      <c r="AX65" s="284"/>
      <c r="AY65" s="284"/>
      <c r="AZ65" s="284"/>
      <c r="BA65" s="284"/>
      <c r="BB65" s="284"/>
      <c r="BC65" s="284"/>
      <c r="BD65" s="284"/>
      <c r="BE65" s="284"/>
      <c r="BF65" s="284"/>
      <c r="BG65" s="284"/>
      <c r="BH65" s="284"/>
      <c r="BI65" s="284"/>
      <c r="BJ65" s="284"/>
      <c r="BK65" s="284"/>
      <c r="BL65" s="284"/>
      <c r="BM65" s="284"/>
      <c r="BN65" s="284"/>
      <c r="BO65" s="284"/>
      <c r="BP65" s="284"/>
      <c r="BQ65" s="284"/>
      <c r="BR65" s="284"/>
      <c r="BS65" s="73" t="str">
        <f t="shared" si="50"/>
        <v>R</v>
      </c>
    </row>
    <row r="66" spans="2:71" ht="15" customHeight="1">
      <c r="B66" s="286"/>
      <c r="C66" s="288"/>
      <c r="D66" s="288"/>
      <c r="E66" s="288"/>
      <c r="F66" s="320">
        <f t="array" aca="1" ref="F66" ca="1">C66+IFERROR(SUM(E66*(J66:BR66)*OFFSET(support!$C$9:$BK$9,MATCH($D66,support!$B$10:$B$13,0),0)),0)</f>
        <v>0</v>
      </c>
      <c r="G66" s="71">
        <f t="shared" si="48"/>
        <v>1</v>
      </c>
      <c r="H66" s="5"/>
      <c r="I66" s="246">
        <f t="shared" si="51"/>
        <v>0</v>
      </c>
      <c r="J66" s="284"/>
      <c r="K66" s="284"/>
      <c r="L66" s="284"/>
      <c r="M66" s="284"/>
      <c r="N66" s="284"/>
      <c r="O66" s="284"/>
      <c r="P66" s="284"/>
      <c r="Q66" s="284"/>
      <c r="R66" s="284"/>
      <c r="S66" s="284"/>
      <c r="T66" s="284"/>
      <c r="U66" s="284"/>
      <c r="V66" s="284"/>
      <c r="W66" s="284"/>
      <c r="X66" s="284"/>
      <c r="Y66" s="284"/>
      <c r="Z66" s="284"/>
      <c r="AA66" s="284"/>
      <c r="AB66" s="284"/>
      <c r="AC66" s="284"/>
      <c r="AD66" s="284"/>
      <c r="AE66" s="284"/>
      <c r="AF66" s="284"/>
      <c r="AG66" s="284"/>
      <c r="AH66" s="284"/>
      <c r="AI66" s="284"/>
      <c r="AJ66" s="284"/>
      <c r="AK66" s="284"/>
      <c r="AL66" s="284"/>
      <c r="AM66" s="284"/>
      <c r="AN66" s="284"/>
      <c r="AO66" s="284"/>
      <c r="AP66" s="284"/>
      <c r="AQ66" s="284"/>
      <c r="AR66" s="284"/>
      <c r="AS66" s="284"/>
      <c r="AT66" s="284"/>
      <c r="AU66" s="284"/>
      <c r="AV66" s="284"/>
      <c r="AW66" s="284"/>
      <c r="AX66" s="284"/>
      <c r="AY66" s="284"/>
      <c r="AZ66" s="284"/>
      <c r="BA66" s="284"/>
      <c r="BB66" s="284"/>
      <c r="BC66" s="284"/>
      <c r="BD66" s="284"/>
      <c r="BE66" s="284"/>
      <c r="BF66" s="284"/>
      <c r="BG66" s="284"/>
      <c r="BH66" s="284"/>
      <c r="BI66" s="284"/>
      <c r="BJ66" s="284"/>
      <c r="BK66" s="284"/>
      <c r="BL66" s="284"/>
      <c r="BM66" s="284"/>
      <c r="BN66" s="284"/>
      <c r="BO66" s="284"/>
      <c r="BP66" s="284"/>
      <c r="BQ66" s="284"/>
      <c r="BR66" s="284"/>
      <c r="BS66" s="73" t="str">
        <f t="shared" si="50"/>
        <v>R</v>
      </c>
    </row>
    <row r="67" spans="2:71" ht="15" customHeight="1">
      <c r="B67" s="286"/>
      <c r="C67" s="288"/>
      <c r="D67" s="288"/>
      <c r="E67" s="288"/>
      <c r="F67" s="320">
        <f t="array" aca="1" ref="F67" ca="1">C67+IFERROR(SUM(E67*(J67:BR67)*OFFSET(support!$C$9:$BK$9,MATCH($D67,support!$B$10:$B$13,0),0)),0)</f>
        <v>0</v>
      </c>
      <c r="G67" s="71">
        <f t="shared" si="48"/>
        <v>1</v>
      </c>
      <c r="H67" s="5"/>
      <c r="I67" s="246">
        <f t="shared" si="51"/>
        <v>0</v>
      </c>
      <c r="J67" s="284"/>
      <c r="K67" s="284"/>
      <c r="L67" s="284"/>
      <c r="M67" s="284"/>
      <c r="N67" s="284"/>
      <c r="O67" s="284"/>
      <c r="P67" s="284"/>
      <c r="Q67" s="284"/>
      <c r="R67" s="284"/>
      <c r="S67" s="284"/>
      <c r="T67" s="284"/>
      <c r="U67" s="284"/>
      <c r="V67" s="284"/>
      <c r="W67" s="284"/>
      <c r="X67" s="284"/>
      <c r="Y67" s="284"/>
      <c r="Z67" s="284"/>
      <c r="AA67" s="284"/>
      <c r="AB67" s="284"/>
      <c r="AC67" s="284"/>
      <c r="AD67" s="284"/>
      <c r="AE67" s="284"/>
      <c r="AF67" s="284"/>
      <c r="AG67" s="284"/>
      <c r="AH67" s="284"/>
      <c r="AI67" s="284"/>
      <c r="AJ67" s="284"/>
      <c r="AK67" s="284"/>
      <c r="AL67" s="284"/>
      <c r="AM67" s="284"/>
      <c r="AN67" s="284"/>
      <c r="AO67" s="284"/>
      <c r="AP67" s="284"/>
      <c r="AQ67" s="284"/>
      <c r="AR67" s="284"/>
      <c r="AS67" s="284"/>
      <c r="AT67" s="284"/>
      <c r="AU67" s="284"/>
      <c r="AV67" s="284"/>
      <c r="AW67" s="284"/>
      <c r="AX67" s="284"/>
      <c r="AY67" s="284"/>
      <c r="AZ67" s="284"/>
      <c r="BA67" s="284"/>
      <c r="BB67" s="284"/>
      <c r="BC67" s="284"/>
      <c r="BD67" s="284"/>
      <c r="BE67" s="284"/>
      <c r="BF67" s="284"/>
      <c r="BG67" s="284"/>
      <c r="BH67" s="284"/>
      <c r="BI67" s="284"/>
      <c r="BJ67" s="284"/>
      <c r="BK67" s="284"/>
      <c r="BL67" s="284"/>
      <c r="BM67" s="284"/>
      <c r="BN67" s="284"/>
      <c r="BO67" s="284"/>
      <c r="BP67" s="284"/>
      <c r="BQ67" s="284"/>
      <c r="BR67" s="284"/>
      <c r="BS67" s="73" t="str">
        <f t="shared" si="50"/>
        <v>R</v>
      </c>
    </row>
    <row r="68" spans="2:71" ht="15" customHeight="1">
      <c r="B68" s="286"/>
      <c r="C68" s="288"/>
      <c r="D68" s="288"/>
      <c r="E68" s="288"/>
      <c r="F68" s="320">
        <f t="array" aca="1" ref="F68" ca="1">C68+IFERROR(SUM(E68*(J68:BR68)*OFFSET(support!$C$9:$BK$9,MATCH($D68,support!$B$10:$B$13,0),0)),0)</f>
        <v>0</v>
      </c>
      <c r="G68" s="71">
        <f t="shared" si="48"/>
        <v>1</v>
      </c>
      <c r="H68" s="5"/>
      <c r="I68" s="246">
        <f t="shared" si="51"/>
        <v>0</v>
      </c>
      <c r="J68" s="284"/>
      <c r="K68" s="284"/>
      <c r="L68" s="284"/>
      <c r="M68" s="284"/>
      <c r="N68" s="284"/>
      <c r="O68" s="284"/>
      <c r="P68" s="284"/>
      <c r="Q68" s="284"/>
      <c r="R68" s="284"/>
      <c r="S68" s="284"/>
      <c r="T68" s="284"/>
      <c r="U68" s="284"/>
      <c r="V68" s="284"/>
      <c r="W68" s="284"/>
      <c r="X68" s="284"/>
      <c r="Y68" s="284"/>
      <c r="Z68" s="284"/>
      <c r="AA68" s="284"/>
      <c r="AB68" s="284"/>
      <c r="AC68" s="284"/>
      <c r="AD68" s="284"/>
      <c r="AE68" s="284"/>
      <c r="AF68" s="284"/>
      <c r="AG68" s="284"/>
      <c r="AH68" s="284"/>
      <c r="AI68" s="284"/>
      <c r="AJ68" s="284"/>
      <c r="AK68" s="284"/>
      <c r="AL68" s="284"/>
      <c r="AM68" s="284"/>
      <c r="AN68" s="284"/>
      <c r="AO68" s="284"/>
      <c r="AP68" s="284"/>
      <c r="AQ68" s="284"/>
      <c r="AR68" s="284"/>
      <c r="AS68" s="284"/>
      <c r="AT68" s="284"/>
      <c r="AU68" s="284"/>
      <c r="AV68" s="284"/>
      <c r="AW68" s="284"/>
      <c r="AX68" s="284"/>
      <c r="AY68" s="284"/>
      <c r="AZ68" s="284"/>
      <c r="BA68" s="284"/>
      <c r="BB68" s="284"/>
      <c r="BC68" s="284"/>
      <c r="BD68" s="284"/>
      <c r="BE68" s="284"/>
      <c r="BF68" s="284"/>
      <c r="BG68" s="284"/>
      <c r="BH68" s="284"/>
      <c r="BI68" s="284"/>
      <c r="BJ68" s="284"/>
      <c r="BK68" s="284"/>
      <c r="BL68" s="284"/>
      <c r="BM68" s="284"/>
      <c r="BN68" s="284"/>
      <c r="BO68" s="284"/>
      <c r="BP68" s="284"/>
      <c r="BQ68" s="284"/>
      <c r="BR68" s="284"/>
      <c r="BS68" s="73" t="str">
        <f t="shared" si="50"/>
        <v>R</v>
      </c>
    </row>
    <row r="69" spans="2:71" ht="15" customHeight="1">
      <c r="B69" s="286"/>
      <c r="C69" s="288"/>
      <c r="D69" s="288"/>
      <c r="E69" s="288"/>
      <c r="F69" s="320">
        <f t="array" aca="1" ref="F69" ca="1">C69+IFERROR(SUM(E69*(J69:BR69)*OFFSET(support!$C$9:$BK$9,MATCH($D69,support!$B$10:$B$13,0),0)),0)</f>
        <v>0</v>
      </c>
      <c r="G69" s="71">
        <f t="shared" si="48"/>
        <v>1</v>
      </c>
      <c r="H69" s="5"/>
      <c r="I69" s="246">
        <f t="shared" si="51"/>
        <v>0</v>
      </c>
      <c r="J69" s="284"/>
      <c r="K69" s="284"/>
      <c r="L69" s="284"/>
      <c r="M69" s="284"/>
      <c r="N69" s="284"/>
      <c r="O69" s="284"/>
      <c r="P69" s="284"/>
      <c r="Q69" s="284"/>
      <c r="R69" s="284"/>
      <c r="S69" s="284"/>
      <c r="T69" s="284"/>
      <c r="U69" s="284"/>
      <c r="V69" s="284"/>
      <c r="W69" s="284"/>
      <c r="X69" s="284"/>
      <c r="Y69" s="284"/>
      <c r="Z69" s="284"/>
      <c r="AA69" s="284"/>
      <c r="AB69" s="284"/>
      <c r="AC69" s="284"/>
      <c r="AD69" s="284"/>
      <c r="AE69" s="284"/>
      <c r="AF69" s="284"/>
      <c r="AG69" s="284"/>
      <c r="AH69" s="284"/>
      <c r="AI69" s="284"/>
      <c r="AJ69" s="284"/>
      <c r="AK69" s="284"/>
      <c r="AL69" s="284"/>
      <c r="AM69" s="284"/>
      <c r="AN69" s="284"/>
      <c r="AO69" s="284"/>
      <c r="AP69" s="284"/>
      <c r="AQ69" s="284"/>
      <c r="AR69" s="284"/>
      <c r="AS69" s="284"/>
      <c r="AT69" s="284"/>
      <c r="AU69" s="284"/>
      <c r="AV69" s="284"/>
      <c r="AW69" s="284"/>
      <c r="AX69" s="284"/>
      <c r="AY69" s="284"/>
      <c r="AZ69" s="284"/>
      <c r="BA69" s="284"/>
      <c r="BB69" s="284"/>
      <c r="BC69" s="284"/>
      <c r="BD69" s="284"/>
      <c r="BE69" s="284"/>
      <c r="BF69" s="284"/>
      <c r="BG69" s="284"/>
      <c r="BH69" s="284"/>
      <c r="BI69" s="284"/>
      <c r="BJ69" s="284"/>
      <c r="BK69" s="284"/>
      <c r="BL69" s="284"/>
      <c r="BM69" s="284"/>
      <c r="BN69" s="284"/>
      <c r="BO69" s="284"/>
      <c r="BP69" s="284"/>
      <c r="BQ69" s="284"/>
      <c r="BR69" s="284"/>
      <c r="BS69" s="73" t="str">
        <f t="shared" si="50"/>
        <v>R</v>
      </c>
    </row>
    <row r="70" spans="2:71" ht="15" customHeight="1">
      <c r="B70" s="286"/>
      <c r="C70" s="288"/>
      <c r="D70" s="288"/>
      <c r="E70" s="288"/>
      <c r="F70" s="320">
        <f t="array" aca="1" ref="F70" ca="1">C70+IFERROR(SUM(E70*(J70:BR70)*OFFSET(support!$C$9:$BK$9,MATCH($D70,support!$B$10:$B$13,0),0)),0)</f>
        <v>0</v>
      </c>
      <c r="G70" s="71">
        <f t="shared" si="48"/>
        <v>1</v>
      </c>
      <c r="H70" s="5"/>
      <c r="I70" s="246">
        <f t="shared" si="51"/>
        <v>0</v>
      </c>
      <c r="J70" s="284"/>
      <c r="K70" s="284"/>
      <c r="L70" s="284"/>
      <c r="M70" s="284"/>
      <c r="N70" s="284"/>
      <c r="O70" s="284"/>
      <c r="P70" s="284"/>
      <c r="Q70" s="284"/>
      <c r="R70" s="284"/>
      <c r="S70" s="284"/>
      <c r="T70" s="284"/>
      <c r="U70" s="284"/>
      <c r="V70" s="284"/>
      <c r="W70" s="284"/>
      <c r="X70" s="284"/>
      <c r="Y70" s="284"/>
      <c r="Z70" s="284"/>
      <c r="AA70" s="284"/>
      <c r="AB70" s="284"/>
      <c r="AC70" s="284"/>
      <c r="AD70" s="284"/>
      <c r="AE70" s="284"/>
      <c r="AF70" s="284"/>
      <c r="AG70" s="284"/>
      <c r="AH70" s="284"/>
      <c r="AI70" s="284"/>
      <c r="AJ70" s="284"/>
      <c r="AK70" s="284"/>
      <c r="AL70" s="284"/>
      <c r="AM70" s="284"/>
      <c r="AN70" s="284"/>
      <c r="AO70" s="284"/>
      <c r="AP70" s="284"/>
      <c r="AQ70" s="284"/>
      <c r="AR70" s="284"/>
      <c r="AS70" s="284"/>
      <c r="AT70" s="284"/>
      <c r="AU70" s="284"/>
      <c r="AV70" s="284"/>
      <c r="AW70" s="284"/>
      <c r="AX70" s="284"/>
      <c r="AY70" s="284"/>
      <c r="AZ70" s="284"/>
      <c r="BA70" s="284"/>
      <c r="BB70" s="284"/>
      <c r="BC70" s="284"/>
      <c r="BD70" s="284"/>
      <c r="BE70" s="284"/>
      <c r="BF70" s="284"/>
      <c r="BG70" s="284"/>
      <c r="BH70" s="284"/>
      <c r="BI70" s="284"/>
      <c r="BJ70" s="284"/>
      <c r="BK70" s="284"/>
      <c r="BL70" s="284"/>
      <c r="BM70" s="284"/>
      <c r="BN70" s="284"/>
      <c r="BO70" s="284"/>
      <c r="BP70" s="284"/>
      <c r="BQ70" s="284"/>
      <c r="BR70" s="284"/>
      <c r="BS70" s="73" t="str">
        <f t="shared" si="50"/>
        <v>R</v>
      </c>
    </row>
    <row r="71" spans="2:71"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</row>
    <row r="72" spans="2:71" ht="21">
      <c r="B72" s="21" t="s">
        <v>103</v>
      </c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</row>
    <row r="73" spans="2:71" ht="15.75">
      <c r="B73" s="22" t="s">
        <v>120</v>
      </c>
      <c r="C73" s="5"/>
      <c r="D73" s="5"/>
      <c r="E73" s="5"/>
      <c r="F73" s="5"/>
      <c r="G73" s="11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</row>
    <row r="74" spans="2:71" ht="15" customHeight="1">
      <c r="B74" s="491" t="s">
        <v>9</v>
      </c>
      <c r="C74" s="491" t="s">
        <v>173</v>
      </c>
      <c r="D74" s="491" t="s">
        <v>162</v>
      </c>
      <c r="E74" s="491" t="s">
        <v>310</v>
      </c>
      <c r="F74" s="491" t="s">
        <v>423</v>
      </c>
      <c r="G74" s="491" t="s">
        <v>325</v>
      </c>
      <c r="H74" s="491" t="s">
        <v>163</v>
      </c>
      <c r="I74" s="491" t="s">
        <v>362</v>
      </c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</row>
    <row r="75" spans="2:71" ht="15" customHeight="1">
      <c r="B75" s="492"/>
      <c r="C75" s="492"/>
      <c r="D75" s="492"/>
      <c r="E75" s="492"/>
      <c r="F75" s="492"/>
      <c r="G75" s="492"/>
      <c r="H75" s="492"/>
      <c r="I75" s="492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</row>
    <row r="76" spans="2:71">
      <c r="B76" s="493"/>
      <c r="C76" s="493"/>
      <c r="D76" s="493"/>
      <c r="E76" s="493"/>
      <c r="F76" s="493"/>
      <c r="G76" s="493"/>
      <c r="H76" s="493"/>
      <c r="I76" s="493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</row>
    <row r="77" spans="2:71">
      <c r="B77" s="349" t="s">
        <v>797</v>
      </c>
      <c r="C77" s="363"/>
      <c r="D77" s="288"/>
      <c r="E77" s="287"/>
      <c r="F77" s="287"/>
      <c r="G77" s="287"/>
      <c r="H77" s="71">
        <f t="shared" ref="H77:H96" si="52">IFERROR(MATCH(D77,$H$13:$H$16,0),1)</f>
        <v>1</v>
      </c>
      <c r="I77" s="71">
        <f t="shared" ref="I77:I96" si="53">IF(E77="нет",0,IF(F77="льготная",2,1))</f>
        <v>1</v>
      </c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</row>
    <row r="78" spans="2:71">
      <c r="B78" s="349" t="s">
        <v>802</v>
      </c>
      <c r="C78" s="363"/>
      <c r="D78" s="288"/>
      <c r="E78" s="287"/>
      <c r="F78" s="287"/>
      <c r="G78" s="287"/>
      <c r="H78" s="71">
        <f t="shared" si="52"/>
        <v>1</v>
      </c>
      <c r="I78" s="71">
        <f t="shared" si="53"/>
        <v>1</v>
      </c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</row>
    <row r="79" spans="2:71">
      <c r="B79" s="286" t="s">
        <v>463</v>
      </c>
      <c r="C79" s="290"/>
      <c r="D79" s="288"/>
      <c r="E79" s="287"/>
      <c r="F79" s="287"/>
      <c r="G79" s="287"/>
      <c r="H79" s="71">
        <f t="shared" si="52"/>
        <v>1</v>
      </c>
      <c r="I79" s="71">
        <f t="shared" si="53"/>
        <v>1</v>
      </c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</row>
    <row r="80" spans="2:71">
      <c r="B80" s="286" t="s">
        <v>464</v>
      </c>
      <c r="C80" s="290"/>
      <c r="D80" s="288"/>
      <c r="E80" s="287"/>
      <c r="F80" s="287"/>
      <c r="G80" s="287"/>
      <c r="H80" s="71">
        <f t="shared" si="52"/>
        <v>1</v>
      </c>
      <c r="I80" s="71">
        <f t="shared" si="53"/>
        <v>1</v>
      </c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</row>
    <row r="81" spans="2:30">
      <c r="B81" s="286" t="s">
        <v>465</v>
      </c>
      <c r="C81" s="290"/>
      <c r="D81" s="288"/>
      <c r="E81" s="287"/>
      <c r="F81" s="287"/>
      <c r="G81" s="287"/>
      <c r="H81" s="71">
        <f t="shared" si="52"/>
        <v>1</v>
      </c>
      <c r="I81" s="71">
        <f t="shared" si="53"/>
        <v>1</v>
      </c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</row>
    <row r="82" spans="2:30">
      <c r="B82" s="286" t="s">
        <v>466</v>
      </c>
      <c r="C82" s="290"/>
      <c r="D82" s="288"/>
      <c r="E82" s="287"/>
      <c r="F82" s="287"/>
      <c r="G82" s="287"/>
      <c r="H82" s="71">
        <f t="shared" si="52"/>
        <v>1</v>
      </c>
      <c r="I82" s="71">
        <f t="shared" si="53"/>
        <v>1</v>
      </c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</row>
    <row r="83" spans="2:30">
      <c r="B83" s="286" t="s">
        <v>467</v>
      </c>
      <c r="C83" s="290"/>
      <c r="D83" s="288"/>
      <c r="E83" s="287"/>
      <c r="F83" s="287"/>
      <c r="G83" s="287"/>
      <c r="H83" s="71">
        <f t="shared" si="52"/>
        <v>1</v>
      </c>
      <c r="I83" s="71">
        <f t="shared" si="53"/>
        <v>1</v>
      </c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</row>
    <row r="84" spans="2:30">
      <c r="B84" s="286" t="s">
        <v>468</v>
      </c>
      <c r="C84" s="290"/>
      <c r="D84" s="288"/>
      <c r="E84" s="287"/>
      <c r="F84" s="287"/>
      <c r="G84" s="287"/>
      <c r="H84" s="71">
        <f t="shared" si="52"/>
        <v>1</v>
      </c>
      <c r="I84" s="71">
        <f t="shared" si="53"/>
        <v>1</v>
      </c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</row>
    <row r="85" spans="2:30">
      <c r="B85" s="286" t="s">
        <v>469</v>
      </c>
      <c r="C85" s="290"/>
      <c r="D85" s="288"/>
      <c r="E85" s="287"/>
      <c r="F85" s="287"/>
      <c r="G85" s="287"/>
      <c r="H85" s="71">
        <f t="shared" si="52"/>
        <v>1</v>
      </c>
      <c r="I85" s="71">
        <f t="shared" si="53"/>
        <v>1</v>
      </c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</row>
    <row r="86" spans="2:30">
      <c r="B86" s="286" t="s">
        <v>470</v>
      </c>
      <c r="C86" s="290"/>
      <c r="D86" s="288"/>
      <c r="E86" s="287"/>
      <c r="F86" s="287"/>
      <c r="G86" s="287"/>
      <c r="H86" s="71">
        <f t="shared" si="52"/>
        <v>1</v>
      </c>
      <c r="I86" s="71">
        <f t="shared" si="53"/>
        <v>1</v>
      </c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</row>
    <row r="87" spans="2:30">
      <c r="B87" s="286" t="s">
        <v>471</v>
      </c>
      <c r="C87" s="290"/>
      <c r="D87" s="288"/>
      <c r="E87" s="287"/>
      <c r="F87" s="287"/>
      <c r="G87" s="287"/>
      <c r="H87" s="71">
        <f t="shared" si="52"/>
        <v>1</v>
      </c>
      <c r="I87" s="71">
        <f t="shared" si="53"/>
        <v>1</v>
      </c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</row>
    <row r="88" spans="2:30">
      <c r="B88" s="286" t="s">
        <v>472</v>
      </c>
      <c r="C88" s="290"/>
      <c r="D88" s="288"/>
      <c r="E88" s="287"/>
      <c r="F88" s="287"/>
      <c r="G88" s="287"/>
      <c r="H88" s="71">
        <f t="shared" si="52"/>
        <v>1</v>
      </c>
      <c r="I88" s="71">
        <f t="shared" si="53"/>
        <v>1</v>
      </c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</row>
    <row r="89" spans="2:30">
      <c r="B89" s="286" t="s">
        <v>473</v>
      </c>
      <c r="C89" s="290"/>
      <c r="D89" s="288"/>
      <c r="E89" s="287"/>
      <c r="F89" s="287"/>
      <c r="G89" s="287"/>
      <c r="H89" s="71">
        <f t="shared" si="52"/>
        <v>1</v>
      </c>
      <c r="I89" s="71">
        <f t="shared" si="53"/>
        <v>1</v>
      </c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</row>
    <row r="90" spans="2:30">
      <c r="B90" s="286" t="s">
        <v>474</v>
      </c>
      <c r="C90" s="290"/>
      <c r="D90" s="288"/>
      <c r="E90" s="287"/>
      <c r="F90" s="287"/>
      <c r="G90" s="287"/>
      <c r="H90" s="71">
        <f t="shared" si="52"/>
        <v>1</v>
      </c>
      <c r="I90" s="71">
        <f t="shared" si="53"/>
        <v>1</v>
      </c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</row>
    <row r="91" spans="2:30">
      <c r="B91" s="286" t="s">
        <v>475</v>
      </c>
      <c r="C91" s="290"/>
      <c r="D91" s="288"/>
      <c r="E91" s="287"/>
      <c r="F91" s="287"/>
      <c r="G91" s="287"/>
      <c r="H91" s="71">
        <f t="shared" si="52"/>
        <v>1</v>
      </c>
      <c r="I91" s="71">
        <f t="shared" si="53"/>
        <v>1</v>
      </c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</row>
    <row r="92" spans="2:30">
      <c r="B92" s="286" t="s">
        <v>476</v>
      </c>
      <c r="C92" s="290"/>
      <c r="D92" s="288"/>
      <c r="E92" s="287"/>
      <c r="F92" s="287"/>
      <c r="G92" s="287"/>
      <c r="H92" s="71">
        <f t="shared" si="52"/>
        <v>1</v>
      </c>
      <c r="I92" s="71">
        <f t="shared" si="53"/>
        <v>1</v>
      </c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</row>
    <row r="93" spans="2:30">
      <c r="B93" s="286" t="s">
        <v>477</v>
      </c>
      <c r="C93" s="290"/>
      <c r="D93" s="288"/>
      <c r="E93" s="287"/>
      <c r="F93" s="287"/>
      <c r="G93" s="287"/>
      <c r="H93" s="71">
        <f t="shared" si="52"/>
        <v>1</v>
      </c>
      <c r="I93" s="71">
        <f t="shared" si="53"/>
        <v>1</v>
      </c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</row>
    <row r="94" spans="2:30">
      <c r="B94" s="286" t="s">
        <v>478</v>
      </c>
      <c r="C94" s="290"/>
      <c r="D94" s="288"/>
      <c r="E94" s="287"/>
      <c r="F94" s="287"/>
      <c r="G94" s="287"/>
      <c r="H94" s="71">
        <f t="shared" si="52"/>
        <v>1</v>
      </c>
      <c r="I94" s="71">
        <f t="shared" si="53"/>
        <v>1</v>
      </c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</row>
    <row r="95" spans="2:30">
      <c r="B95" s="286" t="s">
        <v>479</v>
      </c>
      <c r="C95" s="290"/>
      <c r="D95" s="288"/>
      <c r="E95" s="287"/>
      <c r="F95" s="287"/>
      <c r="G95" s="287"/>
      <c r="H95" s="71">
        <f t="shared" si="52"/>
        <v>1</v>
      </c>
      <c r="I95" s="71">
        <f t="shared" si="53"/>
        <v>1</v>
      </c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</row>
    <row r="96" spans="2:30">
      <c r="B96" s="286" t="s">
        <v>480</v>
      </c>
      <c r="C96" s="290"/>
      <c r="D96" s="288"/>
      <c r="E96" s="287"/>
      <c r="F96" s="287"/>
      <c r="G96" s="287"/>
      <c r="H96" s="71">
        <f t="shared" si="52"/>
        <v>1</v>
      </c>
      <c r="I96" s="71">
        <f t="shared" si="53"/>
        <v>1</v>
      </c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</row>
    <row r="97" spans="2:64" ht="15" customHeight="1">
      <c r="B97" s="14"/>
    </row>
    <row r="98" spans="2:64" ht="15.75">
      <c r="B98" s="22" t="s">
        <v>790</v>
      </c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</row>
    <row r="99" spans="2:64">
      <c r="B99" s="479" t="s">
        <v>9</v>
      </c>
      <c r="C99" s="479" t="s">
        <v>162</v>
      </c>
      <c r="D99" s="226">
        <f t="shared" ref="D99:W99" si="54">SUM(C99,1)</f>
        <v>1</v>
      </c>
      <c r="E99" s="226">
        <f t="shared" si="54"/>
        <v>2</v>
      </c>
      <c r="F99" s="226">
        <f t="shared" si="54"/>
        <v>3</v>
      </c>
      <c r="G99" s="226">
        <f t="shared" si="54"/>
        <v>4</v>
      </c>
      <c r="H99" s="226">
        <f t="shared" si="54"/>
        <v>5</v>
      </c>
      <c r="I99" s="226">
        <f t="shared" si="54"/>
        <v>6</v>
      </c>
      <c r="J99" s="226">
        <f t="shared" si="54"/>
        <v>7</v>
      </c>
      <c r="K99" s="226">
        <f t="shared" si="54"/>
        <v>8</v>
      </c>
      <c r="L99" s="226">
        <f t="shared" si="54"/>
        <v>9</v>
      </c>
      <c r="M99" s="226">
        <f t="shared" si="54"/>
        <v>10</v>
      </c>
      <c r="N99" s="226">
        <f t="shared" si="54"/>
        <v>11</v>
      </c>
      <c r="O99" s="226">
        <f t="shared" si="54"/>
        <v>12</v>
      </c>
      <c r="P99" s="226">
        <f t="shared" si="54"/>
        <v>13</v>
      </c>
      <c r="Q99" s="226">
        <f t="shared" si="54"/>
        <v>14</v>
      </c>
      <c r="R99" s="226">
        <f t="shared" si="54"/>
        <v>15</v>
      </c>
      <c r="S99" s="226">
        <f t="shared" si="54"/>
        <v>16</v>
      </c>
      <c r="T99" s="226">
        <f t="shared" si="54"/>
        <v>17</v>
      </c>
      <c r="U99" s="226">
        <f t="shared" si="54"/>
        <v>18</v>
      </c>
      <c r="V99" s="226">
        <f t="shared" si="54"/>
        <v>19</v>
      </c>
      <c r="W99" s="226">
        <f t="shared" si="54"/>
        <v>20</v>
      </c>
      <c r="X99" s="226">
        <f t="shared" ref="X99" si="55">SUM(W99,1)</f>
        <v>21</v>
      </c>
      <c r="Y99" s="226">
        <f t="shared" ref="Y99" si="56">SUM(X99,1)</f>
        <v>22</v>
      </c>
      <c r="Z99" s="226">
        <f t="shared" ref="Z99" si="57">SUM(Y99,1)</f>
        <v>23</v>
      </c>
      <c r="AA99" s="226">
        <f t="shared" ref="AA99" si="58">SUM(Z99,1)</f>
        <v>24</v>
      </c>
      <c r="AB99" s="226">
        <f t="shared" ref="AB99" si="59">SUM(AA99,1)</f>
        <v>25</v>
      </c>
      <c r="AC99" s="226">
        <f t="shared" ref="AC99" si="60">SUM(AB99,1)</f>
        <v>26</v>
      </c>
      <c r="AD99" s="226">
        <f t="shared" ref="AD99" si="61">SUM(AC99,1)</f>
        <v>27</v>
      </c>
      <c r="AE99" s="226">
        <f t="shared" ref="AE99" si="62">SUM(AD99,1)</f>
        <v>28</v>
      </c>
      <c r="AF99" s="226">
        <f t="shared" ref="AF99:BL99" si="63">SUM(AE99,1)</f>
        <v>29</v>
      </c>
      <c r="AG99" s="226">
        <f t="shared" si="63"/>
        <v>30</v>
      </c>
      <c r="AH99" s="226">
        <f t="shared" si="63"/>
        <v>31</v>
      </c>
      <c r="AI99" s="226">
        <f t="shared" si="63"/>
        <v>32</v>
      </c>
      <c r="AJ99" s="226">
        <f t="shared" si="63"/>
        <v>33</v>
      </c>
      <c r="AK99" s="226">
        <f t="shared" si="63"/>
        <v>34</v>
      </c>
      <c r="AL99" s="226">
        <f t="shared" si="63"/>
        <v>35</v>
      </c>
      <c r="AM99" s="226">
        <f t="shared" si="63"/>
        <v>36</v>
      </c>
      <c r="AN99" s="226">
        <f t="shared" si="63"/>
        <v>37</v>
      </c>
      <c r="AO99" s="226">
        <f t="shared" si="63"/>
        <v>38</v>
      </c>
      <c r="AP99" s="226">
        <f t="shared" si="63"/>
        <v>39</v>
      </c>
      <c r="AQ99" s="226">
        <f t="shared" si="63"/>
        <v>40</v>
      </c>
      <c r="AR99" s="226">
        <f t="shared" si="63"/>
        <v>41</v>
      </c>
      <c r="AS99" s="226">
        <f t="shared" si="63"/>
        <v>42</v>
      </c>
      <c r="AT99" s="226">
        <f t="shared" si="63"/>
        <v>43</v>
      </c>
      <c r="AU99" s="226">
        <f t="shared" si="63"/>
        <v>44</v>
      </c>
      <c r="AV99" s="226">
        <f t="shared" si="63"/>
        <v>45</v>
      </c>
      <c r="AW99" s="226">
        <f t="shared" si="63"/>
        <v>46</v>
      </c>
      <c r="AX99" s="226">
        <f t="shared" si="63"/>
        <v>47</v>
      </c>
      <c r="AY99" s="226">
        <f t="shared" si="63"/>
        <v>48</v>
      </c>
      <c r="AZ99" s="226">
        <f t="shared" si="63"/>
        <v>49</v>
      </c>
      <c r="BA99" s="226">
        <f t="shared" si="63"/>
        <v>50</v>
      </c>
      <c r="BB99" s="226">
        <f t="shared" si="63"/>
        <v>51</v>
      </c>
      <c r="BC99" s="226">
        <f t="shared" si="63"/>
        <v>52</v>
      </c>
      <c r="BD99" s="226">
        <f t="shared" si="63"/>
        <v>53</v>
      </c>
      <c r="BE99" s="226">
        <f t="shared" si="63"/>
        <v>54</v>
      </c>
      <c r="BF99" s="226">
        <f t="shared" si="63"/>
        <v>55</v>
      </c>
      <c r="BG99" s="226">
        <f t="shared" si="63"/>
        <v>56</v>
      </c>
      <c r="BH99" s="226">
        <f t="shared" si="63"/>
        <v>57</v>
      </c>
      <c r="BI99" s="226">
        <f t="shared" si="63"/>
        <v>58</v>
      </c>
      <c r="BJ99" s="226">
        <f t="shared" si="63"/>
        <v>59</v>
      </c>
      <c r="BK99" s="226">
        <f t="shared" si="63"/>
        <v>60</v>
      </c>
      <c r="BL99" s="226">
        <f t="shared" si="63"/>
        <v>61</v>
      </c>
    </row>
    <row r="100" spans="2:64">
      <c r="B100" s="479"/>
      <c r="C100" s="479"/>
      <c r="D100" s="227">
        <f t="shared" ref="D100:M101" si="64">J29</f>
        <v>46204</v>
      </c>
      <c r="E100" s="227">
        <f t="shared" si="64"/>
        <v>46296</v>
      </c>
      <c r="F100" s="227">
        <f t="shared" si="64"/>
        <v>46388</v>
      </c>
      <c r="G100" s="227">
        <f t="shared" si="64"/>
        <v>46478</v>
      </c>
      <c r="H100" s="227">
        <f t="shared" si="64"/>
        <v>46569</v>
      </c>
      <c r="I100" s="227">
        <f t="shared" si="64"/>
        <v>46661</v>
      </c>
      <c r="J100" s="227">
        <f t="shared" si="64"/>
        <v>46753</v>
      </c>
      <c r="K100" s="227">
        <f t="shared" si="64"/>
        <v>46844</v>
      </c>
      <c r="L100" s="227">
        <f t="shared" si="64"/>
        <v>46935</v>
      </c>
      <c r="M100" s="227">
        <f t="shared" si="64"/>
        <v>47027</v>
      </c>
      <c r="N100" s="227">
        <f t="shared" ref="N100:W101" si="65">T29</f>
        <v>47119</v>
      </c>
      <c r="O100" s="227">
        <f t="shared" si="65"/>
        <v>47209</v>
      </c>
      <c r="P100" s="227">
        <f t="shared" si="65"/>
        <v>47300</v>
      </c>
      <c r="Q100" s="227">
        <f t="shared" si="65"/>
        <v>47392</v>
      </c>
      <c r="R100" s="227">
        <f t="shared" si="65"/>
        <v>47484</v>
      </c>
      <c r="S100" s="227">
        <f t="shared" si="65"/>
        <v>47574</v>
      </c>
      <c r="T100" s="227">
        <f t="shared" si="65"/>
        <v>47665</v>
      </c>
      <c r="U100" s="227">
        <f t="shared" si="65"/>
        <v>47757</v>
      </c>
      <c r="V100" s="227">
        <f t="shared" si="65"/>
        <v>47849</v>
      </c>
      <c r="W100" s="227">
        <f t="shared" si="65"/>
        <v>47939</v>
      </c>
      <c r="X100" s="227">
        <f t="shared" ref="X100:AG101" si="66">AD29</f>
        <v>48030</v>
      </c>
      <c r="Y100" s="227">
        <f t="shared" si="66"/>
        <v>48122</v>
      </c>
      <c r="Z100" s="227">
        <f t="shared" si="66"/>
        <v>48214</v>
      </c>
      <c r="AA100" s="227">
        <f t="shared" si="66"/>
        <v>48305</v>
      </c>
      <c r="AB100" s="227">
        <f t="shared" si="66"/>
        <v>48396</v>
      </c>
      <c r="AC100" s="227">
        <f t="shared" si="66"/>
        <v>48488</v>
      </c>
      <c r="AD100" s="227">
        <f t="shared" si="66"/>
        <v>48580</v>
      </c>
      <c r="AE100" s="227">
        <f t="shared" si="66"/>
        <v>48670</v>
      </c>
      <c r="AF100" s="227">
        <f t="shared" si="66"/>
        <v>48761</v>
      </c>
      <c r="AG100" s="227">
        <f t="shared" si="66"/>
        <v>48853</v>
      </c>
      <c r="AH100" s="227">
        <f t="shared" ref="AH100:AQ101" si="67">AN29</f>
        <v>48945</v>
      </c>
      <c r="AI100" s="227">
        <f t="shared" si="67"/>
        <v>49035</v>
      </c>
      <c r="AJ100" s="227">
        <f t="shared" si="67"/>
        <v>49126</v>
      </c>
      <c r="AK100" s="227">
        <f t="shared" si="67"/>
        <v>49218</v>
      </c>
      <c r="AL100" s="227">
        <f t="shared" si="67"/>
        <v>49310</v>
      </c>
      <c r="AM100" s="227">
        <f t="shared" si="67"/>
        <v>49400</v>
      </c>
      <c r="AN100" s="227">
        <f t="shared" si="67"/>
        <v>49491</v>
      </c>
      <c r="AO100" s="227">
        <f t="shared" si="67"/>
        <v>49583</v>
      </c>
      <c r="AP100" s="227">
        <f t="shared" si="67"/>
        <v>49675</v>
      </c>
      <c r="AQ100" s="227">
        <f t="shared" si="67"/>
        <v>49766</v>
      </c>
      <c r="AR100" s="227">
        <f t="shared" ref="AR100:BA101" si="68">AX29</f>
        <v>49857</v>
      </c>
      <c r="AS100" s="227">
        <f t="shared" si="68"/>
        <v>49949</v>
      </c>
      <c r="AT100" s="227">
        <f t="shared" si="68"/>
        <v>50041</v>
      </c>
      <c r="AU100" s="227">
        <f t="shared" si="68"/>
        <v>50131</v>
      </c>
      <c r="AV100" s="227">
        <f t="shared" si="68"/>
        <v>50222</v>
      </c>
      <c r="AW100" s="227">
        <f t="shared" si="68"/>
        <v>50314</v>
      </c>
      <c r="AX100" s="227">
        <f t="shared" si="68"/>
        <v>50406</v>
      </c>
      <c r="AY100" s="227">
        <f t="shared" si="68"/>
        <v>50496</v>
      </c>
      <c r="AZ100" s="227">
        <f t="shared" si="68"/>
        <v>50587</v>
      </c>
      <c r="BA100" s="227">
        <f t="shared" si="68"/>
        <v>50679</v>
      </c>
      <c r="BB100" s="227">
        <f t="shared" ref="BB100:BK101" si="69">BH29</f>
        <v>50771</v>
      </c>
      <c r="BC100" s="227">
        <f t="shared" si="69"/>
        <v>50861</v>
      </c>
      <c r="BD100" s="227">
        <f t="shared" si="69"/>
        <v>50952</v>
      </c>
      <c r="BE100" s="227">
        <f t="shared" si="69"/>
        <v>51044</v>
      </c>
      <c r="BF100" s="227">
        <f t="shared" si="69"/>
        <v>51136</v>
      </c>
      <c r="BG100" s="227">
        <f t="shared" si="69"/>
        <v>51227</v>
      </c>
      <c r="BH100" s="227">
        <f t="shared" si="69"/>
        <v>51318</v>
      </c>
      <c r="BI100" s="227">
        <f t="shared" si="69"/>
        <v>51410</v>
      </c>
      <c r="BJ100" s="227">
        <f t="shared" si="69"/>
        <v>51502</v>
      </c>
      <c r="BK100" s="227">
        <f t="shared" si="69"/>
        <v>51592</v>
      </c>
      <c r="BL100" s="227">
        <f t="shared" ref="BL100:BL101" si="70">BR29</f>
        <v>51683</v>
      </c>
    </row>
    <row r="101" spans="2:64">
      <c r="B101" s="479"/>
      <c r="C101" s="479"/>
      <c r="D101" s="227">
        <f t="shared" si="64"/>
        <v>46295</v>
      </c>
      <c r="E101" s="227">
        <f t="shared" si="64"/>
        <v>46387</v>
      </c>
      <c r="F101" s="227">
        <f t="shared" si="64"/>
        <v>46477</v>
      </c>
      <c r="G101" s="227">
        <f t="shared" si="64"/>
        <v>46568</v>
      </c>
      <c r="H101" s="227">
        <f t="shared" si="64"/>
        <v>46660</v>
      </c>
      <c r="I101" s="227">
        <f t="shared" si="64"/>
        <v>46752</v>
      </c>
      <c r="J101" s="227">
        <f t="shared" si="64"/>
        <v>46843</v>
      </c>
      <c r="K101" s="227">
        <f t="shared" si="64"/>
        <v>46934</v>
      </c>
      <c r="L101" s="227">
        <f t="shared" si="64"/>
        <v>47026</v>
      </c>
      <c r="M101" s="227">
        <f t="shared" si="64"/>
        <v>47118</v>
      </c>
      <c r="N101" s="227">
        <f t="shared" si="65"/>
        <v>47208</v>
      </c>
      <c r="O101" s="227">
        <f t="shared" si="65"/>
        <v>47299</v>
      </c>
      <c r="P101" s="227">
        <f t="shared" si="65"/>
        <v>47391</v>
      </c>
      <c r="Q101" s="227">
        <f t="shared" si="65"/>
        <v>47483</v>
      </c>
      <c r="R101" s="227">
        <f t="shared" si="65"/>
        <v>47573</v>
      </c>
      <c r="S101" s="227">
        <f t="shared" si="65"/>
        <v>47664</v>
      </c>
      <c r="T101" s="227">
        <f t="shared" si="65"/>
        <v>47756</v>
      </c>
      <c r="U101" s="227">
        <f t="shared" si="65"/>
        <v>47848</v>
      </c>
      <c r="V101" s="227">
        <f t="shared" si="65"/>
        <v>47938</v>
      </c>
      <c r="W101" s="227">
        <f t="shared" si="65"/>
        <v>48029</v>
      </c>
      <c r="X101" s="227">
        <f t="shared" si="66"/>
        <v>48121</v>
      </c>
      <c r="Y101" s="227">
        <f t="shared" si="66"/>
        <v>48213</v>
      </c>
      <c r="Z101" s="227">
        <f t="shared" si="66"/>
        <v>48304</v>
      </c>
      <c r="AA101" s="227">
        <f t="shared" si="66"/>
        <v>48395</v>
      </c>
      <c r="AB101" s="227">
        <f t="shared" si="66"/>
        <v>48487</v>
      </c>
      <c r="AC101" s="227">
        <f t="shared" si="66"/>
        <v>48579</v>
      </c>
      <c r="AD101" s="227">
        <f t="shared" si="66"/>
        <v>48669</v>
      </c>
      <c r="AE101" s="227">
        <f t="shared" si="66"/>
        <v>48760</v>
      </c>
      <c r="AF101" s="227">
        <f t="shared" si="66"/>
        <v>48852</v>
      </c>
      <c r="AG101" s="227">
        <f t="shared" si="66"/>
        <v>48944</v>
      </c>
      <c r="AH101" s="227">
        <f t="shared" si="67"/>
        <v>49034</v>
      </c>
      <c r="AI101" s="227">
        <f t="shared" si="67"/>
        <v>49125</v>
      </c>
      <c r="AJ101" s="227">
        <f t="shared" si="67"/>
        <v>49217</v>
      </c>
      <c r="AK101" s="227">
        <f t="shared" si="67"/>
        <v>49309</v>
      </c>
      <c r="AL101" s="227">
        <f t="shared" si="67"/>
        <v>49399</v>
      </c>
      <c r="AM101" s="227">
        <f t="shared" si="67"/>
        <v>49490</v>
      </c>
      <c r="AN101" s="227">
        <f t="shared" si="67"/>
        <v>49582</v>
      </c>
      <c r="AO101" s="227">
        <f t="shared" si="67"/>
        <v>49674</v>
      </c>
      <c r="AP101" s="227">
        <f t="shared" si="67"/>
        <v>49765</v>
      </c>
      <c r="AQ101" s="227">
        <f t="shared" si="67"/>
        <v>49856</v>
      </c>
      <c r="AR101" s="227">
        <f t="shared" si="68"/>
        <v>49948</v>
      </c>
      <c r="AS101" s="227">
        <f t="shared" si="68"/>
        <v>50040</v>
      </c>
      <c r="AT101" s="227">
        <f t="shared" si="68"/>
        <v>50130</v>
      </c>
      <c r="AU101" s="227">
        <f t="shared" si="68"/>
        <v>50221</v>
      </c>
      <c r="AV101" s="227">
        <f t="shared" si="68"/>
        <v>50313</v>
      </c>
      <c r="AW101" s="227">
        <f t="shared" si="68"/>
        <v>50405</v>
      </c>
      <c r="AX101" s="227">
        <f t="shared" si="68"/>
        <v>50495</v>
      </c>
      <c r="AY101" s="227">
        <f t="shared" si="68"/>
        <v>50586</v>
      </c>
      <c r="AZ101" s="227">
        <f t="shared" si="68"/>
        <v>50678</v>
      </c>
      <c r="BA101" s="227">
        <f t="shared" si="68"/>
        <v>50770</v>
      </c>
      <c r="BB101" s="227">
        <f t="shared" si="69"/>
        <v>50860</v>
      </c>
      <c r="BC101" s="227">
        <f t="shared" si="69"/>
        <v>50951</v>
      </c>
      <c r="BD101" s="227">
        <f t="shared" si="69"/>
        <v>51043</v>
      </c>
      <c r="BE101" s="227">
        <f t="shared" si="69"/>
        <v>51135</v>
      </c>
      <c r="BF101" s="227">
        <f t="shared" si="69"/>
        <v>51226</v>
      </c>
      <c r="BG101" s="227">
        <f t="shared" si="69"/>
        <v>51317</v>
      </c>
      <c r="BH101" s="227">
        <f t="shared" si="69"/>
        <v>51409</v>
      </c>
      <c r="BI101" s="227">
        <f t="shared" si="69"/>
        <v>51501</v>
      </c>
      <c r="BJ101" s="227">
        <f t="shared" si="69"/>
        <v>51591</v>
      </c>
      <c r="BK101" s="227">
        <f t="shared" si="69"/>
        <v>51682</v>
      </c>
      <c r="BL101" s="227">
        <f t="shared" si="70"/>
        <v>51774</v>
      </c>
    </row>
    <row r="102" spans="2:64">
      <c r="B102" s="74" t="str">
        <f t="shared" ref="B102:B121" si="71">IF(ISBLANK(B77),"-",B77)</f>
        <v>Продукт 1</v>
      </c>
      <c r="C102" s="75" t="str">
        <f t="shared" ref="C102:C121" si="72">INDEX($H$13:$H$16,H77)</f>
        <v>RUB</v>
      </c>
      <c r="D102" s="288"/>
      <c r="E102" s="288"/>
      <c r="F102" s="288"/>
      <c r="G102" s="288"/>
      <c r="H102" s="288"/>
      <c r="I102" s="288"/>
      <c r="J102" s="288"/>
      <c r="K102" s="288"/>
      <c r="L102" s="288"/>
      <c r="M102" s="288"/>
      <c r="N102" s="288"/>
      <c r="O102" s="288"/>
      <c r="P102" s="288"/>
      <c r="Q102" s="288"/>
      <c r="R102" s="288"/>
      <c r="S102" s="288"/>
      <c r="T102" s="288"/>
      <c r="U102" s="288"/>
      <c r="V102" s="288"/>
      <c r="W102" s="288"/>
      <c r="X102" s="288"/>
      <c r="Y102" s="288"/>
      <c r="Z102" s="288"/>
      <c r="AA102" s="288"/>
      <c r="AB102" s="288"/>
      <c r="AC102" s="288"/>
      <c r="AD102" s="288"/>
      <c r="AE102" s="288"/>
      <c r="AF102" s="288"/>
      <c r="AG102" s="288"/>
      <c r="AH102" s="288"/>
      <c r="AI102" s="288"/>
      <c r="AJ102" s="288"/>
      <c r="AK102" s="288"/>
      <c r="AL102" s="288"/>
      <c r="AM102" s="288"/>
      <c r="AN102" s="288"/>
      <c r="AO102" s="288"/>
      <c r="AP102" s="288"/>
      <c r="AQ102" s="288"/>
      <c r="AR102" s="288"/>
      <c r="AS102" s="288"/>
      <c r="AT102" s="288"/>
      <c r="AU102" s="288"/>
      <c r="AV102" s="288"/>
      <c r="AW102" s="288"/>
      <c r="AX102" s="288"/>
      <c r="AY102" s="288"/>
      <c r="AZ102" s="288"/>
      <c r="BA102" s="288"/>
      <c r="BB102" s="288"/>
      <c r="BC102" s="288"/>
      <c r="BD102" s="288"/>
      <c r="BE102" s="288"/>
      <c r="BF102" s="288"/>
      <c r="BG102" s="288"/>
      <c r="BH102" s="288"/>
      <c r="BI102" s="288"/>
      <c r="BJ102" s="288"/>
      <c r="BK102" s="288"/>
      <c r="BL102" s="288"/>
    </row>
    <row r="103" spans="2:64">
      <c r="B103" s="74" t="str">
        <f t="shared" si="71"/>
        <v>Продукт 2</v>
      </c>
      <c r="C103" s="75" t="str">
        <f t="shared" si="72"/>
        <v>RUB</v>
      </c>
      <c r="D103" s="288"/>
      <c r="E103" s="288"/>
      <c r="F103" s="288"/>
      <c r="G103" s="288"/>
      <c r="H103" s="288"/>
      <c r="I103" s="288"/>
      <c r="J103" s="288"/>
      <c r="K103" s="288"/>
      <c r="L103" s="288"/>
      <c r="M103" s="288"/>
      <c r="N103" s="288"/>
      <c r="O103" s="288"/>
      <c r="P103" s="288"/>
      <c r="Q103" s="288"/>
      <c r="R103" s="288"/>
      <c r="S103" s="288"/>
      <c r="T103" s="288"/>
      <c r="U103" s="288"/>
      <c r="V103" s="288"/>
      <c r="W103" s="288"/>
      <c r="X103" s="288"/>
      <c r="Y103" s="288"/>
      <c r="Z103" s="288"/>
      <c r="AA103" s="288"/>
      <c r="AB103" s="288"/>
      <c r="AC103" s="288"/>
      <c r="AD103" s="288"/>
      <c r="AE103" s="288"/>
      <c r="AF103" s="288"/>
      <c r="AG103" s="288"/>
      <c r="AH103" s="288"/>
      <c r="AI103" s="288"/>
      <c r="AJ103" s="288"/>
      <c r="AK103" s="288"/>
      <c r="AL103" s="288"/>
      <c r="AM103" s="288"/>
      <c r="AN103" s="288"/>
      <c r="AO103" s="288"/>
      <c r="AP103" s="288"/>
      <c r="AQ103" s="288"/>
      <c r="AR103" s="288"/>
      <c r="AS103" s="288"/>
      <c r="AT103" s="288"/>
      <c r="AU103" s="288"/>
      <c r="AV103" s="288"/>
      <c r="AW103" s="288"/>
      <c r="AX103" s="288"/>
      <c r="AY103" s="288"/>
      <c r="AZ103" s="288"/>
      <c r="BA103" s="288"/>
      <c r="BB103" s="288"/>
      <c r="BC103" s="288"/>
      <c r="BD103" s="288"/>
      <c r="BE103" s="288"/>
      <c r="BF103" s="288"/>
      <c r="BG103" s="288"/>
      <c r="BH103" s="288"/>
      <c r="BI103" s="288"/>
      <c r="BJ103" s="288"/>
      <c r="BK103" s="288"/>
      <c r="BL103" s="288"/>
    </row>
    <row r="104" spans="2:64">
      <c r="B104" s="74" t="str">
        <f t="shared" si="71"/>
        <v>Продукт 3</v>
      </c>
      <c r="C104" s="75" t="str">
        <f t="shared" si="72"/>
        <v>RUB</v>
      </c>
      <c r="D104" s="288"/>
      <c r="E104" s="288"/>
      <c r="F104" s="288"/>
      <c r="G104" s="288"/>
      <c r="H104" s="288"/>
      <c r="I104" s="288"/>
      <c r="J104" s="288"/>
      <c r="K104" s="288"/>
      <c r="L104" s="288"/>
      <c r="M104" s="288"/>
      <c r="N104" s="288"/>
      <c r="O104" s="288"/>
      <c r="P104" s="288"/>
      <c r="Q104" s="288"/>
      <c r="R104" s="288"/>
      <c r="S104" s="288"/>
      <c r="T104" s="288"/>
      <c r="U104" s="288"/>
      <c r="V104" s="288"/>
      <c r="W104" s="288"/>
      <c r="X104" s="288"/>
      <c r="Y104" s="288"/>
      <c r="Z104" s="288"/>
      <c r="AA104" s="288"/>
      <c r="AB104" s="288"/>
      <c r="AC104" s="288"/>
      <c r="AD104" s="288"/>
      <c r="AE104" s="288"/>
      <c r="AF104" s="288"/>
      <c r="AG104" s="288"/>
      <c r="AH104" s="288"/>
      <c r="AI104" s="288"/>
      <c r="AJ104" s="288"/>
      <c r="AK104" s="288"/>
      <c r="AL104" s="288"/>
      <c r="AM104" s="288"/>
      <c r="AN104" s="288"/>
      <c r="AO104" s="288"/>
      <c r="AP104" s="288"/>
      <c r="AQ104" s="288"/>
      <c r="AR104" s="288"/>
      <c r="AS104" s="288"/>
      <c r="AT104" s="288"/>
      <c r="AU104" s="288"/>
      <c r="AV104" s="288"/>
      <c r="AW104" s="288"/>
      <c r="AX104" s="288"/>
      <c r="AY104" s="288"/>
      <c r="AZ104" s="288"/>
      <c r="BA104" s="288"/>
      <c r="BB104" s="288"/>
      <c r="BC104" s="288"/>
      <c r="BD104" s="288"/>
      <c r="BE104" s="288"/>
      <c r="BF104" s="288"/>
      <c r="BG104" s="288"/>
      <c r="BH104" s="288"/>
      <c r="BI104" s="288"/>
      <c r="BJ104" s="288"/>
      <c r="BK104" s="288"/>
      <c r="BL104" s="288"/>
    </row>
    <row r="105" spans="2:64">
      <c r="B105" s="74" t="str">
        <f t="shared" si="71"/>
        <v>Продукт 4</v>
      </c>
      <c r="C105" s="75" t="str">
        <f t="shared" si="72"/>
        <v>RUB</v>
      </c>
      <c r="D105" s="288"/>
      <c r="E105" s="288"/>
      <c r="F105" s="288"/>
      <c r="G105" s="288"/>
      <c r="H105" s="288"/>
      <c r="I105" s="288"/>
      <c r="J105" s="288"/>
      <c r="K105" s="288"/>
      <c r="L105" s="288"/>
      <c r="M105" s="288"/>
      <c r="N105" s="288"/>
      <c r="O105" s="288"/>
      <c r="P105" s="288"/>
      <c r="Q105" s="288"/>
      <c r="R105" s="288"/>
      <c r="S105" s="288"/>
      <c r="T105" s="288"/>
      <c r="U105" s="288"/>
      <c r="V105" s="288"/>
      <c r="W105" s="288"/>
      <c r="X105" s="288"/>
      <c r="Y105" s="288"/>
      <c r="Z105" s="288"/>
      <c r="AA105" s="288"/>
      <c r="AB105" s="288"/>
      <c r="AC105" s="288"/>
      <c r="AD105" s="288"/>
      <c r="AE105" s="288"/>
      <c r="AF105" s="288"/>
      <c r="AG105" s="288"/>
      <c r="AH105" s="288"/>
      <c r="AI105" s="288"/>
      <c r="AJ105" s="288"/>
      <c r="AK105" s="288"/>
      <c r="AL105" s="288"/>
      <c r="AM105" s="288"/>
      <c r="AN105" s="288"/>
      <c r="AO105" s="288"/>
      <c r="AP105" s="288"/>
      <c r="AQ105" s="288"/>
      <c r="AR105" s="288"/>
      <c r="AS105" s="288"/>
      <c r="AT105" s="288"/>
      <c r="AU105" s="288"/>
      <c r="AV105" s="288"/>
      <c r="AW105" s="288"/>
      <c r="AX105" s="288"/>
      <c r="AY105" s="288"/>
      <c r="AZ105" s="288"/>
      <c r="BA105" s="288"/>
      <c r="BB105" s="288"/>
      <c r="BC105" s="288"/>
      <c r="BD105" s="288"/>
      <c r="BE105" s="288"/>
      <c r="BF105" s="288"/>
      <c r="BG105" s="288"/>
      <c r="BH105" s="288"/>
      <c r="BI105" s="288"/>
      <c r="BJ105" s="288"/>
      <c r="BK105" s="288"/>
      <c r="BL105" s="288"/>
    </row>
    <row r="106" spans="2:64">
      <c r="B106" s="74" t="str">
        <f t="shared" si="71"/>
        <v>Продукт 5</v>
      </c>
      <c r="C106" s="75" t="str">
        <f t="shared" si="72"/>
        <v>RUB</v>
      </c>
      <c r="D106" s="288"/>
      <c r="E106" s="288"/>
      <c r="F106" s="288"/>
      <c r="G106" s="288"/>
      <c r="H106" s="288"/>
      <c r="I106" s="288"/>
      <c r="J106" s="288"/>
      <c r="K106" s="288"/>
      <c r="L106" s="288"/>
      <c r="M106" s="288"/>
      <c r="N106" s="288"/>
      <c r="O106" s="288"/>
      <c r="P106" s="288"/>
      <c r="Q106" s="288"/>
      <c r="R106" s="288"/>
      <c r="S106" s="288"/>
      <c r="T106" s="288"/>
      <c r="U106" s="288"/>
      <c r="V106" s="288"/>
      <c r="W106" s="288"/>
      <c r="X106" s="288"/>
      <c r="Y106" s="288"/>
      <c r="Z106" s="288"/>
      <c r="AA106" s="288"/>
      <c r="AB106" s="288"/>
      <c r="AC106" s="288"/>
      <c r="AD106" s="288"/>
      <c r="AE106" s="288"/>
      <c r="AF106" s="288"/>
      <c r="AG106" s="288"/>
      <c r="AH106" s="288"/>
      <c r="AI106" s="288"/>
      <c r="AJ106" s="288"/>
      <c r="AK106" s="288"/>
      <c r="AL106" s="288"/>
      <c r="AM106" s="288"/>
      <c r="AN106" s="288"/>
      <c r="AO106" s="288"/>
      <c r="AP106" s="288"/>
      <c r="AQ106" s="288"/>
      <c r="AR106" s="288"/>
      <c r="AS106" s="288"/>
      <c r="AT106" s="288"/>
      <c r="AU106" s="288"/>
      <c r="AV106" s="288"/>
      <c r="AW106" s="288"/>
      <c r="AX106" s="288"/>
      <c r="AY106" s="288"/>
      <c r="AZ106" s="288"/>
      <c r="BA106" s="288"/>
      <c r="BB106" s="288"/>
      <c r="BC106" s="288"/>
      <c r="BD106" s="288"/>
      <c r="BE106" s="288"/>
      <c r="BF106" s="288"/>
      <c r="BG106" s="288"/>
      <c r="BH106" s="288"/>
      <c r="BI106" s="288"/>
      <c r="BJ106" s="288"/>
      <c r="BK106" s="288"/>
      <c r="BL106" s="288"/>
    </row>
    <row r="107" spans="2:64">
      <c r="B107" s="74" t="str">
        <f t="shared" si="71"/>
        <v>Продукт 6</v>
      </c>
      <c r="C107" s="75" t="str">
        <f t="shared" si="72"/>
        <v>RUB</v>
      </c>
      <c r="D107" s="288"/>
      <c r="E107" s="288"/>
      <c r="F107" s="288"/>
      <c r="G107" s="288"/>
      <c r="H107" s="288"/>
      <c r="I107" s="288"/>
      <c r="J107" s="288"/>
      <c r="K107" s="288"/>
      <c r="L107" s="288"/>
      <c r="M107" s="288"/>
      <c r="N107" s="288"/>
      <c r="O107" s="288"/>
      <c r="P107" s="288"/>
      <c r="Q107" s="288"/>
      <c r="R107" s="288"/>
      <c r="S107" s="288"/>
      <c r="T107" s="288"/>
      <c r="U107" s="288"/>
      <c r="V107" s="288"/>
      <c r="W107" s="288"/>
      <c r="X107" s="288"/>
      <c r="Y107" s="288"/>
      <c r="Z107" s="288"/>
      <c r="AA107" s="288"/>
      <c r="AB107" s="288"/>
      <c r="AC107" s="288"/>
      <c r="AD107" s="288"/>
      <c r="AE107" s="288"/>
      <c r="AF107" s="288"/>
      <c r="AG107" s="288"/>
      <c r="AH107" s="288"/>
      <c r="AI107" s="288"/>
      <c r="AJ107" s="288"/>
      <c r="AK107" s="288"/>
      <c r="AL107" s="288"/>
      <c r="AM107" s="288"/>
      <c r="AN107" s="288"/>
      <c r="AO107" s="288"/>
      <c r="AP107" s="288"/>
      <c r="AQ107" s="288"/>
      <c r="AR107" s="288"/>
      <c r="AS107" s="288"/>
      <c r="AT107" s="288"/>
      <c r="AU107" s="288"/>
      <c r="AV107" s="288"/>
      <c r="AW107" s="288"/>
      <c r="AX107" s="288"/>
      <c r="AY107" s="288"/>
      <c r="AZ107" s="288"/>
      <c r="BA107" s="288"/>
      <c r="BB107" s="288"/>
      <c r="BC107" s="288"/>
      <c r="BD107" s="288"/>
      <c r="BE107" s="288"/>
      <c r="BF107" s="288"/>
      <c r="BG107" s="288"/>
      <c r="BH107" s="288"/>
      <c r="BI107" s="288"/>
      <c r="BJ107" s="288"/>
      <c r="BK107" s="288"/>
      <c r="BL107" s="288"/>
    </row>
    <row r="108" spans="2:64">
      <c r="B108" s="74" t="str">
        <f t="shared" si="71"/>
        <v>Продукт 7</v>
      </c>
      <c r="C108" s="75" t="str">
        <f t="shared" si="72"/>
        <v>RUB</v>
      </c>
      <c r="D108" s="288"/>
      <c r="E108" s="288"/>
      <c r="F108" s="288"/>
      <c r="G108" s="288"/>
      <c r="H108" s="288"/>
      <c r="I108" s="288"/>
      <c r="J108" s="288"/>
      <c r="K108" s="288"/>
      <c r="L108" s="288"/>
      <c r="M108" s="288"/>
      <c r="N108" s="288"/>
      <c r="O108" s="288"/>
      <c r="P108" s="288"/>
      <c r="Q108" s="288"/>
      <c r="R108" s="288"/>
      <c r="S108" s="288"/>
      <c r="T108" s="288"/>
      <c r="U108" s="288"/>
      <c r="V108" s="288"/>
      <c r="W108" s="288"/>
      <c r="X108" s="288"/>
      <c r="Y108" s="288"/>
      <c r="Z108" s="288"/>
      <c r="AA108" s="288"/>
      <c r="AB108" s="288"/>
      <c r="AC108" s="288"/>
      <c r="AD108" s="288"/>
      <c r="AE108" s="288"/>
      <c r="AF108" s="288"/>
      <c r="AG108" s="288"/>
      <c r="AH108" s="288"/>
      <c r="AI108" s="288"/>
      <c r="AJ108" s="288"/>
      <c r="AK108" s="288"/>
      <c r="AL108" s="288"/>
      <c r="AM108" s="288"/>
      <c r="AN108" s="288"/>
      <c r="AO108" s="288"/>
      <c r="AP108" s="288"/>
      <c r="AQ108" s="288"/>
      <c r="AR108" s="288"/>
      <c r="AS108" s="288"/>
      <c r="AT108" s="288"/>
      <c r="AU108" s="288"/>
      <c r="AV108" s="288"/>
      <c r="AW108" s="288"/>
      <c r="AX108" s="288"/>
      <c r="AY108" s="288"/>
      <c r="AZ108" s="288"/>
      <c r="BA108" s="288"/>
      <c r="BB108" s="288"/>
      <c r="BC108" s="288"/>
      <c r="BD108" s="288"/>
      <c r="BE108" s="288"/>
      <c r="BF108" s="288"/>
      <c r="BG108" s="288"/>
      <c r="BH108" s="288"/>
      <c r="BI108" s="288"/>
      <c r="BJ108" s="288"/>
      <c r="BK108" s="288"/>
      <c r="BL108" s="288"/>
    </row>
    <row r="109" spans="2:64">
      <c r="B109" s="74" t="str">
        <f t="shared" si="71"/>
        <v>Продукт 8</v>
      </c>
      <c r="C109" s="75" t="str">
        <f t="shared" si="72"/>
        <v>RUB</v>
      </c>
      <c r="D109" s="288"/>
      <c r="E109" s="288"/>
      <c r="F109" s="288"/>
      <c r="G109" s="288"/>
      <c r="H109" s="288"/>
      <c r="I109" s="288"/>
      <c r="J109" s="288"/>
      <c r="K109" s="288"/>
      <c r="L109" s="288"/>
      <c r="M109" s="288"/>
      <c r="N109" s="288"/>
      <c r="O109" s="288"/>
      <c r="P109" s="288"/>
      <c r="Q109" s="288"/>
      <c r="R109" s="288"/>
      <c r="S109" s="288"/>
      <c r="T109" s="288"/>
      <c r="U109" s="288"/>
      <c r="V109" s="288"/>
      <c r="W109" s="288"/>
      <c r="X109" s="288"/>
      <c r="Y109" s="288"/>
      <c r="Z109" s="288"/>
      <c r="AA109" s="288"/>
      <c r="AB109" s="288"/>
      <c r="AC109" s="288"/>
      <c r="AD109" s="288"/>
      <c r="AE109" s="288"/>
      <c r="AF109" s="288"/>
      <c r="AG109" s="288"/>
      <c r="AH109" s="288"/>
      <c r="AI109" s="288"/>
      <c r="AJ109" s="288"/>
      <c r="AK109" s="288"/>
      <c r="AL109" s="288"/>
      <c r="AM109" s="288"/>
      <c r="AN109" s="288"/>
      <c r="AO109" s="288"/>
      <c r="AP109" s="288"/>
      <c r="AQ109" s="288"/>
      <c r="AR109" s="288"/>
      <c r="AS109" s="288"/>
      <c r="AT109" s="288"/>
      <c r="AU109" s="288"/>
      <c r="AV109" s="288"/>
      <c r="AW109" s="288"/>
      <c r="AX109" s="288"/>
      <c r="AY109" s="288"/>
      <c r="AZ109" s="288"/>
      <c r="BA109" s="288"/>
      <c r="BB109" s="288"/>
      <c r="BC109" s="288"/>
      <c r="BD109" s="288"/>
      <c r="BE109" s="288"/>
      <c r="BF109" s="288"/>
      <c r="BG109" s="288"/>
      <c r="BH109" s="288"/>
      <c r="BI109" s="288"/>
      <c r="BJ109" s="288"/>
      <c r="BK109" s="288"/>
      <c r="BL109" s="288"/>
    </row>
    <row r="110" spans="2:64">
      <c r="B110" s="74" t="str">
        <f t="shared" si="71"/>
        <v>Продукт 9</v>
      </c>
      <c r="C110" s="75" t="str">
        <f t="shared" si="72"/>
        <v>RUB</v>
      </c>
      <c r="D110" s="288"/>
      <c r="E110" s="288"/>
      <c r="F110" s="288"/>
      <c r="G110" s="288"/>
      <c r="H110" s="288"/>
      <c r="I110" s="288"/>
      <c r="J110" s="288"/>
      <c r="K110" s="288"/>
      <c r="L110" s="288"/>
      <c r="M110" s="288"/>
      <c r="N110" s="288"/>
      <c r="O110" s="288"/>
      <c r="P110" s="288"/>
      <c r="Q110" s="288"/>
      <c r="R110" s="288"/>
      <c r="S110" s="288"/>
      <c r="T110" s="288"/>
      <c r="U110" s="288"/>
      <c r="V110" s="288"/>
      <c r="W110" s="288"/>
      <c r="X110" s="288"/>
      <c r="Y110" s="288"/>
      <c r="Z110" s="288"/>
      <c r="AA110" s="288"/>
      <c r="AB110" s="288"/>
      <c r="AC110" s="288"/>
      <c r="AD110" s="288"/>
      <c r="AE110" s="288"/>
      <c r="AF110" s="288"/>
      <c r="AG110" s="288"/>
      <c r="AH110" s="288"/>
      <c r="AI110" s="288"/>
      <c r="AJ110" s="288"/>
      <c r="AK110" s="288"/>
      <c r="AL110" s="288"/>
      <c r="AM110" s="288"/>
      <c r="AN110" s="288"/>
      <c r="AO110" s="288"/>
      <c r="AP110" s="288"/>
      <c r="AQ110" s="288"/>
      <c r="AR110" s="288"/>
      <c r="AS110" s="288"/>
      <c r="AT110" s="288"/>
      <c r="AU110" s="288"/>
      <c r="AV110" s="288"/>
      <c r="AW110" s="288"/>
      <c r="AX110" s="288"/>
      <c r="AY110" s="288"/>
      <c r="AZ110" s="288"/>
      <c r="BA110" s="288"/>
      <c r="BB110" s="288"/>
      <c r="BC110" s="288"/>
      <c r="BD110" s="288"/>
      <c r="BE110" s="288"/>
      <c r="BF110" s="288"/>
      <c r="BG110" s="288"/>
      <c r="BH110" s="288"/>
      <c r="BI110" s="288"/>
      <c r="BJ110" s="288"/>
      <c r="BK110" s="288"/>
      <c r="BL110" s="288"/>
    </row>
    <row r="111" spans="2:64">
      <c r="B111" s="74" t="str">
        <f t="shared" si="71"/>
        <v>Продукт 10</v>
      </c>
      <c r="C111" s="75" t="str">
        <f t="shared" si="72"/>
        <v>RUB</v>
      </c>
      <c r="D111" s="288"/>
      <c r="E111" s="288"/>
      <c r="F111" s="288"/>
      <c r="G111" s="288"/>
      <c r="H111" s="288"/>
      <c r="I111" s="288"/>
      <c r="J111" s="288"/>
      <c r="K111" s="288"/>
      <c r="L111" s="288"/>
      <c r="M111" s="288"/>
      <c r="N111" s="288"/>
      <c r="O111" s="288"/>
      <c r="P111" s="288"/>
      <c r="Q111" s="288"/>
      <c r="R111" s="288"/>
      <c r="S111" s="288"/>
      <c r="T111" s="288"/>
      <c r="U111" s="288"/>
      <c r="V111" s="288"/>
      <c r="W111" s="288"/>
      <c r="X111" s="288"/>
      <c r="Y111" s="288"/>
      <c r="Z111" s="288"/>
      <c r="AA111" s="288"/>
      <c r="AB111" s="288"/>
      <c r="AC111" s="288"/>
      <c r="AD111" s="288"/>
      <c r="AE111" s="288"/>
      <c r="AF111" s="288"/>
      <c r="AG111" s="288"/>
      <c r="AH111" s="288"/>
      <c r="AI111" s="288"/>
      <c r="AJ111" s="288"/>
      <c r="AK111" s="288"/>
      <c r="AL111" s="288"/>
      <c r="AM111" s="288"/>
      <c r="AN111" s="288"/>
      <c r="AO111" s="288"/>
      <c r="AP111" s="288"/>
      <c r="AQ111" s="288"/>
      <c r="AR111" s="288"/>
      <c r="AS111" s="288"/>
      <c r="AT111" s="288"/>
      <c r="AU111" s="288"/>
      <c r="AV111" s="288"/>
      <c r="AW111" s="288"/>
      <c r="AX111" s="288"/>
      <c r="AY111" s="288"/>
      <c r="AZ111" s="288"/>
      <c r="BA111" s="288"/>
      <c r="BB111" s="288"/>
      <c r="BC111" s="288"/>
      <c r="BD111" s="288"/>
      <c r="BE111" s="288"/>
      <c r="BF111" s="288"/>
      <c r="BG111" s="288"/>
      <c r="BH111" s="288"/>
      <c r="BI111" s="288"/>
      <c r="BJ111" s="288"/>
      <c r="BK111" s="288"/>
      <c r="BL111" s="288"/>
    </row>
    <row r="112" spans="2:64">
      <c r="B112" s="74" t="str">
        <f t="shared" si="71"/>
        <v>Продукт 11</v>
      </c>
      <c r="C112" s="75" t="str">
        <f t="shared" si="72"/>
        <v>RUB</v>
      </c>
      <c r="D112" s="288"/>
      <c r="E112" s="288"/>
      <c r="F112" s="288"/>
      <c r="G112" s="288"/>
      <c r="H112" s="288"/>
      <c r="I112" s="288"/>
      <c r="J112" s="288"/>
      <c r="K112" s="288"/>
      <c r="L112" s="288"/>
      <c r="M112" s="288"/>
      <c r="N112" s="288"/>
      <c r="O112" s="288"/>
      <c r="P112" s="288"/>
      <c r="Q112" s="288"/>
      <c r="R112" s="288"/>
      <c r="S112" s="288"/>
      <c r="T112" s="288"/>
      <c r="U112" s="288"/>
      <c r="V112" s="288"/>
      <c r="W112" s="288"/>
      <c r="X112" s="288"/>
      <c r="Y112" s="288"/>
      <c r="Z112" s="288"/>
      <c r="AA112" s="288"/>
      <c r="AB112" s="288"/>
      <c r="AC112" s="288"/>
      <c r="AD112" s="288"/>
      <c r="AE112" s="288"/>
      <c r="AF112" s="288"/>
      <c r="AG112" s="288"/>
      <c r="AH112" s="288"/>
      <c r="AI112" s="288"/>
      <c r="AJ112" s="288"/>
      <c r="AK112" s="288"/>
      <c r="AL112" s="288"/>
      <c r="AM112" s="288"/>
      <c r="AN112" s="288"/>
      <c r="AO112" s="288"/>
      <c r="AP112" s="288"/>
      <c r="AQ112" s="288"/>
      <c r="AR112" s="288"/>
      <c r="AS112" s="288"/>
      <c r="AT112" s="288"/>
      <c r="AU112" s="288"/>
      <c r="AV112" s="288"/>
      <c r="AW112" s="288"/>
      <c r="AX112" s="288"/>
      <c r="AY112" s="288"/>
      <c r="AZ112" s="288"/>
      <c r="BA112" s="288"/>
      <c r="BB112" s="288"/>
      <c r="BC112" s="288"/>
      <c r="BD112" s="288"/>
      <c r="BE112" s="288"/>
      <c r="BF112" s="288"/>
      <c r="BG112" s="288"/>
      <c r="BH112" s="288"/>
      <c r="BI112" s="288"/>
      <c r="BJ112" s="288"/>
      <c r="BK112" s="288"/>
      <c r="BL112" s="288"/>
    </row>
    <row r="113" spans="2:64">
      <c r="B113" s="74" t="str">
        <f t="shared" si="71"/>
        <v>Продукт 12</v>
      </c>
      <c r="C113" s="75" t="str">
        <f t="shared" si="72"/>
        <v>RUB</v>
      </c>
      <c r="D113" s="288"/>
      <c r="E113" s="288"/>
      <c r="F113" s="288"/>
      <c r="G113" s="288"/>
      <c r="H113" s="288"/>
      <c r="I113" s="288"/>
      <c r="J113" s="288"/>
      <c r="K113" s="288"/>
      <c r="L113" s="288"/>
      <c r="M113" s="288"/>
      <c r="N113" s="288"/>
      <c r="O113" s="288"/>
      <c r="P113" s="288"/>
      <c r="Q113" s="288"/>
      <c r="R113" s="288"/>
      <c r="S113" s="288"/>
      <c r="T113" s="288"/>
      <c r="U113" s="288"/>
      <c r="V113" s="288"/>
      <c r="W113" s="288"/>
      <c r="X113" s="288"/>
      <c r="Y113" s="288"/>
      <c r="Z113" s="288"/>
      <c r="AA113" s="288"/>
      <c r="AB113" s="288"/>
      <c r="AC113" s="288"/>
      <c r="AD113" s="288"/>
      <c r="AE113" s="288"/>
      <c r="AF113" s="288"/>
      <c r="AG113" s="288"/>
      <c r="AH113" s="288"/>
      <c r="AI113" s="288"/>
      <c r="AJ113" s="288"/>
      <c r="AK113" s="288"/>
      <c r="AL113" s="288"/>
      <c r="AM113" s="288"/>
      <c r="AN113" s="288"/>
      <c r="AO113" s="288"/>
      <c r="AP113" s="288"/>
      <c r="AQ113" s="288"/>
      <c r="AR113" s="288"/>
      <c r="AS113" s="288"/>
      <c r="AT113" s="288"/>
      <c r="AU113" s="288"/>
      <c r="AV113" s="288"/>
      <c r="AW113" s="288"/>
      <c r="AX113" s="288"/>
      <c r="AY113" s="288"/>
      <c r="AZ113" s="288"/>
      <c r="BA113" s="288"/>
      <c r="BB113" s="288"/>
      <c r="BC113" s="288"/>
      <c r="BD113" s="288"/>
      <c r="BE113" s="288"/>
      <c r="BF113" s="288"/>
      <c r="BG113" s="288"/>
      <c r="BH113" s="288"/>
      <c r="BI113" s="288"/>
      <c r="BJ113" s="288"/>
      <c r="BK113" s="288"/>
      <c r="BL113" s="288"/>
    </row>
    <row r="114" spans="2:64">
      <c r="B114" s="74" t="str">
        <f t="shared" si="71"/>
        <v>Продукт 13</v>
      </c>
      <c r="C114" s="75" t="str">
        <f t="shared" si="72"/>
        <v>RUB</v>
      </c>
      <c r="D114" s="288"/>
      <c r="E114" s="288"/>
      <c r="F114" s="288"/>
      <c r="G114" s="288"/>
      <c r="H114" s="288"/>
      <c r="I114" s="288"/>
      <c r="J114" s="288"/>
      <c r="K114" s="288"/>
      <c r="L114" s="288"/>
      <c r="M114" s="288"/>
      <c r="N114" s="288"/>
      <c r="O114" s="288"/>
      <c r="P114" s="288"/>
      <c r="Q114" s="288"/>
      <c r="R114" s="288"/>
      <c r="S114" s="288"/>
      <c r="T114" s="288"/>
      <c r="U114" s="288"/>
      <c r="V114" s="288"/>
      <c r="W114" s="288"/>
      <c r="X114" s="288"/>
      <c r="Y114" s="288"/>
      <c r="Z114" s="288"/>
      <c r="AA114" s="288"/>
      <c r="AB114" s="288"/>
      <c r="AC114" s="288"/>
      <c r="AD114" s="288"/>
      <c r="AE114" s="288"/>
      <c r="AF114" s="288"/>
      <c r="AG114" s="288"/>
      <c r="AH114" s="288"/>
      <c r="AI114" s="288"/>
      <c r="AJ114" s="288"/>
      <c r="AK114" s="288"/>
      <c r="AL114" s="288"/>
      <c r="AM114" s="288"/>
      <c r="AN114" s="288"/>
      <c r="AO114" s="288"/>
      <c r="AP114" s="288"/>
      <c r="AQ114" s="288"/>
      <c r="AR114" s="288"/>
      <c r="AS114" s="288"/>
      <c r="AT114" s="288"/>
      <c r="AU114" s="288"/>
      <c r="AV114" s="288"/>
      <c r="AW114" s="288"/>
      <c r="AX114" s="288"/>
      <c r="AY114" s="288"/>
      <c r="AZ114" s="288"/>
      <c r="BA114" s="288"/>
      <c r="BB114" s="288"/>
      <c r="BC114" s="288"/>
      <c r="BD114" s="288"/>
      <c r="BE114" s="288"/>
      <c r="BF114" s="288"/>
      <c r="BG114" s="288"/>
      <c r="BH114" s="288"/>
      <c r="BI114" s="288"/>
      <c r="BJ114" s="288"/>
      <c r="BK114" s="288"/>
      <c r="BL114" s="288"/>
    </row>
    <row r="115" spans="2:64">
      <c r="B115" s="74" t="str">
        <f t="shared" si="71"/>
        <v>Продукт 14</v>
      </c>
      <c r="C115" s="75" t="str">
        <f t="shared" si="72"/>
        <v>RUB</v>
      </c>
      <c r="D115" s="288"/>
      <c r="E115" s="288"/>
      <c r="F115" s="288"/>
      <c r="G115" s="288"/>
      <c r="H115" s="288"/>
      <c r="I115" s="288"/>
      <c r="J115" s="288"/>
      <c r="K115" s="288"/>
      <c r="L115" s="288"/>
      <c r="M115" s="288"/>
      <c r="N115" s="288"/>
      <c r="O115" s="288"/>
      <c r="P115" s="288"/>
      <c r="Q115" s="288"/>
      <c r="R115" s="288"/>
      <c r="S115" s="288"/>
      <c r="T115" s="288"/>
      <c r="U115" s="288"/>
      <c r="V115" s="288"/>
      <c r="W115" s="288"/>
      <c r="X115" s="288"/>
      <c r="Y115" s="288"/>
      <c r="Z115" s="288"/>
      <c r="AA115" s="288"/>
      <c r="AB115" s="288"/>
      <c r="AC115" s="288"/>
      <c r="AD115" s="288"/>
      <c r="AE115" s="288"/>
      <c r="AF115" s="288"/>
      <c r="AG115" s="288"/>
      <c r="AH115" s="288"/>
      <c r="AI115" s="288"/>
      <c r="AJ115" s="288"/>
      <c r="AK115" s="288"/>
      <c r="AL115" s="288"/>
      <c r="AM115" s="288"/>
      <c r="AN115" s="288"/>
      <c r="AO115" s="288"/>
      <c r="AP115" s="288"/>
      <c r="AQ115" s="288"/>
      <c r="AR115" s="288"/>
      <c r="AS115" s="288"/>
      <c r="AT115" s="288"/>
      <c r="AU115" s="288"/>
      <c r="AV115" s="288"/>
      <c r="AW115" s="288"/>
      <c r="AX115" s="288"/>
      <c r="AY115" s="288"/>
      <c r="AZ115" s="288"/>
      <c r="BA115" s="288"/>
      <c r="BB115" s="288"/>
      <c r="BC115" s="288"/>
      <c r="BD115" s="288"/>
      <c r="BE115" s="288"/>
      <c r="BF115" s="288"/>
      <c r="BG115" s="288"/>
      <c r="BH115" s="288"/>
      <c r="BI115" s="288"/>
      <c r="BJ115" s="288"/>
      <c r="BK115" s="288"/>
      <c r="BL115" s="288"/>
    </row>
    <row r="116" spans="2:64">
      <c r="B116" s="74" t="str">
        <f t="shared" si="71"/>
        <v>Продукт 15</v>
      </c>
      <c r="C116" s="75" t="str">
        <f t="shared" si="72"/>
        <v>RUB</v>
      </c>
      <c r="D116" s="288"/>
      <c r="E116" s="288"/>
      <c r="F116" s="288"/>
      <c r="G116" s="288"/>
      <c r="H116" s="288"/>
      <c r="I116" s="288"/>
      <c r="J116" s="288"/>
      <c r="K116" s="288"/>
      <c r="L116" s="288"/>
      <c r="M116" s="288"/>
      <c r="N116" s="288"/>
      <c r="O116" s="288"/>
      <c r="P116" s="288"/>
      <c r="Q116" s="288"/>
      <c r="R116" s="288"/>
      <c r="S116" s="288"/>
      <c r="T116" s="288"/>
      <c r="U116" s="288"/>
      <c r="V116" s="288"/>
      <c r="W116" s="288"/>
      <c r="X116" s="288"/>
      <c r="Y116" s="288"/>
      <c r="Z116" s="288"/>
      <c r="AA116" s="288"/>
      <c r="AB116" s="288"/>
      <c r="AC116" s="288"/>
      <c r="AD116" s="288"/>
      <c r="AE116" s="288"/>
      <c r="AF116" s="288"/>
      <c r="AG116" s="288"/>
      <c r="AH116" s="288"/>
      <c r="AI116" s="288"/>
      <c r="AJ116" s="288"/>
      <c r="AK116" s="288"/>
      <c r="AL116" s="288"/>
      <c r="AM116" s="288"/>
      <c r="AN116" s="288"/>
      <c r="AO116" s="288"/>
      <c r="AP116" s="288"/>
      <c r="AQ116" s="288"/>
      <c r="AR116" s="288"/>
      <c r="AS116" s="288"/>
      <c r="AT116" s="288"/>
      <c r="AU116" s="288"/>
      <c r="AV116" s="288"/>
      <c r="AW116" s="288"/>
      <c r="AX116" s="288"/>
      <c r="AY116" s="288"/>
      <c r="AZ116" s="288"/>
      <c r="BA116" s="288"/>
      <c r="BB116" s="288"/>
      <c r="BC116" s="288"/>
      <c r="BD116" s="288"/>
      <c r="BE116" s="288"/>
      <c r="BF116" s="288"/>
      <c r="BG116" s="288"/>
      <c r="BH116" s="288"/>
      <c r="BI116" s="288"/>
      <c r="BJ116" s="288"/>
      <c r="BK116" s="288"/>
      <c r="BL116" s="288"/>
    </row>
    <row r="117" spans="2:64">
      <c r="B117" s="74" t="str">
        <f t="shared" si="71"/>
        <v>Продукт 16</v>
      </c>
      <c r="C117" s="75" t="str">
        <f t="shared" si="72"/>
        <v>RUB</v>
      </c>
      <c r="D117" s="288"/>
      <c r="E117" s="288"/>
      <c r="F117" s="288"/>
      <c r="G117" s="288"/>
      <c r="H117" s="288"/>
      <c r="I117" s="288"/>
      <c r="J117" s="288"/>
      <c r="K117" s="288"/>
      <c r="L117" s="288"/>
      <c r="M117" s="288"/>
      <c r="N117" s="288"/>
      <c r="O117" s="288"/>
      <c r="P117" s="288"/>
      <c r="Q117" s="288"/>
      <c r="R117" s="288"/>
      <c r="S117" s="288"/>
      <c r="T117" s="288"/>
      <c r="U117" s="288"/>
      <c r="V117" s="288"/>
      <c r="W117" s="288"/>
      <c r="X117" s="288"/>
      <c r="Y117" s="288"/>
      <c r="Z117" s="288"/>
      <c r="AA117" s="288"/>
      <c r="AB117" s="288"/>
      <c r="AC117" s="288"/>
      <c r="AD117" s="288"/>
      <c r="AE117" s="288"/>
      <c r="AF117" s="288"/>
      <c r="AG117" s="288"/>
      <c r="AH117" s="288"/>
      <c r="AI117" s="288"/>
      <c r="AJ117" s="288"/>
      <c r="AK117" s="288"/>
      <c r="AL117" s="288"/>
      <c r="AM117" s="288"/>
      <c r="AN117" s="288"/>
      <c r="AO117" s="288"/>
      <c r="AP117" s="288"/>
      <c r="AQ117" s="288"/>
      <c r="AR117" s="288"/>
      <c r="AS117" s="288"/>
      <c r="AT117" s="288"/>
      <c r="AU117" s="288"/>
      <c r="AV117" s="288"/>
      <c r="AW117" s="288"/>
      <c r="AX117" s="288"/>
      <c r="AY117" s="288"/>
      <c r="AZ117" s="288"/>
      <c r="BA117" s="288"/>
      <c r="BB117" s="288"/>
      <c r="BC117" s="288"/>
      <c r="BD117" s="288"/>
      <c r="BE117" s="288"/>
      <c r="BF117" s="288"/>
      <c r="BG117" s="288"/>
      <c r="BH117" s="288"/>
      <c r="BI117" s="288"/>
      <c r="BJ117" s="288"/>
      <c r="BK117" s="288"/>
      <c r="BL117" s="288"/>
    </row>
    <row r="118" spans="2:64">
      <c r="B118" s="74" t="str">
        <f t="shared" si="71"/>
        <v>Продукт 17</v>
      </c>
      <c r="C118" s="75" t="str">
        <f t="shared" si="72"/>
        <v>RUB</v>
      </c>
      <c r="D118" s="288"/>
      <c r="E118" s="288"/>
      <c r="F118" s="288"/>
      <c r="G118" s="288"/>
      <c r="H118" s="288"/>
      <c r="I118" s="288"/>
      <c r="J118" s="288"/>
      <c r="K118" s="288"/>
      <c r="L118" s="288"/>
      <c r="M118" s="288"/>
      <c r="N118" s="288"/>
      <c r="O118" s="288"/>
      <c r="P118" s="288"/>
      <c r="Q118" s="288"/>
      <c r="R118" s="288"/>
      <c r="S118" s="288"/>
      <c r="T118" s="288"/>
      <c r="U118" s="288"/>
      <c r="V118" s="288"/>
      <c r="W118" s="288"/>
      <c r="X118" s="288"/>
      <c r="Y118" s="288"/>
      <c r="Z118" s="288"/>
      <c r="AA118" s="288"/>
      <c r="AB118" s="288"/>
      <c r="AC118" s="288"/>
      <c r="AD118" s="288"/>
      <c r="AE118" s="288"/>
      <c r="AF118" s="288"/>
      <c r="AG118" s="288"/>
      <c r="AH118" s="288"/>
      <c r="AI118" s="288"/>
      <c r="AJ118" s="288"/>
      <c r="AK118" s="288"/>
      <c r="AL118" s="288"/>
      <c r="AM118" s="288"/>
      <c r="AN118" s="288"/>
      <c r="AO118" s="288"/>
      <c r="AP118" s="288"/>
      <c r="AQ118" s="288"/>
      <c r="AR118" s="288"/>
      <c r="AS118" s="288"/>
      <c r="AT118" s="288"/>
      <c r="AU118" s="288"/>
      <c r="AV118" s="288"/>
      <c r="AW118" s="288"/>
      <c r="AX118" s="288"/>
      <c r="AY118" s="288"/>
      <c r="AZ118" s="288"/>
      <c r="BA118" s="288"/>
      <c r="BB118" s="288"/>
      <c r="BC118" s="288"/>
      <c r="BD118" s="288"/>
      <c r="BE118" s="288"/>
      <c r="BF118" s="288"/>
      <c r="BG118" s="288"/>
      <c r="BH118" s="288"/>
      <c r="BI118" s="288"/>
      <c r="BJ118" s="288"/>
      <c r="BK118" s="288"/>
      <c r="BL118" s="288"/>
    </row>
    <row r="119" spans="2:64" ht="15" customHeight="1">
      <c r="B119" s="74" t="str">
        <f t="shared" si="71"/>
        <v>Продукт 18</v>
      </c>
      <c r="C119" s="75" t="str">
        <f t="shared" si="72"/>
        <v>RUB</v>
      </c>
      <c r="D119" s="288"/>
      <c r="E119" s="288"/>
      <c r="F119" s="288"/>
      <c r="G119" s="288"/>
      <c r="H119" s="288"/>
      <c r="I119" s="288"/>
      <c r="J119" s="288"/>
      <c r="K119" s="288"/>
      <c r="L119" s="288"/>
      <c r="M119" s="288"/>
      <c r="N119" s="288"/>
      <c r="O119" s="288"/>
      <c r="P119" s="288"/>
      <c r="Q119" s="288"/>
      <c r="R119" s="288"/>
      <c r="S119" s="288"/>
      <c r="T119" s="288"/>
      <c r="U119" s="288"/>
      <c r="V119" s="288"/>
      <c r="W119" s="288"/>
      <c r="X119" s="288"/>
      <c r="Y119" s="288"/>
      <c r="Z119" s="288"/>
      <c r="AA119" s="288"/>
      <c r="AB119" s="288"/>
      <c r="AC119" s="288"/>
      <c r="AD119" s="288"/>
      <c r="AE119" s="288"/>
      <c r="AF119" s="288"/>
      <c r="AG119" s="288"/>
      <c r="AH119" s="288"/>
      <c r="AI119" s="288"/>
      <c r="AJ119" s="288"/>
      <c r="AK119" s="288"/>
      <c r="AL119" s="288"/>
      <c r="AM119" s="288"/>
      <c r="AN119" s="288"/>
      <c r="AO119" s="288"/>
      <c r="AP119" s="288"/>
      <c r="AQ119" s="288"/>
      <c r="AR119" s="288"/>
      <c r="AS119" s="288"/>
      <c r="AT119" s="288"/>
      <c r="AU119" s="288"/>
      <c r="AV119" s="288"/>
      <c r="AW119" s="288"/>
      <c r="AX119" s="288"/>
      <c r="AY119" s="288"/>
      <c r="AZ119" s="288"/>
      <c r="BA119" s="288"/>
      <c r="BB119" s="288"/>
      <c r="BC119" s="288"/>
      <c r="BD119" s="288"/>
      <c r="BE119" s="288"/>
      <c r="BF119" s="288"/>
      <c r="BG119" s="288"/>
      <c r="BH119" s="288"/>
      <c r="BI119" s="288"/>
      <c r="BJ119" s="288"/>
      <c r="BK119" s="288"/>
      <c r="BL119" s="288"/>
    </row>
    <row r="120" spans="2:64" ht="15" customHeight="1">
      <c r="B120" s="74" t="str">
        <f t="shared" si="71"/>
        <v>Продукт 19</v>
      </c>
      <c r="C120" s="75" t="str">
        <f t="shared" si="72"/>
        <v>RUB</v>
      </c>
      <c r="D120" s="288"/>
      <c r="E120" s="288"/>
      <c r="F120" s="288"/>
      <c r="G120" s="288"/>
      <c r="H120" s="288"/>
      <c r="I120" s="288"/>
      <c r="J120" s="288"/>
      <c r="K120" s="288"/>
      <c r="L120" s="288"/>
      <c r="M120" s="288"/>
      <c r="N120" s="288"/>
      <c r="O120" s="288"/>
      <c r="P120" s="288"/>
      <c r="Q120" s="288"/>
      <c r="R120" s="288"/>
      <c r="S120" s="288"/>
      <c r="T120" s="288"/>
      <c r="U120" s="288"/>
      <c r="V120" s="288"/>
      <c r="W120" s="288"/>
      <c r="X120" s="288"/>
      <c r="Y120" s="288"/>
      <c r="Z120" s="288"/>
      <c r="AA120" s="288"/>
      <c r="AB120" s="288"/>
      <c r="AC120" s="288"/>
      <c r="AD120" s="288"/>
      <c r="AE120" s="288"/>
      <c r="AF120" s="288"/>
      <c r="AG120" s="288"/>
      <c r="AH120" s="288"/>
      <c r="AI120" s="288"/>
      <c r="AJ120" s="288"/>
      <c r="AK120" s="288"/>
      <c r="AL120" s="288"/>
      <c r="AM120" s="288"/>
      <c r="AN120" s="288"/>
      <c r="AO120" s="288"/>
      <c r="AP120" s="288"/>
      <c r="AQ120" s="288"/>
      <c r="AR120" s="288"/>
      <c r="AS120" s="288"/>
      <c r="AT120" s="288"/>
      <c r="AU120" s="288"/>
      <c r="AV120" s="288"/>
      <c r="AW120" s="288"/>
      <c r="AX120" s="288"/>
      <c r="AY120" s="288"/>
      <c r="AZ120" s="288"/>
      <c r="BA120" s="288"/>
      <c r="BB120" s="288"/>
      <c r="BC120" s="288"/>
      <c r="BD120" s="288"/>
      <c r="BE120" s="288"/>
      <c r="BF120" s="288"/>
      <c r="BG120" s="288"/>
      <c r="BH120" s="288"/>
      <c r="BI120" s="288"/>
      <c r="BJ120" s="288"/>
      <c r="BK120" s="288"/>
      <c r="BL120" s="288"/>
    </row>
    <row r="121" spans="2:64" ht="15" customHeight="1">
      <c r="B121" s="74" t="str">
        <f t="shared" si="71"/>
        <v>Продукт 20</v>
      </c>
      <c r="C121" s="75" t="str">
        <f t="shared" si="72"/>
        <v>RUB</v>
      </c>
      <c r="D121" s="288"/>
      <c r="E121" s="288"/>
      <c r="F121" s="288"/>
      <c r="G121" s="288"/>
      <c r="H121" s="288"/>
      <c r="I121" s="288"/>
      <c r="J121" s="288"/>
      <c r="K121" s="288"/>
      <c r="L121" s="288"/>
      <c r="M121" s="288"/>
      <c r="N121" s="288"/>
      <c r="O121" s="288"/>
      <c r="P121" s="288"/>
      <c r="Q121" s="288"/>
      <c r="R121" s="288"/>
      <c r="S121" s="288"/>
      <c r="T121" s="288"/>
      <c r="U121" s="288"/>
      <c r="V121" s="288"/>
      <c r="W121" s="288"/>
      <c r="X121" s="288"/>
      <c r="Y121" s="288"/>
      <c r="Z121" s="288"/>
      <c r="AA121" s="288"/>
      <c r="AB121" s="288"/>
      <c r="AC121" s="288"/>
      <c r="AD121" s="288"/>
      <c r="AE121" s="288"/>
      <c r="AF121" s="288"/>
      <c r="AG121" s="288"/>
      <c r="AH121" s="288"/>
      <c r="AI121" s="288"/>
      <c r="AJ121" s="288"/>
      <c r="AK121" s="288"/>
      <c r="AL121" s="288"/>
      <c r="AM121" s="288"/>
      <c r="AN121" s="288"/>
      <c r="AO121" s="288"/>
      <c r="AP121" s="288"/>
      <c r="AQ121" s="288"/>
      <c r="AR121" s="288"/>
      <c r="AS121" s="288"/>
      <c r="AT121" s="288"/>
      <c r="AU121" s="288"/>
      <c r="AV121" s="288"/>
      <c r="AW121" s="288"/>
      <c r="AX121" s="288"/>
      <c r="AY121" s="288"/>
      <c r="AZ121" s="288"/>
      <c r="BA121" s="288"/>
      <c r="BB121" s="288"/>
      <c r="BC121" s="288"/>
      <c r="BD121" s="288"/>
      <c r="BE121" s="288"/>
      <c r="BF121" s="288"/>
      <c r="BG121" s="288"/>
      <c r="BH121" s="288"/>
      <c r="BI121" s="288"/>
      <c r="BJ121" s="288"/>
      <c r="BK121" s="288"/>
      <c r="BL121" s="288"/>
    </row>
    <row r="122" spans="2:64"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5"/>
    </row>
    <row r="123" spans="2:64" ht="15.75">
      <c r="B123" s="22" t="s">
        <v>329</v>
      </c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  <c r="AE123" s="5"/>
    </row>
    <row r="124" spans="2:64">
      <c r="B124" s="479" t="s">
        <v>9</v>
      </c>
      <c r="C124" s="479" t="s">
        <v>13</v>
      </c>
      <c r="D124" s="226">
        <f>SUM(C124,1)</f>
        <v>1</v>
      </c>
      <c r="E124" s="226">
        <f t="shared" ref="E124:W124" si="73">SUM(D124,1)</f>
        <v>2</v>
      </c>
      <c r="F124" s="226">
        <f t="shared" si="73"/>
        <v>3</v>
      </c>
      <c r="G124" s="226">
        <f t="shared" si="73"/>
        <v>4</v>
      </c>
      <c r="H124" s="226">
        <f t="shared" si="73"/>
        <v>5</v>
      </c>
      <c r="I124" s="226">
        <f t="shared" si="73"/>
        <v>6</v>
      </c>
      <c r="J124" s="226">
        <f t="shared" si="73"/>
        <v>7</v>
      </c>
      <c r="K124" s="226">
        <f t="shared" si="73"/>
        <v>8</v>
      </c>
      <c r="L124" s="226">
        <f t="shared" si="73"/>
        <v>9</v>
      </c>
      <c r="M124" s="226">
        <f t="shared" si="73"/>
        <v>10</v>
      </c>
      <c r="N124" s="226">
        <f t="shared" si="73"/>
        <v>11</v>
      </c>
      <c r="O124" s="226">
        <f t="shared" si="73"/>
        <v>12</v>
      </c>
      <c r="P124" s="226">
        <f t="shared" si="73"/>
        <v>13</v>
      </c>
      <c r="Q124" s="226">
        <f t="shared" si="73"/>
        <v>14</v>
      </c>
      <c r="R124" s="226">
        <f t="shared" si="73"/>
        <v>15</v>
      </c>
      <c r="S124" s="226">
        <f t="shared" si="73"/>
        <v>16</v>
      </c>
      <c r="T124" s="226">
        <f t="shared" si="73"/>
        <v>17</v>
      </c>
      <c r="U124" s="226">
        <f t="shared" si="73"/>
        <v>18</v>
      </c>
      <c r="V124" s="226">
        <f t="shared" si="73"/>
        <v>19</v>
      </c>
      <c r="W124" s="226">
        <f t="shared" si="73"/>
        <v>20</v>
      </c>
      <c r="X124" s="226">
        <f t="shared" ref="X124" si="74">SUM(W124,1)</f>
        <v>21</v>
      </c>
      <c r="Y124" s="226">
        <f t="shared" ref="Y124" si="75">SUM(X124,1)</f>
        <v>22</v>
      </c>
      <c r="Z124" s="226">
        <f t="shared" ref="Z124" si="76">SUM(Y124,1)</f>
        <v>23</v>
      </c>
      <c r="AA124" s="226">
        <f t="shared" ref="AA124" si="77">SUM(Z124,1)</f>
        <v>24</v>
      </c>
      <c r="AB124" s="226">
        <f t="shared" ref="AB124" si="78">SUM(AA124,1)</f>
        <v>25</v>
      </c>
      <c r="AC124" s="226">
        <f t="shared" ref="AC124" si="79">SUM(AB124,1)</f>
        <v>26</v>
      </c>
      <c r="AD124" s="226">
        <f t="shared" ref="AD124" si="80">SUM(AC124,1)</f>
        <v>27</v>
      </c>
      <c r="AE124" s="226">
        <f t="shared" ref="AE124" si="81">SUM(AD124,1)</f>
        <v>28</v>
      </c>
      <c r="AF124" s="226">
        <f t="shared" ref="AF124:BL124" si="82">SUM(AE124,1)</f>
        <v>29</v>
      </c>
      <c r="AG124" s="226">
        <f t="shared" si="82"/>
        <v>30</v>
      </c>
      <c r="AH124" s="226">
        <f t="shared" si="82"/>
        <v>31</v>
      </c>
      <c r="AI124" s="226">
        <f t="shared" si="82"/>
        <v>32</v>
      </c>
      <c r="AJ124" s="226">
        <f t="shared" si="82"/>
        <v>33</v>
      </c>
      <c r="AK124" s="226">
        <f t="shared" si="82"/>
        <v>34</v>
      </c>
      <c r="AL124" s="226">
        <f t="shared" si="82"/>
        <v>35</v>
      </c>
      <c r="AM124" s="226">
        <f t="shared" si="82"/>
        <v>36</v>
      </c>
      <c r="AN124" s="226">
        <f t="shared" si="82"/>
        <v>37</v>
      </c>
      <c r="AO124" s="226">
        <f t="shared" si="82"/>
        <v>38</v>
      </c>
      <c r="AP124" s="226">
        <f t="shared" si="82"/>
        <v>39</v>
      </c>
      <c r="AQ124" s="226">
        <f t="shared" si="82"/>
        <v>40</v>
      </c>
      <c r="AR124" s="226">
        <f t="shared" si="82"/>
        <v>41</v>
      </c>
      <c r="AS124" s="226">
        <f t="shared" si="82"/>
        <v>42</v>
      </c>
      <c r="AT124" s="226">
        <f t="shared" si="82"/>
        <v>43</v>
      </c>
      <c r="AU124" s="226">
        <f t="shared" si="82"/>
        <v>44</v>
      </c>
      <c r="AV124" s="226">
        <f t="shared" si="82"/>
        <v>45</v>
      </c>
      <c r="AW124" s="226">
        <f t="shared" si="82"/>
        <v>46</v>
      </c>
      <c r="AX124" s="226">
        <f t="shared" si="82"/>
        <v>47</v>
      </c>
      <c r="AY124" s="226">
        <f t="shared" si="82"/>
        <v>48</v>
      </c>
      <c r="AZ124" s="226">
        <f t="shared" si="82"/>
        <v>49</v>
      </c>
      <c r="BA124" s="226">
        <f t="shared" si="82"/>
        <v>50</v>
      </c>
      <c r="BB124" s="226">
        <f t="shared" si="82"/>
        <v>51</v>
      </c>
      <c r="BC124" s="226">
        <f t="shared" si="82"/>
        <v>52</v>
      </c>
      <c r="BD124" s="226">
        <f t="shared" si="82"/>
        <v>53</v>
      </c>
      <c r="BE124" s="226">
        <f t="shared" si="82"/>
        <v>54</v>
      </c>
      <c r="BF124" s="226">
        <f t="shared" si="82"/>
        <v>55</v>
      </c>
      <c r="BG124" s="226">
        <f t="shared" si="82"/>
        <v>56</v>
      </c>
      <c r="BH124" s="226">
        <f t="shared" si="82"/>
        <v>57</v>
      </c>
      <c r="BI124" s="226">
        <f t="shared" si="82"/>
        <v>58</v>
      </c>
      <c r="BJ124" s="226">
        <f t="shared" si="82"/>
        <v>59</v>
      </c>
      <c r="BK124" s="226">
        <f t="shared" si="82"/>
        <v>60</v>
      </c>
      <c r="BL124" s="226">
        <f t="shared" si="82"/>
        <v>61</v>
      </c>
    </row>
    <row r="125" spans="2:64">
      <c r="B125" s="479"/>
      <c r="C125" s="479"/>
      <c r="D125" s="227">
        <f t="shared" ref="D125:M126" si="83">J29</f>
        <v>46204</v>
      </c>
      <c r="E125" s="227">
        <f t="shared" si="83"/>
        <v>46296</v>
      </c>
      <c r="F125" s="227">
        <f t="shared" si="83"/>
        <v>46388</v>
      </c>
      <c r="G125" s="227">
        <f t="shared" si="83"/>
        <v>46478</v>
      </c>
      <c r="H125" s="227">
        <f t="shared" si="83"/>
        <v>46569</v>
      </c>
      <c r="I125" s="227">
        <f t="shared" si="83"/>
        <v>46661</v>
      </c>
      <c r="J125" s="227">
        <f t="shared" si="83"/>
        <v>46753</v>
      </c>
      <c r="K125" s="227">
        <f t="shared" si="83"/>
        <v>46844</v>
      </c>
      <c r="L125" s="227">
        <f t="shared" si="83"/>
        <v>46935</v>
      </c>
      <c r="M125" s="227">
        <f t="shared" si="83"/>
        <v>47027</v>
      </c>
      <c r="N125" s="227">
        <f t="shared" ref="N125:W126" si="84">T29</f>
        <v>47119</v>
      </c>
      <c r="O125" s="227">
        <f t="shared" si="84"/>
        <v>47209</v>
      </c>
      <c r="P125" s="227">
        <f t="shared" si="84"/>
        <v>47300</v>
      </c>
      <c r="Q125" s="227">
        <f t="shared" si="84"/>
        <v>47392</v>
      </c>
      <c r="R125" s="227">
        <f t="shared" si="84"/>
        <v>47484</v>
      </c>
      <c r="S125" s="227">
        <f t="shared" si="84"/>
        <v>47574</v>
      </c>
      <c r="T125" s="227">
        <f t="shared" si="84"/>
        <v>47665</v>
      </c>
      <c r="U125" s="227">
        <f t="shared" si="84"/>
        <v>47757</v>
      </c>
      <c r="V125" s="227">
        <f t="shared" si="84"/>
        <v>47849</v>
      </c>
      <c r="W125" s="227">
        <f t="shared" si="84"/>
        <v>47939</v>
      </c>
      <c r="X125" s="227">
        <f t="shared" ref="X125:AG126" si="85">AD29</f>
        <v>48030</v>
      </c>
      <c r="Y125" s="227">
        <f t="shared" si="85"/>
        <v>48122</v>
      </c>
      <c r="Z125" s="227">
        <f t="shared" si="85"/>
        <v>48214</v>
      </c>
      <c r="AA125" s="227">
        <f t="shared" si="85"/>
        <v>48305</v>
      </c>
      <c r="AB125" s="227">
        <f t="shared" si="85"/>
        <v>48396</v>
      </c>
      <c r="AC125" s="227">
        <f t="shared" si="85"/>
        <v>48488</v>
      </c>
      <c r="AD125" s="227">
        <f t="shared" si="85"/>
        <v>48580</v>
      </c>
      <c r="AE125" s="227">
        <f t="shared" si="85"/>
        <v>48670</v>
      </c>
      <c r="AF125" s="227">
        <f t="shared" si="85"/>
        <v>48761</v>
      </c>
      <c r="AG125" s="227">
        <f t="shared" si="85"/>
        <v>48853</v>
      </c>
      <c r="AH125" s="227">
        <f t="shared" ref="AH125:AQ126" si="86">AN29</f>
        <v>48945</v>
      </c>
      <c r="AI125" s="227">
        <f t="shared" si="86"/>
        <v>49035</v>
      </c>
      <c r="AJ125" s="227">
        <f t="shared" si="86"/>
        <v>49126</v>
      </c>
      <c r="AK125" s="227">
        <f t="shared" si="86"/>
        <v>49218</v>
      </c>
      <c r="AL125" s="227">
        <f t="shared" si="86"/>
        <v>49310</v>
      </c>
      <c r="AM125" s="227">
        <f t="shared" si="86"/>
        <v>49400</v>
      </c>
      <c r="AN125" s="227">
        <f t="shared" si="86"/>
        <v>49491</v>
      </c>
      <c r="AO125" s="227">
        <f t="shared" si="86"/>
        <v>49583</v>
      </c>
      <c r="AP125" s="227">
        <f t="shared" si="86"/>
        <v>49675</v>
      </c>
      <c r="AQ125" s="227">
        <f t="shared" si="86"/>
        <v>49766</v>
      </c>
      <c r="AR125" s="227">
        <f t="shared" ref="AR125:BA126" si="87">AX29</f>
        <v>49857</v>
      </c>
      <c r="AS125" s="227">
        <f t="shared" si="87"/>
        <v>49949</v>
      </c>
      <c r="AT125" s="227">
        <f t="shared" si="87"/>
        <v>50041</v>
      </c>
      <c r="AU125" s="227">
        <f t="shared" si="87"/>
        <v>50131</v>
      </c>
      <c r="AV125" s="227">
        <f t="shared" si="87"/>
        <v>50222</v>
      </c>
      <c r="AW125" s="227">
        <f t="shared" si="87"/>
        <v>50314</v>
      </c>
      <c r="AX125" s="227">
        <f t="shared" si="87"/>
        <v>50406</v>
      </c>
      <c r="AY125" s="227">
        <f t="shared" si="87"/>
        <v>50496</v>
      </c>
      <c r="AZ125" s="227">
        <f t="shared" si="87"/>
        <v>50587</v>
      </c>
      <c r="BA125" s="227">
        <f t="shared" si="87"/>
        <v>50679</v>
      </c>
      <c r="BB125" s="227">
        <f t="shared" ref="BB125:BK126" si="88">BH29</f>
        <v>50771</v>
      </c>
      <c r="BC125" s="227">
        <f t="shared" si="88"/>
        <v>50861</v>
      </c>
      <c r="BD125" s="227">
        <f t="shared" si="88"/>
        <v>50952</v>
      </c>
      <c r="BE125" s="227">
        <f t="shared" si="88"/>
        <v>51044</v>
      </c>
      <c r="BF125" s="227">
        <f t="shared" si="88"/>
        <v>51136</v>
      </c>
      <c r="BG125" s="227">
        <f t="shared" si="88"/>
        <v>51227</v>
      </c>
      <c r="BH125" s="227">
        <f t="shared" si="88"/>
        <v>51318</v>
      </c>
      <c r="BI125" s="227">
        <f t="shared" si="88"/>
        <v>51410</v>
      </c>
      <c r="BJ125" s="227">
        <f t="shared" si="88"/>
        <v>51502</v>
      </c>
      <c r="BK125" s="227">
        <f t="shared" si="88"/>
        <v>51592</v>
      </c>
      <c r="BL125" s="227">
        <f t="shared" ref="BL125:BL126" si="89">BR29</f>
        <v>51683</v>
      </c>
    </row>
    <row r="126" spans="2:64">
      <c r="B126" s="479"/>
      <c r="C126" s="479"/>
      <c r="D126" s="227">
        <f t="shared" si="83"/>
        <v>46295</v>
      </c>
      <c r="E126" s="227">
        <f t="shared" si="83"/>
        <v>46387</v>
      </c>
      <c r="F126" s="227">
        <f t="shared" si="83"/>
        <v>46477</v>
      </c>
      <c r="G126" s="227">
        <f t="shared" si="83"/>
        <v>46568</v>
      </c>
      <c r="H126" s="227">
        <f t="shared" si="83"/>
        <v>46660</v>
      </c>
      <c r="I126" s="227">
        <f t="shared" si="83"/>
        <v>46752</v>
      </c>
      <c r="J126" s="227">
        <f t="shared" si="83"/>
        <v>46843</v>
      </c>
      <c r="K126" s="227">
        <f t="shared" si="83"/>
        <v>46934</v>
      </c>
      <c r="L126" s="227">
        <f t="shared" si="83"/>
        <v>47026</v>
      </c>
      <c r="M126" s="227">
        <f t="shared" si="83"/>
        <v>47118</v>
      </c>
      <c r="N126" s="227">
        <f t="shared" si="84"/>
        <v>47208</v>
      </c>
      <c r="O126" s="227">
        <f t="shared" si="84"/>
        <v>47299</v>
      </c>
      <c r="P126" s="227">
        <f t="shared" si="84"/>
        <v>47391</v>
      </c>
      <c r="Q126" s="227">
        <f t="shared" si="84"/>
        <v>47483</v>
      </c>
      <c r="R126" s="227">
        <f t="shared" si="84"/>
        <v>47573</v>
      </c>
      <c r="S126" s="227">
        <f t="shared" si="84"/>
        <v>47664</v>
      </c>
      <c r="T126" s="227">
        <f t="shared" si="84"/>
        <v>47756</v>
      </c>
      <c r="U126" s="227">
        <f t="shared" si="84"/>
        <v>47848</v>
      </c>
      <c r="V126" s="227">
        <f t="shared" si="84"/>
        <v>47938</v>
      </c>
      <c r="W126" s="227">
        <f t="shared" si="84"/>
        <v>48029</v>
      </c>
      <c r="X126" s="227">
        <f t="shared" si="85"/>
        <v>48121</v>
      </c>
      <c r="Y126" s="227">
        <f t="shared" si="85"/>
        <v>48213</v>
      </c>
      <c r="Z126" s="227">
        <f t="shared" si="85"/>
        <v>48304</v>
      </c>
      <c r="AA126" s="227">
        <f t="shared" si="85"/>
        <v>48395</v>
      </c>
      <c r="AB126" s="227">
        <f t="shared" si="85"/>
        <v>48487</v>
      </c>
      <c r="AC126" s="227">
        <f t="shared" si="85"/>
        <v>48579</v>
      </c>
      <c r="AD126" s="227">
        <f t="shared" si="85"/>
        <v>48669</v>
      </c>
      <c r="AE126" s="227">
        <f t="shared" si="85"/>
        <v>48760</v>
      </c>
      <c r="AF126" s="227">
        <f t="shared" si="85"/>
        <v>48852</v>
      </c>
      <c r="AG126" s="227">
        <f t="shared" si="85"/>
        <v>48944</v>
      </c>
      <c r="AH126" s="227">
        <f t="shared" si="86"/>
        <v>49034</v>
      </c>
      <c r="AI126" s="227">
        <f t="shared" si="86"/>
        <v>49125</v>
      </c>
      <c r="AJ126" s="227">
        <f t="shared" si="86"/>
        <v>49217</v>
      </c>
      <c r="AK126" s="227">
        <f t="shared" si="86"/>
        <v>49309</v>
      </c>
      <c r="AL126" s="227">
        <f t="shared" si="86"/>
        <v>49399</v>
      </c>
      <c r="AM126" s="227">
        <f t="shared" si="86"/>
        <v>49490</v>
      </c>
      <c r="AN126" s="227">
        <f t="shared" si="86"/>
        <v>49582</v>
      </c>
      <c r="AO126" s="227">
        <f t="shared" si="86"/>
        <v>49674</v>
      </c>
      <c r="AP126" s="227">
        <f t="shared" si="86"/>
        <v>49765</v>
      </c>
      <c r="AQ126" s="227">
        <f t="shared" si="86"/>
        <v>49856</v>
      </c>
      <c r="AR126" s="227">
        <f t="shared" si="87"/>
        <v>49948</v>
      </c>
      <c r="AS126" s="227">
        <f t="shared" si="87"/>
        <v>50040</v>
      </c>
      <c r="AT126" s="227">
        <f t="shared" si="87"/>
        <v>50130</v>
      </c>
      <c r="AU126" s="227">
        <f t="shared" si="87"/>
        <v>50221</v>
      </c>
      <c r="AV126" s="227">
        <f t="shared" si="87"/>
        <v>50313</v>
      </c>
      <c r="AW126" s="227">
        <f t="shared" si="87"/>
        <v>50405</v>
      </c>
      <c r="AX126" s="227">
        <f t="shared" si="87"/>
        <v>50495</v>
      </c>
      <c r="AY126" s="227">
        <f t="shared" si="87"/>
        <v>50586</v>
      </c>
      <c r="AZ126" s="227">
        <f t="shared" si="87"/>
        <v>50678</v>
      </c>
      <c r="BA126" s="227">
        <f t="shared" si="87"/>
        <v>50770</v>
      </c>
      <c r="BB126" s="227">
        <f t="shared" si="88"/>
        <v>50860</v>
      </c>
      <c r="BC126" s="227">
        <f t="shared" si="88"/>
        <v>50951</v>
      </c>
      <c r="BD126" s="227">
        <f t="shared" si="88"/>
        <v>51043</v>
      </c>
      <c r="BE126" s="227">
        <f t="shared" si="88"/>
        <v>51135</v>
      </c>
      <c r="BF126" s="227">
        <f t="shared" si="88"/>
        <v>51226</v>
      </c>
      <c r="BG126" s="227">
        <f t="shared" si="88"/>
        <v>51317</v>
      </c>
      <c r="BH126" s="227">
        <f t="shared" si="88"/>
        <v>51409</v>
      </c>
      <c r="BI126" s="227">
        <f t="shared" si="88"/>
        <v>51501</v>
      </c>
      <c r="BJ126" s="227">
        <f t="shared" si="88"/>
        <v>51591</v>
      </c>
      <c r="BK126" s="227">
        <f t="shared" si="88"/>
        <v>51682</v>
      </c>
      <c r="BL126" s="227">
        <f t="shared" si="89"/>
        <v>51774</v>
      </c>
    </row>
    <row r="127" spans="2:64">
      <c r="B127" s="74" t="str">
        <f>B102</f>
        <v>Продукт 1</v>
      </c>
      <c r="C127" s="76" t="str">
        <f t="shared" ref="C127:C146" si="90">IF(ISBLANK(C77),"",C77)</f>
        <v/>
      </c>
      <c r="D127" s="288"/>
      <c r="E127" s="288"/>
      <c r="F127" s="288"/>
      <c r="G127" s="288"/>
      <c r="H127" s="291"/>
      <c r="I127" s="291"/>
      <c r="J127" s="291"/>
      <c r="K127" s="291"/>
      <c r="L127" s="291"/>
      <c r="M127" s="291"/>
      <c r="N127" s="291"/>
      <c r="O127" s="291"/>
      <c r="P127" s="291"/>
      <c r="Q127" s="291"/>
      <c r="R127" s="291"/>
      <c r="S127" s="288"/>
      <c r="T127" s="288"/>
      <c r="U127" s="288"/>
      <c r="V127" s="288"/>
      <c r="W127" s="288"/>
      <c r="X127" s="288"/>
      <c r="Y127" s="288"/>
      <c r="Z127" s="288"/>
      <c r="AA127" s="288"/>
      <c r="AB127" s="288"/>
      <c r="AC127" s="288"/>
      <c r="AD127" s="288"/>
      <c r="AE127" s="288"/>
      <c r="AF127" s="288"/>
      <c r="AG127" s="288"/>
      <c r="AH127" s="288"/>
      <c r="AI127" s="288"/>
      <c r="AJ127" s="288"/>
      <c r="AK127" s="288"/>
      <c r="AL127" s="288"/>
      <c r="AM127" s="288"/>
      <c r="AN127" s="288"/>
      <c r="AO127" s="288"/>
      <c r="AP127" s="288"/>
      <c r="AQ127" s="288"/>
      <c r="AR127" s="288"/>
      <c r="AS127" s="288"/>
      <c r="AT127" s="288"/>
      <c r="AU127" s="288"/>
      <c r="AV127" s="288"/>
      <c r="AW127" s="288"/>
      <c r="AX127" s="288"/>
      <c r="AY127" s="288"/>
      <c r="AZ127" s="288"/>
      <c r="BA127" s="288"/>
      <c r="BB127" s="288"/>
      <c r="BC127" s="288"/>
      <c r="BD127" s="288"/>
      <c r="BE127" s="288"/>
      <c r="BF127" s="288"/>
      <c r="BG127" s="288"/>
      <c r="BH127" s="288"/>
      <c r="BI127" s="288"/>
      <c r="BJ127" s="288"/>
      <c r="BK127" s="288"/>
      <c r="BL127" s="288"/>
    </row>
    <row r="128" spans="2:64">
      <c r="B128" s="74" t="str">
        <f t="shared" ref="B128:B146" si="91">B103</f>
        <v>Продукт 2</v>
      </c>
      <c r="C128" s="76" t="str">
        <f t="shared" si="90"/>
        <v/>
      </c>
      <c r="D128" s="288"/>
      <c r="E128" s="288"/>
      <c r="F128" s="288"/>
      <c r="G128" s="288"/>
      <c r="H128" s="291"/>
      <c r="I128" s="291"/>
      <c r="J128" s="291"/>
      <c r="K128" s="291"/>
      <c r="L128" s="291"/>
      <c r="M128" s="291"/>
      <c r="N128" s="291"/>
      <c r="O128" s="291"/>
      <c r="P128" s="291"/>
      <c r="Q128" s="291"/>
      <c r="R128" s="291"/>
      <c r="S128" s="288"/>
      <c r="T128" s="288"/>
      <c r="U128" s="288"/>
      <c r="V128" s="288"/>
      <c r="W128" s="288"/>
      <c r="X128" s="288"/>
      <c r="Y128" s="288"/>
      <c r="Z128" s="288"/>
      <c r="AA128" s="288"/>
      <c r="AB128" s="288"/>
      <c r="AC128" s="288"/>
      <c r="AD128" s="288"/>
      <c r="AE128" s="288"/>
      <c r="AF128" s="288"/>
      <c r="AG128" s="288"/>
      <c r="AH128" s="288"/>
      <c r="AI128" s="288"/>
      <c r="AJ128" s="288"/>
      <c r="AK128" s="288"/>
      <c r="AL128" s="288"/>
      <c r="AM128" s="288"/>
      <c r="AN128" s="288"/>
      <c r="AO128" s="288"/>
      <c r="AP128" s="288"/>
      <c r="AQ128" s="288"/>
      <c r="AR128" s="288"/>
      <c r="AS128" s="288"/>
      <c r="AT128" s="288"/>
      <c r="AU128" s="288"/>
      <c r="AV128" s="288"/>
      <c r="AW128" s="288"/>
      <c r="AX128" s="288"/>
      <c r="AY128" s="288"/>
      <c r="AZ128" s="288"/>
      <c r="BA128" s="288"/>
      <c r="BB128" s="288"/>
      <c r="BC128" s="288"/>
      <c r="BD128" s="288"/>
      <c r="BE128" s="288"/>
      <c r="BF128" s="288"/>
      <c r="BG128" s="288"/>
      <c r="BH128" s="288"/>
      <c r="BI128" s="288"/>
      <c r="BJ128" s="288"/>
      <c r="BK128" s="288"/>
      <c r="BL128" s="288"/>
    </row>
    <row r="129" spans="2:64">
      <c r="B129" s="74" t="str">
        <f t="shared" si="91"/>
        <v>Продукт 3</v>
      </c>
      <c r="C129" s="76" t="str">
        <f t="shared" si="90"/>
        <v/>
      </c>
      <c r="D129" s="288"/>
      <c r="E129" s="288"/>
      <c r="F129" s="288"/>
      <c r="G129" s="288"/>
      <c r="H129" s="288"/>
      <c r="I129" s="288"/>
      <c r="J129" s="288"/>
      <c r="K129" s="288"/>
      <c r="L129" s="288"/>
      <c r="M129" s="288"/>
      <c r="N129" s="288"/>
      <c r="O129" s="288"/>
      <c r="P129" s="288"/>
      <c r="Q129" s="288"/>
      <c r="R129" s="288"/>
      <c r="S129" s="288"/>
      <c r="T129" s="288"/>
      <c r="U129" s="288"/>
      <c r="V129" s="288"/>
      <c r="W129" s="288"/>
      <c r="X129" s="288"/>
      <c r="Y129" s="288"/>
      <c r="Z129" s="288"/>
      <c r="AA129" s="288"/>
      <c r="AB129" s="288"/>
      <c r="AC129" s="288"/>
      <c r="AD129" s="288"/>
      <c r="AE129" s="288"/>
      <c r="AF129" s="288"/>
      <c r="AG129" s="288"/>
      <c r="AH129" s="288"/>
      <c r="AI129" s="288"/>
      <c r="AJ129" s="288"/>
      <c r="AK129" s="288"/>
      <c r="AL129" s="288"/>
      <c r="AM129" s="288"/>
      <c r="AN129" s="288"/>
      <c r="AO129" s="288"/>
      <c r="AP129" s="288"/>
      <c r="AQ129" s="288"/>
      <c r="AR129" s="288"/>
      <c r="AS129" s="288"/>
      <c r="AT129" s="288"/>
      <c r="AU129" s="288"/>
      <c r="AV129" s="288"/>
      <c r="AW129" s="288"/>
      <c r="AX129" s="288"/>
      <c r="AY129" s="288"/>
      <c r="AZ129" s="288"/>
      <c r="BA129" s="288"/>
      <c r="BB129" s="288"/>
      <c r="BC129" s="288"/>
      <c r="BD129" s="288"/>
      <c r="BE129" s="288"/>
      <c r="BF129" s="288"/>
      <c r="BG129" s="288"/>
      <c r="BH129" s="288"/>
      <c r="BI129" s="288"/>
      <c r="BJ129" s="288"/>
      <c r="BK129" s="288"/>
      <c r="BL129" s="288"/>
    </row>
    <row r="130" spans="2:64">
      <c r="B130" s="74" t="str">
        <f t="shared" si="91"/>
        <v>Продукт 4</v>
      </c>
      <c r="C130" s="76" t="str">
        <f t="shared" si="90"/>
        <v/>
      </c>
      <c r="D130" s="288"/>
      <c r="E130" s="288"/>
      <c r="F130" s="288"/>
      <c r="G130" s="288"/>
      <c r="H130" s="288"/>
      <c r="I130" s="288"/>
      <c r="J130" s="288"/>
      <c r="K130" s="288"/>
      <c r="L130" s="288"/>
      <c r="M130" s="288"/>
      <c r="N130" s="288"/>
      <c r="O130" s="288"/>
      <c r="P130" s="288"/>
      <c r="Q130" s="288"/>
      <c r="R130" s="288"/>
      <c r="S130" s="288"/>
      <c r="T130" s="288"/>
      <c r="U130" s="288"/>
      <c r="V130" s="288"/>
      <c r="W130" s="288"/>
      <c r="X130" s="288"/>
      <c r="Y130" s="288"/>
      <c r="Z130" s="288"/>
      <c r="AA130" s="288"/>
      <c r="AB130" s="288"/>
      <c r="AC130" s="288"/>
      <c r="AD130" s="288"/>
      <c r="AE130" s="288"/>
      <c r="AF130" s="288"/>
      <c r="AG130" s="288"/>
      <c r="AH130" s="288"/>
      <c r="AI130" s="288"/>
      <c r="AJ130" s="288"/>
      <c r="AK130" s="288"/>
      <c r="AL130" s="288"/>
      <c r="AM130" s="288"/>
      <c r="AN130" s="288"/>
      <c r="AO130" s="288"/>
      <c r="AP130" s="288"/>
      <c r="AQ130" s="288"/>
      <c r="AR130" s="288"/>
      <c r="AS130" s="288"/>
      <c r="AT130" s="288"/>
      <c r="AU130" s="288"/>
      <c r="AV130" s="288"/>
      <c r="AW130" s="288"/>
      <c r="AX130" s="288"/>
      <c r="AY130" s="288"/>
      <c r="AZ130" s="288"/>
      <c r="BA130" s="288"/>
      <c r="BB130" s="288"/>
      <c r="BC130" s="288"/>
      <c r="BD130" s="288"/>
      <c r="BE130" s="288"/>
      <c r="BF130" s="288"/>
      <c r="BG130" s="288"/>
      <c r="BH130" s="288"/>
      <c r="BI130" s="288"/>
      <c r="BJ130" s="288"/>
      <c r="BK130" s="288"/>
      <c r="BL130" s="288"/>
    </row>
    <row r="131" spans="2:64">
      <c r="B131" s="74" t="str">
        <f t="shared" si="91"/>
        <v>Продукт 5</v>
      </c>
      <c r="C131" s="76" t="str">
        <f t="shared" si="90"/>
        <v/>
      </c>
      <c r="D131" s="288"/>
      <c r="E131" s="288"/>
      <c r="F131" s="288"/>
      <c r="G131" s="288"/>
      <c r="H131" s="288"/>
      <c r="I131" s="288"/>
      <c r="J131" s="288"/>
      <c r="K131" s="288"/>
      <c r="L131" s="288"/>
      <c r="M131" s="288"/>
      <c r="N131" s="288"/>
      <c r="O131" s="288"/>
      <c r="P131" s="288"/>
      <c r="Q131" s="288"/>
      <c r="R131" s="288"/>
      <c r="S131" s="288"/>
      <c r="T131" s="288"/>
      <c r="U131" s="288"/>
      <c r="V131" s="288"/>
      <c r="W131" s="288"/>
      <c r="X131" s="288"/>
      <c r="Y131" s="288"/>
      <c r="Z131" s="288"/>
      <c r="AA131" s="288"/>
      <c r="AB131" s="288"/>
      <c r="AC131" s="288"/>
      <c r="AD131" s="288"/>
      <c r="AE131" s="288"/>
      <c r="AF131" s="288"/>
      <c r="AG131" s="288"/>
      <c r="AH131" s="288"/>
      <c r="AI131" s="288"/>
      <c r="AJ131" s="288"/>
      <c r="AK131" s="288"/>
      <c r="AL131" s="288"/>
      <c r="AM131" s="288"/>
      <c r="AN131" s="288"/>
      <c r="AO131" s="288"/>
      <c r="AP131" s="288"/>
      <c r="AQ131" s="288"/>
      <c r="AR131" s="288"/>
      <c r="AS131" s="288"/>
      <c r="AT131" s="288"/>
      <c r="AU131" s="288"/>
      <c r="AV131" s="288"/>
      <c r="AW131" s="288"/>
      <c r="AX131" s="288"/>
      <c r="AY131" s="288"/>
      <c r="AZ131" s="288"/>
      <c r="BA131" s="288"/>
      <c r="BB131" s="288"/>
      <c r="BC131" s="288"/>
      <c r="BD131" s="288"/>
      <c r="BE131" s="288"/>
      <c r="BF131" s="288"/>
      <c r="BG131" s="288"/>
      <c r="BH131" s="288"/>
      <c r="BI131" s="288"/>
      <c r="BJ131" s="288"/>
      <c r="BK131" s="288"/>
      <c r="BL131" s="288"/>
    </row>
    <row r="132" spans="2:64">
      <c r="B132" s="74" t="str">
        <f t="shared" si="91"/>
        <v>Продукт 6</v>
      </c>
      <c r="C132" s="76" t="str">
        <f t="shared" si="90"/>
        <v/>
      </c>
      <c r="D132" s="291"/>
      <c r="E132" s="291"/>
      <c r="F132" s="291"/>
      <c r="G132" s="291"/>
      <c r="H132" s="291"/>
      <c r="I132" s="291"/>
      <c r="J132" s="291"/>
      <c r="K132" s="291"/>
      <c r="L132" s="291"/>
      <c r="M132" s="291"/>
      <c r="N132" s="291"/>
      <c r="O132" s="291"/>
      <c r="P132" s="291"/>
      <c r="Q132" s="291"/>
      <c r="R132" s="291"/>
      <c r="S132" s="291"/>
      <c r="T132" s="291"/>
      <c r="U132" s="291"/>
      <c r="V132" s="291"/>
      <c r="W132" s="291"/>
      <c r="X132" s="291"/>
      <c r="Y132" s="291"/>
      <c r="Z132" s="291"/>
      <c r="AA132" s="291"/>
      <c r="AB132" s="291"/>
      <c r="AC132" s="291"/>
      <c r="AD132" s="291"/>
      <c r="AE132" s="291"/>
      <c r="AF132" s="291"/>
      <c r="AG132" s="291"/>
      <c r="AH132" s="291"/>
      <c r="AI132" s="291"/>
      <c r="AJ132" s="291"/>
      <c r="AK132" s="291"/>
      <c r="AL132" s="291"/>
      <c r="AM132" s="288"/>
      <c r="AN132" s="288"/>
      <c r="AO132" s="288"/>
      <c r="AP132" s="288"/>
      <c r="AQ132" s="288"/>
      <c r="AR132" s="288"/>
      <c r="AS132" s="288"/>
      <c r="AT132" s="288"/>
      <c r="AU132" s="288"/>
      <c r="AV132" s="288"/>
      <c r="AW132" s="288"/>
      <c r="AX132" s="288"/>
      <c r="AY132" s="288"/>
      <c r="AZ132" s="288"/>
      <c r="BA132" s="288"/>
      <c r="BB132" s="288"/>
      <c r="BC132" s="288"/>
      <c r="BD132" s="288"/>
      <c r="BE132" s="288"/>
      <c r="BF132" s="288"/>
      <c r="BG132" s="288"/>
      <c r="BH132" s="288"/>
      <c r="BI132" s="288"/>
      <c r="BJ132" s="288"/>
      <c r="BK132" s="288"/>
      <c r="BL132" s="288"/>
    </row>
    <row r="133" spans="2:64">
      <c r="B133" s="74" t="str">
        <f t="shared" si="91"/>
        <v>Продукт 7</v>
      </c>
      <c r="C133" s="76" t="str">
        <f t="shared" si="90"/>
        <v/>
      </c>
      <c r="D133" s="291"/>
      <c r="E133" s="291"/>
      <c r="F133" s="291"/>
      <c r="G133" s="291"/>
      <c r="H133" s="291"/>
      <c r="I133" s="291"/>
      <c r="J133" s="291"/>
      <c r="K133" s="291"/>
      <c r="L133" s="291"/>
      <c r="M133" s="291"/>
      <c r="N133" s="291"/>
      <c r="O133" s="291"/>
      <c r="P133" s="291"/>
      <c r="Q133" s="291"/>
      <c r="R133" s="291"/>
      <c r="S133" s="291"/>
      <c r="T133" s="291"/>
      <c r="U133" s="291"/>
      <c r="V133" s="291"/>
      <c r="W133" s="291"/>
      <c r="X133" s="291"/>
      <c r="Y133" s="291"/>
      <c r="Z133" s="291"/>
      <c r="AA133" s="291"/>
      <c r="AB133" s="291"/>
      <c r="AC133" s="291"/>
      <c r="AD133" s="291"/>
      <c r="AE133" s="291"/>
      <c r="AF133" s="291"/>
      <c r="AG133" s="291"/>
      <c r="AH133" s="291"/>
      <c r="AI133" s="291"/>
      <c r="AJ133" s="291"/>
      <c r="AK133" s="291"/>
      <c r="AL133" s="291"/>
      <c r="AM133" s="288"/>
      <c r="AN133" s="288"/>
      <c r="AO133" s="288"/>
      <c r="AP133" s="288"/>
      <c r="AQ133" s="288"/>
      <c r="AR133" s="288"/>
      <c r="AS133" s="288"/>
      <c r="AT133" s="288"/>
      <c r="AU133" s="288"/>
      <c r="AV133" s="288"/>
      <c r="AW133" s="288"/>
      <c r="AX133" s="288"/>
      <c r="AY133" s="288"/>
      <c r="AZ133" s="288"/>
      <c r="BA133" s="288"/>
      <c r="BB133" s="288"/>
      <c r="BC133" s="288"/>
      <c r="BD133" s="288"/>
      <c r="BE133" s="288"/>
      <c r="BF133" s="288"/>
      <c r="BG133" s="288"/>
      <c r="BH133" s="288"/>
      <c r="BI133" s="288"/>
      <c r="BJ133" s="288"/>
      <c r="BK133" s="288"/>
      <c r="BL133" s="288"/>
    </row>
    <row r="134" spans="2:64">
      <c r="B134" s="74" t="str">
        <f t="shared" si="91"/>
        <v>Продукт 8</v>
      </c>
      <c r="C134" s="76" t="str">
        <f t="shared" si="90"/>
        <v/>
      </c>
      <c r="D134" s="291"/>
      <c r="E134" s="291"/>
      <c r="F134" s="291"/>
      <c r="G134" s="291"/>
      <c r="H134" s="291"/>
      <c r="I134" s="291"/>
      <c r="J134" s="291"/>
      <c r="K134" s="291"/>
      <c r="L134" s="291"/>
      <c r="M134" s="291"/>
      <c r="N134" s="291"/>
      <c r="O134" s="291"/>
      <c r="P134" s="291"/>
      <c r="Q134" s="291"/>
      <c r="R134" s="291"/>
      <c r="S134" s="291"/>
      <c r="T134" s="291"/>
      <c r="U134" s="291"/>
      <c r="V134" s="291"/>
      <c r="W134" s="291"/>
      <c r="X134" s="291"/>
      <c r="Y134" s="291"/>
      <c r="Z134" s="291"/>
      <c r="AA134" s="291"/>
      <c r="AB134" s="291"/>
      <c r="AC134" s="291"/>
      <c r="AD134" s="291"/>
      <c r="AE134" s="291"/>
      <c r="AF134" s="291"/>
      <c r="AG134" s="291"/>
      <c r="AH134" s="291"/>
      <c r="AI134" s="291"/>
      <c r="AJ134" s="291"/>
      <c r="AK134" s="291"/>
      <c r="AL134" s="291"/>
      <c r="AM134" s="288"/>
      <c r="AN134" s="288"/>
      <c r="AO134" s="288"/>
      <c r="AP134" s="288"/>
      <c r="AQ134" s="288"/>
      <c r="AR134" s="288"/>
      <c r="AS134" s="288"/>
      <c r="AT134" s="288"/>
      <c r="AU134" s="288"/>
      <c r="AV134" s="288"/>
      <c r="AW134" s="288"/>
      <c r="AX134" s="288"/>
      <c r="AY134" s="288"/>
      <c r="AZ134" s="288"/>
      <c r="BA134" s="288"/>
      <c r="BB134" s="288"/>
      <c r="BC134" s="288"/>
      <c r="BD134" s="288"/>
      <c r="BE134" s="288"/>
      <c r="BF134" s="288"/>
      <c r="BG134" s="288"/>
      <c r="BH134" s="288"/>
      <c r="BI134" s="288"/>
      <c r="BJ134" s="288"/>
      <c r="BK134" s="288"/>
      <c r="BL134" s="288"/>
    </row>
    <row r="135" spans="2:64">
      <c r="B135" s="74" t="str">
        <f t="shared" si="91"/>
        <v>Продукт 9</v>
      </c>
      <c r="C135" s="76" t="str">
        <f t="shared" si="90"/>
        <v/>
      </c>
      <c r="D135" s="291"/>
      <c r="E135" s="291"/>
      <c r="F135" s="291"/>
      <c r="G135" s="291"/>
      <c r="H135" s="291"/>
      <c r="I135" s="291"/>
      <c r="J135" s="291"/>
      <c r="K135" s="291"/>
      <c r="L135" s="291"/>
      <c r="M135" s="291"/>
      <c r="N135" s="291"/>
      <c r="O135" s="291"/>
      <c r="P135" s="291"/>
      <c r="Q135" s="291"/>
      <c r="R135" s="291"/>
      <c r="S135" s="291"/>
      <c r="T135" s="291"/>
      <c r="U135" s="291"/>
      <c r="V135" s="291"/>
      <c r="W135" s="291"/>
      <c r="X135" s="291"/>
      <c r="Y135" s="291"/>
      <c r="Z135" s="291"/>
      <c r="AA135" s="291"/>
      <c r="AB135" s="291"/>
      <c r="AC135" s="291"/>
      <c r="AD135" s="291"/>
      <c r="AE135" s="291"/>
      <c r="AF135" s="291"/>
      <c r="AG135" s="291"/>
      <c r="AH135" s="291"/>
      <c r="AI135" s="291"/>
      <c r="AJ135" s="291"/>
      <c r="AK135" s="291"/>
      <c r="AL135" s="291"/>
      <c r="AM135" s="288"/>
      <c r="AN135" s="288"/>
      <c r="AO135" s="288"/>
      <c r="AP135" s="288"/>
      <c r="AQ135" s="288"/>
      <c r="AR135" s="288"/>
      <c r="AS135" s="288"/>
      <c r="AT135" s="288"/>
      <c r="AU135" s="288"/>
      <c r="AV135" s="288"/>
      <c r="AW135" s="288"/>
      <c r="AX135" s="288"/>
      <c r="AY135" s="288"/>
      <c r="AZ135" s="288"/>
      <c r="BA135" s="288"/>
      <c r="BB135" s="288"/>
      <c r="BC135" s="288"/>
      <c r="BD135" s="288"/>
      <c r="BE135" s="288"/>
      <c r="BF135" s="288"/>
      <c r="BG135" s="288"/>
      <c r="BH135" s="288"/>
      <c r="BI135" s="288"/>
      <c r="BJ135" s="288"/>
      <c r="BK135" s="288"/>
      <c r="BL135" s="288"/>
    </row>
    <row r="136" spans="2:64">
      <c r="B136" s="74" t="str">
        <f t="shared" si="91"/>
        <v>Продукт 10</v>
      </c>
      <c r="C136" s="76" t="str">
        <f t="shared" si="90"/>
        <v/>
      </c>
      <c r="D136" s="291"/>
      <c r="E136" s="291"/>
      <c r="F136" s="291"/>
      <c r="G136" s="291"/>
      <c r="H136" s="291"/>
      <c r="I136" s="291"/>
      <c r="J136" s="291"/>
      <c r="K136" s="291"/>
      <c r="L136" s="291"/>
      <c r="M136" s="291"/>
      <c r="N136" s="291"/>
      <c r="O136" s="291"/>
      <c r="P136" s="291"/>
      <c r="Q136" s="291"/>
      <c r="R136" s="291"/>
      <c r="S136" s="291"/>
      <c r="T136" s="291"/>
      <c r="U136" s="291"/>
      <c r="V136" s="291"/>
      <c r="W136" s="291"/>
      <c r="X136" s="291"/>
      <c r="Y136" s="291"/>
      <c r="Z136" s="291"/>
      <c r="AA136" s="291"/>
      <c r="AB136" s="291"/>
      <c r="AC136" s="291"/>
      <c r="AD136" s="291"/>
      <c r="AE136" s="291"/>
      <c r="AF136" s="291"/>
      <c r="AG136" s="291"/>
      <c r="AH136" s="291"/>
      <c r="AI136" s="291"/>
      <c r="AJ136" s="291"/>
      <c r="AK136" s="291"/>
      <c r="AL136" s="291"/>
      <c r="AM136" s="288"/>
      <c r="AN136" s="288"/>
      <c r="AO136" s="288"/>
      <c r="AP136" s="288"/>
      <c r="AQ136" s="288"/>
      <c r="AR136" s="288"/>
      <c r="AS136" s="288"/>
      <c r="AT136" s="288"/>
      <c r="AU136" s="288"/>
      <c r="AV136" s="288"/>
      <c r="AW136" s="288"/>
      <c r="AX136" s="288"/>
      <c r="AY136" s="288"/>
      <c r="AZ136" s="288"/>
      <c r="BA136" s="288"/>
      <c r="BB136" s="288"/>
      <c r="BC136" s="288"/>
      <c r="BD136" s="288"/>
      <c r="BE136" s="288"/>
      <c r="BF136" s="288"/>
      <c r="BG136" s="288"/>
      <c r="BH136" s="288"/>
      <c r="BI136" s="288"/>
      <c r="BJ136" s="288"/>
      <c r="BK136" s="288"/>
      <c r="BL136" s="288"/>
    </row>
    <row r="137" spans="2:64">
      <c r="B137" s="74" t="str">
        <f t="shared" si="91"/>
        <v>Продукт 11</v>
      </c>
      <c r="C137" s="76" t="str">
        <f t="shared" si="90"/>
        <v/>
      </c>
      <c r="D137" s="291"/>
      <c r="E137" s="291"/>
      <c r="F137" s="291"/>
      <c r="G137" s="291"/>
      <c r="H137" s="291"/>
      <c r="I137" s="291"/>
      <c r="J137" s="291"/>
      <c r="K137" s="291"/>
      <c r="L137" s="291"/>
      <c r="M137" s="291"/>
      <c r="N137" s="291"/>
      <c r="O137" s="291"/>
      <c r="P137" s="291"/>
      <c r="Q137" s="291"/>
      <c r="R137" s="291"/>
      <c r="S137" s="291"/>
      <c r="T137" s="291"/>
      <c r="U137" s="291"/>
      <c r="V137" s="291"/>
      <c r="W137" s="291"/>
      <c r="X137" s="291"/>
      <c r="Y137" s="291"/>
      <c r="Z137" s="291"/>
      <c r="AA137" s="291"/>
      <c r="AB137" s="291"/>
      <c r="AC137" s="291"/>
      <c r="AD137" s="291"/>
      <c r="AE137" s="291"/>
      <c r="AF137" s="291"/>
      <c r="AG137" s="291"/>
      <c r="AH137" s="291"/>
      <c r="AI137" s="291"/>
      <c r="AJ137" s="291"/>
      <c r="AK137" s="291"/>
      <c r="AL137" s="291"/>
      <c r="AM137" s="288"/>
      <c r="AN137" s="288"/>
      <c r="AO137" s="288"/>
      <c r="AP137" s="288"/>
      <c r="AQ137" s="288"/>
      <c r="AR137" s="288"/>
      <c r="AS137" s="288"/>
      <c r="AT137" s="288"/>
      <c r="AU137" s="288"/>
      <c r="AV137" s="288"/>
      <c r="AW137" s="288"/>
      <c r="AX137" s="288"/>
      <c r="AY137" s="288"/>
      <c r="AZ137" s="288"/>
      <c r="BA137" s="288"/>
      <c r="BB137" s="288"/>
      <c r="BC137" s="288"/>
      <c r="BD137" s="288"/>
      <c r="BE137" s="288"/>
      <c r="BF137" s="288"/>
      <c r="BG137" s="288"/>
      <c r="BH137" s="288"/>
      <c r="BI137" s="288"/>
      <c r="BJ137" s="288"/>
      <c r="BK137" s="288"/>
      <c r="BL137" s="288"/>
    </row>
    <row r="138" spans="2:64">
      <c r="B138" s="74" t="str">
        <f t="shared" si="91"/>
        <v>Продукт 12</v>
      </c>
      <c r="C138" s="76" t="str">
        <f t="shared" si="90"/>
        <v/>
      </c>
      <c r="D138" s="291"/>
      <c r="E138" s="291"/>
      <c r="F138" s="291"/>
      <c r="G138" s="291"/>
      <c r="H138" s="291"/>
      <c r="I138" s="291"/>
      <c r="J138" s="291"/>
      <c r="K138" s="291"/>
      <c r="L138" s="291"/>
      <c r="M138" s="291"/>
      <c r="N138" s="291"/>
      <c r="O138" s="291"/>
      <c r="P138" s="291"/>
      <c r="Q138" s="291"/>
      <c r="R138" s="291"/>
      <c r="S138" s="291"/>
      <c r="T138" s="291"/>
      <c r="U138" s="291"/>
      <c r="V138" s="291"/>
      <c r="W138" s="291"/>
      <c r="X138" s="291"/>
      <c r="Y138" s="291"/>
      <c r="Z138" s="291"/>
      <c r="AA138" s="291"/>
      <c r="AB138" s="291"/>
      <c r="AC138" s="291"/>
      <c r="AD138" s="291"/>
      <c r="AE138" s="291"/>
      <c r="AF138" s="291"/>
      <c r="AG138" s="291"/>
      <c r="AH138" s="291"/>
      <c r="AI138" s="291"/>
      <c r="AJ138" s="291"/>
      <c r="AK138" s="291"/>
      <c r="AL138" s="291"/>
      <c r="AM138" s="288"/>
      <c r="AN138" s="288"/>
      <c r="AO138" s="288"/>
      <c r="AP138" s="288"/>
      <c r="AQ138" s="288"/>
      <c r="AR138" s="288"/>
      <c r="AS138" s="288"/>
      <c r="AT138" s="288"/>
      <c r="AU138" s="288"/>
      <c r="AV138" s="288"/>
      <c r="AW138" s="288"/>
      <c r="AX138" s="288"/>
      <c r="AY138" s="288"/>
      <c r="AZ138" s="288"/>
      <c r="BA138" s="288"/>
      <c r="BB138" s="288"/>
      <c r="BC138" s="288"/>
      <c r="BD138" s="288"/>
      <c r="BE138" s="288"/>
      <c r="BF138" s="288"/>
      <c r="BG138" s="288"/>
      <c r="BH138" s="288"/>
      <c r="BI138" s="288"/>
      <c r="BJ138" s="288"/>
      <c r="BK138" s="288"/>
      <c r="BL138" s="288"/>
    </row>
    <row r="139" spans="2:64">
      <c r="B139" s="74" t="str">
        <f t="shared" si="91"/>
        <v>Продукт 13</v>
      </c>
      <c r="C139" s="76" t="str">
        <f t="shared" si="90"/>
        <v/>
      </c>
      <c r="D139" s="291"/>
      <c r="E139" s="291"/>
      <c r="F139" s="291"/>
      <c r="G139" s="291"/>
      <c r="H139" s="291"/>
      <c r="I139" s="291"/>
      <c r="J139" s="291"/>
      <c r="K139" s="291"/>
      <c r="L139" s="291"/>
      <c r="M139" s="291"/>
      <c r="N139" s="291"/>
      <c r="O139" s="291"/>
      <c r="P139" s="291"/>
      <c r="Q139" s="291"/>
      <c r="R139" s="291"/>
      <c r="S139" s="291"/>
      <c r="T139" s="291"/>
      <c r="U139" s="291"/>
      <c r="V139" s="291"/>
      <c r="W139" s="291"/>
      <c r="X139" s="291"/>
      <c r="Y139" s="291"/>
      <c r="Z139" s="291"/>
      <c r="AA139" s="291"/>
      <c r="AB139" s="291"/>
      <c r="AC139" s="291"/>
      <c r="AD139" s="291"/>
      <c r="AE139" s="291"/>
      <c r="AF139" s="291"/>
      <c r="AG139" s="291"/>
      <c r="AH139" s="291"/>
      <c r="AI139" s="291"/>
      <c r="AJ139" s="291"/>
      <c r="AK139" s="291"/>
      <c r="AL139" s="291"/>
      <c r="AM139" s="288"/>
      <c r="AN139" s="288"/>
      <c r="AO139" s="288"/>
      <c r="AP139" s="288"/>
      <c r="AQ139" s="288"/>
      <c r="AR139" s="288"/>
      <c r="AS139" s="288"/>
      <c r="AT139" s="288"/>
      <c r="AU139" s="288"/>
      <c r="AV139" s="288"/>
      <c r="AW139" s="288"/>
      <c r="AX139" s="288"/>
      <c r="AY139" s="288"/>
      <c r="AZ139" s="288"/>
      <c r="BA139" s="288"/>
      <c r="BB139" s="288"/>
      <c r="BC139" s="288"/>
      <c r="BD139" s="288"/>
      <c r="BE139" s="288"/>
      <c r="BF139" s="288"/>
      <c r="BG139" s="288"/>
      <c r="BH139" s="288"/>
      <c r="BI139" s="288"/>
      <c r="BJ139" s="288"/>
      <c r="BK139" s="288"/>
      <c r="BL139" s="288"/>
    </row>
    <row r="140" spans="2:64">
      <c r="B140" s="74" t="str">
        <f t="shared" si="91"/>
        <v>Продукт 14</v>
      </c>
      <c r="C140" s="76" t="str">
        <f t="shared" si="90"/>
        <v/>
      </c>
      <c r="D140" s="291"/>
      <c r="E140" s="291"/>
      <c r="F140" s="291"/>
      <c r="G140" s="291"/>
      <c r="H140" s="291"/>
      <c r="I140" s="291"/>
      <c r="J140" s="291"/>
      <c r="K140" s="291"/>
      <c r="L140" s="291"/>
      <c r="M140" s="291"/>
      <c r="N140" s="291"/>
      <c r="O140" s="291"/>
      <c r="P140" s="291"/>
      <c r="Q140" s="291"/>
      <c r="R140" s="291"/>
      <c r="S140" s="291"/>
      <c r="T140" s="291"/>
      <c r="U140" s="291"/>
      <c r="V140" s="291"/>
      <c r="W140" s="291"/>
      <c r="X140" s="291"/>
      <c r="Y140" s="291"/>
      <c r="Z140" s="291"/>
      <c r="AA140" s="291"/>
      <c r="AB140" s="291"/>
      <c r="AC140" s="291"/>
      <c r="AD140" s="291"/>
      <c r="AE140" s="291"/>
      <c r="AF140" s="291"/>
      <c r="AG140" s="291"/>
      <c r="AH140" s="291"/>
      <c r="AI140" s="291"/>
      <c r="AJ140" s="291"/>
      <c r="AK140" s="291"/>
      <c r="AL140" s="291"/>
      <c r="AM140" s="288"/>
      <c r="AN140" s="288"/>
      <c r="AO140" s="288"/>
      <c r="AP140" s="288"/>
      <c r="AQ140" s="288"/>
      <c r="AR140" s="288"/>
      <c r="AS140" s="288"/>
      <c r="AT140" s="288"/>
      <c r="AU140" s="288"/>
      <c r="AV140" s="288"/>
      <c r="AW140" s="288"/>
      <c r="AX140" s="288"/>
      <c r="AY140" s="288"/>
      <c r="AZ140" s="288"/>
      <c r="BA140" s="288"/>
      <c r="BB140" s="288"/>
      <c r="BC140" s="288"/>
      <c r="BD140" s="288"/>
      <c r="BE140" s="288"/>
      <c r="BF140" s="288"/>
      <c r="BG140" s="288"/>
      <c r="BH140" s="288"/>
      <c r="BI140" s="288"/>
      <c r="BJ140" s="288"/>
      <c r="BK140" s="288"/>
      <c r="BL140" s="288"/>
    </row>
    <row r="141" spans="2:64">
      <c r="B141" s="74" t="str">
        <f t="shared" si="91"/>
        <v>Продукт 15</v>
      </c>
      <c r="C141" s="76" t="str">
        <f t="shared" si="90"/>
        <v/>
      </c>
      <c r="D141" s="291"/>
      <c r="E141" s="291"/>
      <c r="F141" s="291"/>
      <c r="G141" s="291"/>
      <c r="H141" s="291"/>
      <c r="I141" s="291"/>
      <c r="J141" s="291"/>
      <c r="K141" s="291"/>
      <c r="L141" s="291"/>
      <c r="M141" s="291"/>
      <c r="N141" s="291"/>
      <c r="O141" s="291"/>
      <c r="P141" s="291"/>
      <c r="Q141" s="291"/>
      <c r="R141" s="291"/>
      <c r="S141" s="291"/>
      <c r="T141" s="291"/>
      <c r="U141" s="291"/>
      <c r="V141" s="291"/>
      <c r="W141" s="291"/>
      <c r="X141" s="291"/>
      <c r="Y141" s="291"/>
      <c r="Z141" s="291"/>
      <c r="AA141" s="291"/>
      <c r="AB141" s="291"/>
      <c r="AC141" s="291"/>
      <c r="AD141" s="291"/>
      <c r="AE141" s="291"/>
      <c r="AF141" s="291"/>
      <c r="AG141" s="291"/>
      <c r="AH141" s="291"/>
      <c r="AI141" s="291"/>
      <c r="AJ141" s="291"/>
      <c r="AK141" s="291"/>
      <c r="AL141" s="291"/>
      <c r="AM141" s="288"/>
      <c r="AN141" s="288"/>
      <c r="AO141" s="288"/>
      <c r="AP141" s="288"/>
      <c r="AQ141" s="288"/>
      <c r="AR141" s="288"/>
      <c r="AS141" s="288"/>
      <c r="AT141" s="288"/>
      <c r="AU141" s="288"/>
      <c r="AV141" s="288"/>
      <c r="AW141" s="288"/>
      <c r="AX141" s="288"/>
      <c r="AY141" s="288"/>
      <c r="AZ141" s="288"/>
      <c r="BA141" s="288"/>
      <c r="BB141" s="288"/>
      <c r="BC141" s="288"/>
      <c r="BD141" s="288"/>
      <c r="BE141" s="288"/>
      <c r="BF141" s="288"/>
      <c r="BG141" s="288"/>
      <c r="BH141" s="288"/>
      <c r="BI141" s="288"/>
      <c r="BJ141" s="288"/>
      <c r="BK141" s="288"/>
      <c r="BL141" s="288"/>
    </row>
    <row r="142" spans="2:64">
      <c r="B142" s="74" t="str">
        <f t="shared" si="91"/>
        <v>Продукт 16</v>
      </c>
      <c r="C142" s="76" t="str">
        <f t="shared" si="90"/>
        <v/>
      </c>
      <c r="D142" s="291"/>
      <c r="E142" s="291"/>
      <c r="F142" s="291"/>
      <c r="G142" s="291"/>
      <c r="H142" s="291"/>
      <c r="I142" s="291"/>
      <c r="J142" s="291"/>
      <c r="K142" s="291"/>
      <c r="L142" s="291"/>
      <c r="M142" s="291"/>
      <c r="N142" s="291"/>
      <c r="O142" s="291"/>
      <c r="P142" s="291"/>
      <c r="Q142" s="291"/>
      <c r="R142" s="291"/>
      <c r="S142" s="291"/>
      <c r="T142" s="291"/>
      <c r="U142" s="291"/>
      <c r="V142" s="291"/>
      <c r="W142" s="291"/>
      <c r="X142" s="291"/>
      <c r="Y142" s="291"/>
      <c r="Z142" s="291"/>
      <c r="AA142" s="291"/>
      <c r="AB142" s="291"/>
      <c r="AC142" s="291"/>
      <c r="AD142" s="291"/>
      <c r="AE142" s="291"/>
      <c r="AF142" s="291"/>
      <c r="AG142" s="291"/>
      <c r="AH142" s="291"/>
      <c r="AI142" s="291"/>
      <c r="AJ142" s="291"/>
      <c r="AK142" s="291"/>
      <c r="AL142" s="291"/>
      <c r="AM142" s="288"/>
      <c r="AN142" s="288"/>
      <c r="AO142" s="288"/>
      <c r="AP142" s="288"/>
      <c r="AQ142" s="288"/>
      <c r="AR142" s="288"/>
      <c r="AS142" s="288"/>
      <c r="AT142" s="288"/>
      <c r="AU142" s="288"/>
      <c r="AV142" s="288"/>
      <c r="AW142" s="288"/>
      <c r="AX142" s="288"/>
      <c r="AY142" s="288"/>
      <c r="AZ142" s="288"/>
      <c r="BA142" s="288"/>
      <c r="BB142" s="288"/>
      <c r="BC142" s="288"/>
      <c r="BD142" s="288"/>
      <c r="BE142" s="288"/>
      <c r="BF142" s="288"/>
      <c r="BG142" s="288"/>
      <c r="BH142" s="288"/>
      <c r="BI142" s="288"/>
      <c r="BJ142" s="288"/>
      <c r="BK142" s="288"/>
      <c r="BL142" s="288"/>
    </row>
    <row r="143" spans="2:64">
      <c r="B143" s="74" t="str">
        <f t="shared" si="91"/>
        <v>Продукт 17</v>
      </c>
      <c r="C143" s="76" t="str">
        <f t="shared" si="90"/>
        <v/>
      </c>
      <c r="D143" s="291"/>
      <c r="E143" s="291"/>
      <c r="F143" s="291"/>
      <c r="G143" s="291"/>
      <c r="H143" s="291"/>
      <c r="I143" s="291"/>
      <c r="J143" s="291"/>
      <c r="K143" s="291"/>
      <c r="L143" s="291"/>
      <c r="M143" s="291"/>
      <c r="N143" s="291"/>
      <c r="O143" s="291"/>
      <c r="P143" s="291"/>
      <c r="Q143" s="291"/>
      <c r="R143" s="291"/>
      <c r="S143" s="291"/>
      <c r="T143" s="291"/>
      <c r="U143" s="291"/>
      <c r="V143" s="291"/>
      <c r="W143" s="291"/>
      <c r="X143" s="291"/>
      <c r="Y143" s="291"/>
      <c r="Z143" s="291"/>
      <c r="AA143" s="291"/>
      <c r="AB143" s="291"/>
      <c r="AC143" s="291"/>
      <c r="AD143" s="291"/>
      <c r="AE143" s="291"/>
      <c r="AF143" s="291"/>
      <c r="AG143" s="291"/>
      <c r="AH143" s="291"/>
      <c r="AI143" s="291"/>
      <c r="AJ143" s="291"/>
      <c r="AK143" s="291"/>
      <c r="AL143" s="291"/>
      <c r="AM143" s="288"/>
      <c r="AN143" s="288"/>
      <c r="AO143" s="288"/>
      <c r="AP143" s="288"/>
      <c r="AQ143" s="288"/>
      <c r="AR143" s="288"/>
      <c r="AS143" s="288"/>
      <c r="AT143" s="288"/>
      <c r="AU143" s="288"/>
      <c r="AV143" s="288"/>
      <c r="AW143" s="288"/>
      <c r="AX143" s="288"/>
      <c r="AY143" s="288"/>
      <c r="AZ143" s="288"/>
      <c r="BA143" s="288"/>
      <c r="BB143" s="288"/>
      <c r="BC143" s="288"/>
      <c r="BD143" s="288"/>
      <c r="BE143" s="288"/>
      <c r="BF143" s="288"/>
      <c r="BG143" s="288"/>
      <c r="BH143" s="288"/>
      <c r="BI143" s="288"/>
      <c r="BJ143" s="288"/>
      <c r="BK143" s="288"/>
      <c r="BL143" s="288"/>
    </row>
    <row r="144" spans="2:64" ht="15" customHeight="1">
      <c r="B144" s="74" t="str">
        <f t="shared" si="91"/>
        <v>Продукт 18</v>
      </c>
      <c r="C144" s="76" t="str">
        <f t="shared" si="90"/>
        <v/>
      </c>
      <c r="D144" s="291"/>
      <c r="E144" s="291"/>
      <c r="F144" s="291"/>
      <c r="G144" s="291"/>
      <c r="H144" s="291"/>
      <c r="I144" s="291"/>
      <c r="J144" s="291"/>
      <c r="K144" s="291"/>
      <c r="L144" s="291"/>
      <c r="M144" s="291"/>
      <c r="N144" s="291"/>
      <c r="O144" s="291"/>
      <c r="P144" s="291"/>
      <c r="Q144" s="291"/>
      <c r="R144" s="291"/>
      <c r="S144" s="291"/>
      <c r="T144" s="291"/>
      <c r="U144" s="291"/>
      <c r="V144" s="291"/>
      <c r="W144" s="291"/>
      <c r="X144" s="291"/>
      <c r="Y144" s="291"/>
      <c r="Z144" s="291"/>
      <c r="AA144" s="291"/>
      <c r="AB144" s="291"/>
      <c r="AC144" s="291"/>
      <c r="AD144" s="291"/>
      <c r="AE144" s="291"/>
      <c r="AF144" s="291"/>
      <c r="AG144" s="291"/>
      <c r="AH144" s="291"/>
      <c r="AI144" s="291"/>
      <c r="AJ144" s="291"/>
      <c r="AK144" s="291"/>
      <c r="AL144" s="291"/>
      <c r="AM144" s="288"/>
      <c r="AN144" s="288"/>
      <c r="AO144" s="288"/>
      <c r="AP144" s="288"/>
      <c r="AQ144" s="288"/>
      <c r="AR144" s="288"/>
      <c r="AS144" s="288"/>
      <c r="AT144" s="288"/>
      <c r="AU144" s="288"/>
      <c r="AV144" s="288"/>
      <c r="AW144" s="288"/>
      <c r="AX144" s="288"/>
      <c r="AY144" s="288"/>
      <c r="AZ144" s="288"/>
      <c r="BA144" s="288"/>
      <c r="BB144" s="288"/>
      <c r="BC144" s="288"/>
      <c r="BD144" s="288"/>
      <c r="BE144" s="288"/>
      <c r="BF144" s="288"/>
      <c r="BG144" s="288"/>
      <c r="BH144" s="288"/>
      <c r="BI144" s="288"/>
      <c r="BJ144" s="288"/>
      <c r="BK144" s="288"/>
      <c r="BL144" s="288"/>
    </row>
    <row r="145" spans="2:64" ht="15" customHeight="1">
      <c r="B145" s="74" t="str">
        <f t="shared" si="91"/>
        <v>Продукт 19</v>
      </c>
      <c r="C145" s="76" t="str">
        <f t="shared" si="90"/>
        <v/>
      </c>
      <c r="D145" s="288"/>
      <c r="E145" s="288"/>
      <c r="F145" s="288"/>
      <c r="G145" s="288"/>
      <c r="H145" s="288"/>
      <c r="I145" s="288"/>
      <c r="J145" s="288"/>
      <c r="K145" s="288"/>
      <c r="L145" s="288"/>
      <c r="M145" s="288"/>
      <c r="N145" s="288"/>
      <c r="O145" s="288"/>
      <c r="P145" s="288"/>
      <c r="Q145" s="288"/>
      <c r="R145" s="288"/>
      <c r="S145" s="288"/>
      <c r="T145" s="288"/>
      <c r="U145" s="288"/>
      <c r="V145" s="288"/>
      <c r="W145" s="288"/>
      <c r="X145" s="288"/>
      <c r="Y145" s="288"/>
      <c r="Z145" s="288"/>
      <c r="AA145" s="288"/>
      <c r="AB145" s="288"/>
      <c r="AC145" s="288"/>
      <c r="AD145" s="288"/>
      <c r="AE145" s="288"/>
      <c r="AF145" s="288"/>
      <c r="AG145" s="288"/>
      <c r="AH145" s="288"/>
      <c r="AI145" s="288"/>
      <c r="AJ145" s="288"/>
      <c r="AK145" s="288"/>
      <c r="AL145" s="288"/>
      <c r="AM145" s="288"/>
      <c r="AN145" s="288"/>
      <c r="AO145" s="288"/>
      <c r="AP145" s="288"/>
      <c r="AQ145" s="288"/>
      <c r="AR145" s="288"/>
      <c r="AS145" s="288"/>
      <c r="AT145" s="288"/>
      <c r="AU145" s="288"/>
      <c r="AV145" s="288"/>
      <c r="AW145" s="288"/>
      <c r="AX145" s="288"/>
      <c r="AY145" s="288"/>
      <c r="AZ145" s="288"/>
      <c r="BA145" s="288"/>
      <c r="BB145" s="288"/>
      <c r="BC145" s="288"/>
      <c r="BD145" s="288"/>
      <c r="BE145" s="288"/>
      <c r="BF145" s="288"/>
      <c r="BG145" s="288"/>
      <c r="BH145" s="288"/>
      <c r="BI145" s="288"/>
      <c r="BJ145" s="288"/>
      <c r="BK145" s="288"/>
      <c r="BL145" s="288"/>
    </row>
    <row r="146" spans="2:64" ht="15" customHeight="1">
      <c r="B146" s="74" t="str">
        <f t="shared" si="91"/>
        <v>Продукт 20</v>
      </c>
      <c r="C146" s="76" t="str">
        <f t="shared" si="90"/>
        <v/>
      </c>
      <c r="D146" s="288"/>
      <c r="E146" s="288"/>
      <c r="F146" s="288"/>
      <c r="G146" s="288"/>
      <c r="H146" s="288"/>
      <c r="I146" s="288"/>
      <c r="J146" s="288"/>
      <c r="K146" s="288"/>
      <c r="L146" s="288"/>
      <c r="M146" s="288"/>
      <c r="N146" s="288"/>
      <c r="O146" s="288"/>
      <c r="P146" s="288"/>
      <c r="Q146" s="288"/>
      <c r="R146" s="288"/>
      <c r="S146" s="288"/>
      <c r="T146" s="288"/>
      <c r="U146" s="288"/>
      <c r="V146" s="288"/>
      <c r="W146" s="288"/>
      <c r="X146" s="288"/>
      <c r="Y146" s="288"/>
      <c r="Z146" s="288"/>
      <c r="AA146" s="288"/>
      <c r="AB146" s="288"/>
      <c r="AC146" s="288"/>
      <c r="AD146" s="288"/>
      <c r="AE146" s="288"/>
      <c r="AF146" s="288"/>
      <c r="AG146" s="288"/>
      <c r="AH146" s="288"/>
      <c r="AI146" s="288"/>
      <c r="AJ146" s="288"/>
      <c r="AK146" s="288"/>
      <c r="AL146" s="288"/>
      <c r="AM146" s="288"/>
      <c r="AN146" s="288"/>
      <c r="AO146" s="288"/>
      <c r="AP146" s="288"/>
      <c r="AQ146" s="288"/>
      <c r="AR146" s="288"/>
      <c r="AS146" s="288"/>
      <c r="AT146" s="288"/>
      <c r="AU146" s="288"/>
      <c r="AV146" s="288"/>
      <c r="AW146" s="288"/>
      <c r="AX146" s="288"/>
      <c r="AY146" s="288"/>
      <c r="AZ146" s="288"/>
      <c r="BA146" s="288"/>
      <c r="BB146" s="288"/>
      <c r="BC146" s="288"/>
      <c r="BD146" s="288"/>
      <c r="BE146" s="288"/>
      <c r="BF146" s="288"/>
      <c r="BG146" s="288"/>
      <c r="BH146" s="288"/>
      <c r="BI146" s="288"/>
      <c r="BJ146" s="288"/>
      <c r="BK146" s="288"/>
      <c r="BL146" s="288"/>
    </row>
    <row r="147" spans="2:64"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"/>
      <c r="AE147" s="5"/>
    </row>
    <row r="148" spans="2:64" ht="15.75">
      <c r="B148" s="22" t="s">
        <v>791</v>
      </c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  <c r="AE148" s="5"/>
    </row>
    <row r="149" spans="2:64">
      <c r="B149" s="479" t="s">
        <v>9</v>
      </c>
      <c r="C149" s="479" t="s">
        <v>13</v>
      </c>
      <c r="D149" s="311">
        <f>SUM(C149,1)</f>
        <v>1</v>
      </c>
      <c r="E149" s="311">
        <f t="shared" ref="E149" si="92">SUM(D149,1)</f>
        <v>2</v>
      </c>
      <c r="F149" s="311">
        <f t="shared" ref="F149" si="93">SUM(E149,1)</f>
        <v>3</v>
      </c>
      <c r="G149" s="311">
        <f t="shared" ref="G149" si="94">SUM(F149,1)</f>
        <v>4</v>
      </c>
      <c r="H149" s="311">
        <f t="shared" ref="H149" si="95">SUM(G149,1)</f>
        <v>5</v>
      </c>
      <c r="I149" s="311">
        <f t="shared" ref="I149" si="96">SUM(H149,1)</f>
        <v>6</v>
      </c>
      <c r="J149" s="311">
        <f t="shared" ref="J149" si="97">SUM(I149,1)</f>
        <v>7</v>
      </c>
      <c r="K149" s="311">
        <f t="shared" ref="K149" si="98">SUM(J149,1)</f>
        <v>8</v>
      </c>
      <c r="L149" s="311">
        <f t="shared" ref="L149" si="99">SUM(K149,1)</f>
        <v>9</v>
      </c>
      <c r="M149" s="311">
        <f t="shared" ref="M149" si="100">SUM(L149,1)</f>
        <v>10</v>
      </c>
      <c r="N149" s="311">
        <f t="shared" ref="N149" si="101">SUM(M149,1)</f>
        <v>11</v>
      </c>
      <c r="O149" s="311">
        <f t="shared" ref="O149" si="102">SUM(N149,1)</f>
        <v>12</v>
      </c>
      <c r="P149" s="311">
        <f t="shared" ref="P149" si="103">SUM(O149,1)</f>
        <v>13</v>
      </c>
      <c r="Q149" s="311">
        <f t="shared" ref="Q149" si="104">SUM(P149,1)</f>
        <v>14</v>
      </c>
      <c r="R149" s="311">
        <f t="shared" ref="R149" si="105">SUM(Q149,1)</f>
        <v>15</v>
      </c>
      <c r="S149" s="311">
        <f t="shared" ref="S149" si="106">SUM(R149,1)</f>
        <v>16</v>
      </c>
      <c r="T149" s="311">
        <f t="shared" ref="T149" si="107">SUM(S149,1)</f>
        <v>17</v>
      </c>
      <c r="U149" s="311">
        <f t="shared" ref="U149" si="108">SUM(T149,1)</f>
        <v>18</v>
      </c>
      <c r="V149" s="311">
        <f t="shared" ref="V149" si="109">SUM(U149,1)</f>
        <v>19</v>
      </c>
      <c r="W149" s="311">
        <f t="shared" ref="W149" si="110">SUM(V149,1)</f>
        <v>20</v>
      </c>
      <c r="X149" s="311">
        <f t="shared" ref="X149" si="111">SUM(W149,1)</f>
        <v>21</v>
      </c>
      <c r="Y149" s="311">
        <f t="shared" ref="Y149" si="112">SUM(X149,1)</f>
        <v>22</v>
      </c>
      <c r="Z149" s="311">
        <f t="shared" ref="Z149" si="113">SUM(Y149,1)</f>
        <v>23</v>
      </c>
      <c r="AA149" s="311">
        <f t="shared" ref="AA149" si="114">SUM(Z149,1)</f>
        <v>24</v>
      </c>
      <c r="AB149" s="311">
        <f t="shared" ref="AB149" si="115">SUM(AA149,1)</f>
        <v>25</v>
      </c>
      <c r="AC149" s="311">
        <f t="shared" ref="AC149" si="116">SUM(AB149,1)</f>
        <v>26</v>
      </c>
      <c r="AD149" s="311">
        <f t="shared" ref="AD149" si="117">SUM(AC149,1)</f>
        <v>27</v>
      </c>
      <c r="AE149" s="311">
        <f t="shared" ref="AE149" si="118">SUM(AD149,1)</f>
        <v>28</v>
      </c>
      <c r="AF149" s="311">
        <f t="shared" ref="AF149" si="119">SUM(AE149,1)</f>
        <v>29</v>
      </c>
      <c r="AG149" s="311">
        <f t="shared" ref="AG149" si="120">SUM(AF149,1)</f>
        <v>30</v>
      </c>
      <c r="AH149" s="311">
        <f t="shared" ref="AH149" si="121">SUM(AG149,1)</f>
        <v>31</v>
      </c>
      <c r="AI149" s="311">
        <f t="shared" ref="AI149" si="122">SUM(AH149,1)</f>
        <v>32</v>
      </c>
      <c r="AJ149" s="311">
        <f t="shared" ref="AJ149" si="123">SUM(AI149,1)</f>
        <v>33</v>
      </c>
      <c r="AK149" s="311">
        <f t="shared" ref="AK149" si="124">SUM(AJ149,1)</f>
        <v>34</v>
      </c>
      <c r="AL149" s="311">
        <f t="shared" ref="AL149" si="125">SUM(AK149,1)</f>
        <v>35</v>
      </c>
      <c r="AM149" s="311">
        <f t="shared" ref="AM149" si="126">SUM(AL149,1)</f>
        <v>36</v>
      </c>
      <c r="AN149" s="311">
        <f t="shared" ref="AN149" si="127">SUM(AM149,1)</f>
        <v>37</v>
      </c>
      <c r="AO149" s="311">
        <f t="shared" ref="AO149" si="128">SUM(AN149,1)</f>
        <v>38</v>
      </c>
      <c r="AP149" s="311">
        <f t="shared" ref="AP149" si="129">SUM(AO149,1)</f>
        <v>39</v>
      </c>
      <c r="AQ149" s="311">
        <f t="shared" ref="AQ149" si="130">SUM(AP149,1)</f>
        <v>40</v>
      </c>
      <c r="AR149" s="311">
        <f t="shared" ref="AR149" si="131">SUM(AQ149,1)</f>
        <v>41</v>
      </c>
      <c r="AS149" s="311">
        <f t="shared" ref="AS149" si="132">SUM(AR149,1)</f>
        <v>42</v>
      </c>
      <c r="AT149" s="311">
        <f t="shared" ref="AT149" si="133">SUM(AS149,1)</f>
        <v>43</v>
      </c>
      <c r="AU149" s="311">
        <f t="shared" ref="AU149" si="134">SUM(AT149,1)</f>
        <v>44</v>
      </c>
      <c r="AV149" s="311">
        <f t="shared" ref="AV149" si="135">SUM(AU149,1)</f>
        <v>45</v>
      </c>
      <c r="AW149" s="311">
        <f t="shared" ref="AW149" si="136">SUM(AV149,1)</f>
        <v>46</v>
      </c>
      <c r="AX149" s="311">
        <f t="shared" ref="AX149" si="137">SUM(AW149,1)</f>
        <v>47</v>
      </c>
      <c r="AY149" s="311">
        <f t="shared" ref="AY149" si="138">SUM(AX149,1)</f>
        <v>48</v>
      </c>
      <c r="AZ149" s="311">
        <f t="shared" ref="AZ149" si="139">SUM(AY149,1)</f>
        <v>49</v>
      </c>
      <c r="BA149" s="311">
        <f t="shared" ref="BA149" si="140">SUM(AZ149,1)</f>
        <v>50</v>
      </c>
      <c r="BB149" s="311">
        <f t="shared" ref="BB149" si="141">SUM(BA149,1)</f>
        <v>51</v>
      </c>
      <c r="BC149" s="311">
        <f t="shared" ref="BC149" si="142">SUM(BB149,1)</f>
        <v>52</v>
      </c>
      <c r="BD149" s="311">
        <f t="shared" ref="BD149" si="143">SUM(BC149,1)</f>
        <v>53</v>
      </c>
      <c r="BE149" s="311">
        <f t="shared" ref="BE149" si="144">SUM(BD149,1)</f>
        <v>54</v>
      </c>
      <c r="BF149" s="311">
        <f t="shared" ref="BF149" si="145">SUM(BE149,1)</f>
        <v>55</v>
      </c>
      <c r="BG149" s="311">
        <f t="shared" ref="BG149" si="146">SUM(BF149,1)</f>
        <v>56</v>
      </c>
      <c r="BH149" s="311">
        <f t="shared" ref="BH149" si="147">SUM(BG149,1)</f>
        <v>57</v>
      </c>
      <c r="BI149" s="311">
        <f t="shared" ref="BI149" si="148">SUM(BH149,1)</f>
        <v>58</v>
      </c>
      <c r="BJ149" s="311">
        <f t="shared" ref="BJ149" si="149">SUM(BI149,1)</f>
        <v>59</v>
      </c>
      <c r="BK149" s="311">
        <f t="shared" ref="BK149" si="150">SUM(BJ149,1)</f>
        <v>60</v>
      </c>
      <c r="BL149" s="311">
        <f t="shared" ref="BL149" si="151">SUM(BK149,1)</f>
        <v>61</v>
      </c>
    </row>
    <row r="150" spans="2:64">
      <c r="B150" s="479"/>
      <c r="C150" s="479"/>
      <c r="D150" s="227">
        <f>D125</f>
        <v>46204</v>
      </c>
      <c r="E150" s="227">
        <f t="shared" ref="E150:BL150" si="152">E125</f>
        <v>46296</v>
      </c>
      <c r="F150" s="227">
        <f t="shared" si="152"/>
        <v>46388</v>
      </c>
      <c r="G150" s="227">
        <f t="shared" si="152"/>
        <v>46478</v>
      </c>
      <c r="H150" s="227">
        <f t="shared" si="152"/>
        <v>46569</v>
      </c>
      <c r="I150" s="227">
        <f t="shared" si="152"/>
        <v>46661</v>
      </c>
      <c r="J150" s="227">
        <f t="shared" si="152"/>
        <v>46753</v>
      </c>
      <c r="K150" s="227">
        <f t="shared" si="152"/>
        <v>46844</v>
      </c>
      <c r="L150" s="227">
        <f t="shared" si="152"/>
        <v>46935</v>
      </c>
      <c r="M150" s="227">
        <f t="shared" si="152"/>
        <v>47027</v>
      </c>
      <c r="N150" s="227">
        <f t="shared" si="152"/>
        <v>47119</v>
      </c>
      <c r="O150" s="227">
        <f t="shared" si="152"/>
        <v>47209</v>
      </c>
      <c r="P150" s="227">
        <f t="shared" si="152"/>
        <v>47300</v>
      </c>
      <c r="Q150" s="227">
        <f t="shared" si="152"/>
        <v>47392</v>
      </c>
      <c r="R150" s="227">
        <f t="shared" si="152"/>
        <v>47484</v>
      </c>
      <c r="S150" s="227">
        <f t="shared" si="152"/>
        <v>47574</v>
      </c>
      <c r="T150" s="227">
        <f t="shared" si="152"/>
        <v>47665</v>
      </c>
      <c r="U150" s="227">
        <f t="shared" si="152"/>
        <v>47757</v>
      </c>
      <c r="V150" s="227">
        <f t="shared" si="152"/>
        <v>47849</v>
      </c>
      <c r="W150" s="227">
        <f t="shared" si="152"/>
        <v>47939</v>
      </c>
      <c r="X150" s="227">
        <f t="shared" si="152"/>
        <v>48030</v>
      </c>
      <c r="Y150" s="227">
        <f t="shared" si="152"/>
        <v>48122</v>
      </c>
      <c r="Z150" s="227">
        <f t="shared" si="152"/>
        <v>48214</v>
      </c>
      <c r="AA150" s="227">
        <f t="shared" si="152"/>
        <v>48305</v>
      </c>
      <c r="AB150" s="227">
        <f t="shared" si="152"/>
        <v>48396</v>
      </c>
      <c r="AC150" s="227">
        <f t="shared" si="152"/>
        <v>48488</v>
      </c>
      <c r="AD150" s="227">
        <f t="shared" si="152"/>
        <v>48580</v>
      </c>
      <c r="AE150" s="227">
        <f t="shared" si="152"/>
        <v>48670</v>
      </c>
      <c r="AF150" s="227">
        <f t="shared" si="152"/>
        <v>48761</v>
      </c>
      <c r="AG150" s="227">
        <f t="shared" si="152"/>
        <v>48853</v>
      </c>
      <c r="AH150" s="227">
        <f t="shared" si="152"/>
        <v>48945</v>
      </c>
      <c r="AI150" s="227">
        <f t="shared" si="152"/>
        <v>49035</v>
      </c>
      <c r="AJ150" s="227">
        <f t="shared" si="152"/>
        <v>49126</v>
      </c>
      <c r="AK150" s="227">
        <f t="shared" si="152"/>
        <v>49218</v>
      </c>
      <c r="AL150" s="227">
        <f t="shared" si="152"/>
        <v>49310</v>
      </c>
      <c r="AM150" s="227">
        <f t="shared" si="152"/>
        <v>49400</v>
      </c>
      <c r="AN150" s="227">
        <f t="shared" si="152"/>
        <v>49491</v>
      </c>
      <c r="AO150" s="227">
        <f t="shared" si="152"/>
        <v>49583</v>
      </c>
      <c r="AP150" s="227">
        <f t="shared" si="152"/>
        <v>49675</v>
      </c>
      <c r="AQ150" s="227">
        <f t="shared" si="152"/>
        <v>49766</v>
      </c>
      <c r="AR150" s="227">
        <f t="shared" si="152"/>
        <v>49857</v>
      </c>
      <c r="AS150" s="227">
        <f t="shared" si="152"/>
        <v>49949</v>
      </c>
      <c r="AT150" s="227">
        <f t="shared" si="152"/>
        <v>50041</v>
      </c>
      <c r="AU150" s="227">
        <f t="shared" si="152"/>
        <v>50131</v>
      </c>
      <c r="AV150" s="227">
        <f t="shared" si="152"/>
        <v>50222</v>
      </c>
      <c r="AW150" s="227">
        <f t="shared" si="152"/>
        <v>50314</v>
      </c>
      <c r="AX150" s="227">
        <f t="shared" si="152"/>
        <v>50406</v>
      </c>
      <c r="AY150" s="227">
        <f t="shared" si="152"/>
        <v>50496</v>
      </c>
      <c r="AZ150" s="227">
        <f t="shared" si="152"/>
        <v>50587</v>
      </c>
      <c r="BA150" s="227">
        <f t="shared" si="152"/>
        <v>50679</v>
      </c>
      <c r="BB150" s="227">
        <f t="shared" si="152"/>
        <v>50771</v>
      </c>
      <c r="BC150" s="227">
        <f t="shared" si="152"/>
        <v>50861</v>
      </c>
      <c r="BD150" s="227">
        <f t="shared" si="152"/>
        <v>50952</v>
      </c>
      <c r="BE150" s="227">
        <f t="shared" si="152"/>
        <v>51044</v>
      </c>
      <c r="BF150" s="227">
        <f t="shared" si="152"/>
        <v>51136</v>
      </c>
      <c r="BG150" s="227">
        <f t="shared" si="152"/>
        <v>51227</v>
      </c>
      <c r="BH150" s="227">
        <f t="shared" si="152"/>
        <v>51318</v>
      </c>
      <c r="BI150" s="227">
        <f t="shared" si="152"/>
        <v>51410</v>
      </c>
      <c r="BJ150" s="227">
        <f t="shared" si="152"/>
        <v>51502</v>
      </c>
      <c r="BK150" s="227">
        <f t="shared" si="152"/>
        <v>51592</v>
      </c>
      <c r="BL150" s="227">
        <f t="shared" si="152"/>
        <v>51683</v>
      </c>
    </row>
    <row r="151" spans="2:64">
      <c r="B151" s="479"/>
      <c r="C151" s="479"/>
      <c r="D151" s="227">
        <f t="shared" ref="D151:BL151" si="153">D126</f>
        <v>46295</v>
      </c>
      <c r="E151" s="227">
        <f t="shared" si="153"/>
        <v>46387</v>
      </c>
      <c r="F151" s="227">
        <f t="shared" si="153"/>
        <v>46477</v>
      </c>
      <c r="G151" s="227">
        <f t="shared" si="153"/>
        <v>46568</v>
      </c>
      <c r="H151" s="227">
        <f t="shared" si="153"/>
        <v>46660</v>
      </c>
      <c r="I151" s="227">
        <f t="shared" si="153"/>
        <v>46752</v>
      </c>
      <c r="J151" s="227">
        <f t="shared" si="153"/>
        <v>46843</v>
      </c>
      <c r="K151" s="227">
        <f t="shared" si="153"/>
        <v>46934</v>
      </c>
      <c r="L151" s="227">
        <f t="shared" si="153"/>
        <v>47026</v>
      </c>
      <c r="M151" s="227">
        <f t="shared" si="153"/>
        <v>47118</v>
      </c>
      <c r="N151" s="227">
        <f t="shared" si="153"/>
        <v>47208</v>
      </c>
      <c r="O151" s="227">
        <f t="shared" si="153"/>
        <v>47299</v>
      </c>
      <c r="P151" s="227">
        <f t="shared" si="153"/>
        <v>47391</v>
      </c>
      <c r="Q151" s="227">
        <f t="shared" si="153"/>
        <v>47483</v>
      </c>
      <c r="R151" s="227">
        <f t="shared" si="153"/>
        <v>47573</v>
      </c>
      <c r="S151" s="227">
        <f t="shared" si="153"/>
        <v>47664</v>
      </c>
      <c r="T151" s="227">
        <f t="shared" si="153"/>
        <v>47756</v>
      </c>
      <c r="U151" s="227">
        <f t="shared" si="153"/>
        <v>47848</v>
      </c>
      <c r="V151" s="227">
        <f t="shared" si="153"/>
        <v>47938</v>
      </c>
      <c r="W151" s="227">
        <f t="shared" si="153"/>
        <v>48029</v>
      </c>
      <c r="X151" s="227">
        <f t="shared" si="153"/>
        <v>48121</v>
      </c>
      <c r="Y151" s="227">
        <f t="shared" si="153"/>
        <v>48213</v>
      </c>
      <c r="Z151" s="227">
        <f t="shared" si="153"/>
        <v>48304</v>
      </c>
      <c r="AA151" s="227">
        <f t="shared" si="153"/>
        <v>48395</v>
      </c>
      <c r="AB151" s="227">
        <f t="shared" si="153"/>
        <v>48487</v>
      </c>
      <c r="AC151" s="227">
        <f t="shared" si="153"/>
        <v>48579</v>
      </c>
      <c r="AD151" s="227">
        <f t="shared" si="153"/>
        <v>48669</v>
      </c>
      <c r="AE151" s="227">
        <f t="shared" si="153"/>
        <v>48760</v>
      </c>
      <c r="AF151" s="227">
        <f t="shared" si="153"/>
        <v>48852</v>
      </c>
      <c r="AG151" s="227">
        <f t="shared" si="153"/>
        <v>48944</v>
      </c>
      <c r="AH151" s="227">
        <f t="shared" si="153"/>
        <v>49034</v>
      </c>
      <c r="AI151" s="227">
        <f t="shared" si="153"/>
        <v>49125</v>
      </c>
      <c r="AJ151" s="227">
        <f t="shared" si="153"/>
        <v>49217</v>
      </c>
      <c r="AK151" s="227">
        <f t="shared" si="153"/>
        <v>49309</v>
      </c>
      <c r="AL151" s="227">
        <f t="shared" si="153"/>
        <v>49399</v>
      </c>
      <c r="AM151" s="227">
        <f t="shared" si="153"/>
        <v>49490</v>
      </c>
      <c r="AN151" s="227">
        <f t="shared" si="153"/>
        <v>49582</v>
      </c>
      <c r="AO151" s="227">
        <f t="shared" si="153"/>
        <v>49674</v>
      </c>
      <c r="AP151" s="227">
        <f t="shared" si="153"/>
        <v>49765</v>
      </c>
      <c r="AQ151" s="227">
        <f t="shared" si="153"/>
        <v>49856</v>
      </c>
      <c r="AR151" s="227">
        <f t="shared" si="153"/>
        <v>49948</v>
      </c>
      <c r="AS151" s="227">
        <f t="shared" si="153"/>
        <v>50040</v>
      </c>
      <c r="AT151" s="227">
        <f t="shared" si="153"/>
        <v>50130</v>
      </c>
      <c r="AU151" s="227">
        <f t="shared" si="153"/>
        <v>50221</v>
      </c>
      <c r="AV151" s="227">
        <f t="shared" si="153"/>
        <v>50313</v>
      </c>
      <c r="AW151" s="227">
        <f t="shared" si="153"/>
        <v>50405</v>
      </c>
      <c r="AX151" s="227">
        <f t="shared" si="153"/>
        <v>50495</v>
      </c>
      <c r="AY151" s="227">
        <f t="shared" si="153"/>
        <v>50586</v>
      </c>
      <c r="AZ151" s="227">
        <f t="shared" si="153"/>
        <v>50678</v>
      </c>
      <c r="BA151" s="227">
        <f t="shared" si="153"/>
        <v>50770</v>
      </c>
      <c r="BB151" s="227">
        <f t="shared" si="153"/>
        <v>50860</v>
      </c>
      <c r="BC151" s="227">
        <f t="shared" si="153"/>
        <v>50951</v>
      </c>
      <c r="BD151" s="227">
        <f t="shared" si="153"/>
        <v>51043</v>
      </c>
      <c r="BE151" s="227">
        <f t="shared" si="153"/>
        <v>51135</v>
      </c>
      <c r="BF151" s="227">
        <f t="shared" si="153"/>
        <v>51226</v>
      </c>
      <c r="BG151" s="227">
        <f t="shared" si="153"/>
        <v>51317</v>
      </c>
      <c r="BH151" s="227">
        <f t="shared" si="153"/>
        <v>51409</v>
      </c>
      <c r="BI151" s="227">
        <f t="shared" si="153"/>
        <v>51501</v>
      </c>
      <c r="BJ151" s="227">
        <f t="shared" si="153"/>
        <v>51591</v>
      </c>
      <c r="BK151" s="227">
        <f t="shared" si="153"/>
        <v>51682</v>
      </c>
      <c r="BL151" s="227">
        <f t="shared" si="153"/>
        <v>51774</v>
      </c>
    </row>
    <row r="152" spans="2:64">
      <c r="B152" s="74" t="str">
        <f>B127</f>
        <v>Продукт 1</v>
      </c>
      <c r="C152" s="75" t="str">
        <f>C102</f>
        <v>RUB</v>
      </c>
      <c r="D152" s="320">
        <f t="shared" ref="D152:AI152" ca="1" si="154">D102*D127*D$173*LOOKUP($H77,$I$13:$I$16,OFFSET($B$263:$B$266,0,MATCH(YEAR(D$151),$C$262:$R$262)))/IF($I77=1,1.22,IF($I77=2,1.1,1))</f>
        <v>0</v>
      </c>
      <c r="E152" s="320">
        <f t="shared" ca="1" si="154"/>
        <v>0</v>
      </c>
      <c r="F152" s="320">
        <f t="shared" ca="1" si="154"/>
        <v>0</v>
      </c>
      <c r="G152" s="320">
        <f t="shared" ca="1" si="154"/>
        <v>0</v>
      </c>
      <c r="H152" s="320">
        <f t="shared" ca="1" si="154"/>
        <v>0</v>
      </c>
      <c r="I152" s="320">
        <f t="shared" ca="1" si="154"/>
        <v>0</v>
      </c>
      <c r="J152" s="320">
        <f t="shared" ca="1" si="154"/>
        <v>0</v>
      </c>
      <c r="K152" s="320">
        <f t="shared" ca="1" si="154"/>
        <v>0</v>
      </c>
      <c r="L152" s="320">
        <f t="shared" ca="1" si="154"/>
        <v>0</v>
      </c>
      <c r="M152" s="320">
        <f t="shared" ca="1" si="154"/>
        <v>0</v>
      </c>
      <c r="N152" s="320">
        <f t="shared" ca="1" si="154"/>
        <v>0</v>
      </c>
      <c r="O152" s="320">
        <f t="shared" ca="1" si="154"/>
        <v>0</v>
      </c>
      <c r="P152" s="320">
        <f t="shared" ca="1" si="154"/>
        <v>0</v>
      </c>
      <c r="Q152" s="320">
        <f t="shared" ca="1" si="154"/>
        <v>0</v>
      </c>
      <c r="R152" s="320">
        <f t="shared" ca="1" si="154"/>
        <v>0</v>
      </c>
      <c r="S152" s="320">
        <f t="shared" ca="1" si="154"/>
        <v>0</v>
      </c>
      <c r="T152" s="320">
        <f t="shared" ca="1" si="154"/>
        <v>0</v>
      </c>
      <c r="U152" s="320">
        <f t="shared" ca="1" si="154"/>
        <v>0</v>
      </c>
      <c r="V152" s="320">
        <f t="shared" ca="1" si="154"/>
        <v>0</v>
      </c>
      <c r="W152" s="320">
        <f t="shared" ca="1" si="154"/>
        <v>0</v>
      </c>
      <c r="X152" s="320">
        <f t="shared" ca="1" si="154"/>
        <v>0</v>
      </c>
      <c r="Y152" s="320">
        <f t="shared" ca="1" si="154"/>
        <v>0</v>
      </c>
      <c r="Z152" s="320">
        <f t="shared" ca="1" si="154"/>
        <v>0</v>
      </c>
      <c r="AA152" s="320">
        <f t="shared" ca="1" si="154"/>
        <v>0</v>
      </c>
      <c r="AB152" s="320">
        <f t="shared" ca="1" si="154"/>
        <v>0</v>
      </c>
      <c r="AC152" s="320">
        <f t="shared" ca="1" si="154"/>
        <v>0</v>
      </c>
      <c r="AD152" s="320">
        <f t="shared" ca="1" si="154"/>
        <v>0</v>
      </c>
      <c r="AE152" s="320">
        <f t="shared" ca="1" si="154"/>
        <v>0</v>
      </c>
      <c r="AF152" s="320">
        <f t="shared" ca="1" si="154"/>
        <v>0</v>
      </c>
      <c r="AG152" s="320">
        <f t="shared" ca="1" si="154"/>
        <v>0</v>
      </c>
      <c r="AH152" s="320">
        <f t="shared" ca="1" si="154"/>
        <v>0</v>
      </c>
      <c r="AI152" s="320">
        <f t="shared" ca="1" si="154"/>
        <v>0</v>
      </c>
      <c r="AJ152" s="320">
        <f t="shared" ref="AJ152:BL152" ca="1" si="155">AJ102*AJ127*AJ$173*LOOKUP($H77,$I$13:$I$16,OFFSET($B$263:$B$266,0,MATCH(YEAR(AJ$151),$C$262:$R$262)))/IF($I77=1,1.22,IF($I77=2,1.1,1))</f>
        <v>0</v>
      </c>
      <c r="AK152" s="320">
        <f t="shared" ca="1" si="155"/>
        <v>0</v>
      </c>
      <c r="AL152" s="320">
        <f t="shared" ca="1" si="155"/>
        <v>0</v>
      </c>
      <c r="AM152" s="320">
        <f t="shared" ca="1" si="155"/>
        <v>0</v>
      </c>
      <c r="AN152" s="320">
        <f t="shared" ca="1" si="155"/>
        <v>0</v>
      </c>
      <c r="AO152" s="320">
        <f t="shared" ca="1" si="155"/>
        <v>0</v>
      </c>
      <c r="AP152" s="320">
        <f t="shared" ca="1" si="155"/>
        <v>0</v>
      </c>
      <c r="AQ152" s="320">
        <f t="shared" ca="1" si="155"/>
        <v>0</v>
      </c>
      <c r="AR152" s="320">
        <f t="shared" ca="1" si="155"/>
        <v>0</v>
      </c>
      <c r="AS152" s="320">
        <f t="shared" ca="1" si="155"/>
        <v>0</v>
      </c>
      <c r="AT152" s="320">
        <f t="shared" ca="1" si="155"/>
        <v>0</v>
      </c>
      <c r="AU152" s="320">
        <f t="shared" ca="1" si="155"/>
        <v>0</v>
      </c>
      <c r="AV152" s="320">
        <f t="shared" ca="1" si="155"/>
        <v>0</v>
      </c>
      <c r="AW152" s="320">
        <f t="shared" ca="1" si="155"/>
        <v>0</v>
      </c>
      <c r="AX152" s="320">
        <f t="shared" ca="1" si="155"/>
        <v>0</v>
      </c>
      <c r="AY152" s="320">
        <f t="shared" ca="1" si="155"/>
        <v>0</v>
      </c>
      <c r="AZ152" s="320">
        <f t="shared" ca="1" si="155"/>
        <v>0</v>
      </c>
      <c r="BA152" s="320">
        <f t="shared" ca="1" si="155"/>
        <v>0</v>
      </c>
      <c r="BB152" s="320">
        <f t="shared" ca="1" si="155"/>
        <v>0</v>
      </c>
      <c r="BC152" s="320">
        <f t="shared" ca="1" si="155"/>
        <v>0</v>
      </c>
      <c r="BD152" s="320">
        <f t="shared" ca="1" si="155"/>
        <v>0</v>
      </c>
      <c r="BE152" s="320">
        <f t="shared" ca="1" si="155"/>
        <v>0</v>
      </c>
      <c r="BF152" s="320">
        <f t="shared" ca="1" si="155"/>
        <v>0</v>
      </c>
      <c r="BG152" s="320">
        <f t="shared" ca="1" si="155"/>
        <v>0</v>
      </c>
      <c r="BH152" s="320">
        <f t="shared" ca="1" si="155"/>
        <v>0</v>
      </c>
      <c r="BI152" s="320">
        <f t="shared" ca="1" si="155"/>
        <v>0</v>
      </c>
      <c r="BJ152" s="320">
        <f t="shared" ca="1" si="155"/>
        <v>0</v>
      </c>
      <c r="BK152" s="320">
        <f t="shared" ca="1" si="155"/>
        <v>0</v>
      </c>
      <c r="BL152" s="320">
        <f t="shared" ca="1" si="155"/>
        <v>0</v>
      </c>
    </row>
    <row r="153" spans="2:64">
      <c r="B153" s="74" t="str">
        <f t="shared" ref="B153:B171" si="156">B128</f>
        <v>Продукт 2</v>
      </c>
      <c r="C153" s="75" t="str">
        <f t="shared" ref="C153:C171" si="157">C103</f>
        <v>RUB</v>
      </c>
      <c r="D153" s="320">
        <f t="shared" ref="D153:AI153" ca="1" si="158">D103*D128*D$173*LOOKUP($H78,$I$13:$I$16,OFFSET($B$263:$B$266,0,MATCH(YEAR(D$151),$C$262:$R$262)))/IF($I78=1,1.22,IF($I78=2,1.1,1))</f>
        <v>0</v>
      </c>
      <c r="E153" s="320">
        <f t="shared" ca="1" si="158"/>
        <v>0</v>
      </c>
      <c r="F153" s="320">
        <f t="shared" ca="1" si="158"/>
        <v>0</v>
      </c>
      <c r="G153" s="320">
        <f t="shared" ca="1" si="158"/>
        <v>0</v>
      </c>
      <c r="H153" s="320">
        <f t="shared" ca="1" si="158"/>
        <v>0</v>
      </c>
      <c r="I153" s="320">
        <f t="shared" ca="1" si="158"/>
        <v>0</v>
      </c>
      <c r="J153" s="320">
        <f t="shared" ca="1" si="158"/>
        <v>0</v>
      </c>
      <c r="K153" s="320">
        <f t="shared" ca="1" si="158"/>
        <v>0</v>
      </c>
      <c r="L153" s="320">
        <f t="shared" ca="1" si="158"/>
        <v>0</v>
      </c>
      <c r="M153" s="320">
        <f t="shared" ca="1" si="158"/>
        <v>0</v>
      </c>
      <c r="N153" s="320">
        <f t="shared" ca="1" si="158"/>
        <v>0</v>
      </c>
      <c r="O153" s="320">
        <f t="shared" ca="1" si="158"/>
        <v>0</v>
      </c>
      <c r="P153" s="320">
        <f t="shared" ca="1" si="158"/>
        <v>0</v>
      </c>
      <c r="Q153" s="320">
        <f t="shared" ca="1" si="158"/>
        <v>0</v>
      </c>
      <c r="R153" s="320">
        <f t="shared" ca="1" si="158"/>
        <v>0</v>
      </c>
      <c r="S153" s="320">
        <f t="shared" ca="1" si="158"/>
        <v>0</v>
      </c>
      <c r="T153" s="320">
        <f t="shared" ca="1" si="158"/>
        <v>0</v>
      </c>
      <c r="U153" s="320">
        <f t="shared" ca="1" si="158"/>
        <v>0</v>
      </c>
      <c r="V153" s="320">
        <f t="shared" ca="1" si="158"/>
        <v>0</v>
      </c>
      <c r="W153" s="320">
        <f t="shared" ca="1" si="158"/>
        <v>0</v>
      </c>
      <c r="X153" s="320">
        <f t="shared" ca="1" si="158"/>
        <v>0</v>
      </c>
      <c r="Y153" s="320">
        <f t="shared" ca="1" si="158"/>
        <v>0</v>
      </c>
      <c r="Z153" s="320">
        <f t="shared" ca="1" si="158"/>
        <v>0</v>
      </c>
      <c r="AA153" s="320">
        <f t="shared" ca="1" si="158"/>
        <v>0</v>
      </c>
      <c r="AB153" s="320">
        <f t="shared" ca="1" si="158"/>
        <v>0</v>
      </c>
      <c r="AC153" s="320">
        <f t="shared" ca="1" si="158"/>
        <v>0</v>
      </c>
      <c r="AD153" s="320">
        <f t="shared" ca="1" si="158"/>
        <v>0</v>
      </c>
      <c r="AE153" s="320">
        <f t="shared" ca="1" si="158"/>
        <v>0</v>
      </c>
      <c r="AF153" s="320">
        <f t="shared" ca="1" si="158"/>
        <v>0</v>
      </c>
      <c r="AG153" s="320">
        <f t="shared" ca="1" si="158"/>
        <v>0</v>
      </c>
      <c r="AH153" s="320">
        <f t="shared" ca="1" si="158"/>
        <v>0</v>
      </c>
      <c r="AI153" s="320">
        <f t="shared" ca="1" si="158"/>
        <v>0</v>
      </c>
      <c r="AJ153" s="320">
        <f t="shared" ref="AJ153:BL153" ca="1" si="159">AJ103*AJ128*AJ$173*LOOKUP($H78,$I$13:$I$16,OFFSET($B$263:$B$266,0,MATCH(YEAR(AJ$151),$C$262:$R$262)))/IF($I78=1,1.22,IF($I78=2,1.1,1))</f>
        <v>0</v>
      </c>
      <c r="AK153" s="320">
        <f t="shared" ca="1" si="159"/>
        <v>0</v>
      </c>
      <c r="AL153" s="320">
        <f t="shared" ca="1" si="159"/>
        <v>0</v>
      </c>
      <c r="AM153" s="320">
        <f t="shared" ca="1" si="159"/>
        <v>0</v>
      </c>
      <c r="AN153" s="320">
        <f t="shared" ca="1" si="159"/>
        <v>0</v>
      </c>
      <c r="AO153" s="320">
        <f t="shared" ca="1" si="159"/>
        <v>0</v>
      </c>
      <c r="AP153" s="320">
        <f t="shared" ca="1" si="159"/>
        <v>0</v>
      </c>
      <c r="AQ153" s="320">
        <f t="shared" ca="1" si="159"/>
        <v>0</v>
      </c>
      <c r="AR153" s="320">
        <f t="shared" ca="1" si="159"/>
        <v>0</v>
      </c>
      <c r="AS153" s="320">
        <f t="shared" ca="1" si="159"/>
        <v>0</v>
      </c>
      <c r="AT153" s="320">
        <f t="shared" ca="1" si="159"/>
        <v>0</v>
      </c>
      <c r="AU153" s="320">
        <f t="shared" ca="1" si="159"/>
        <v>0</v>
      </c>
      <c r="AV153" s="320">
        <f t="shared" ca="1" si="159"/>
        <v>0</v>
      </c>
      <c r="AW153" s="320">
        <f t="shared" ca="1" si="159"/>
        <v>0</v>
      </c>
      <c r="AX153" s="320">
        <f t="shared" ca="1" si="159"/>
        <v>0</v>
      </c>
      <c r="AY153" s="320">
        <f t="shared" ca="1" si="159"/>
        <v>0</v>
      </c>
      <c r="AZ153" s="320">
        <f t="shared" ca="1" si="159"/>
        <v>0</v>
      </c>
      <c r="BA153" s="320">
        <f t="shared" ca="1" si="159"/>
        <v>0</v>
      </c>
      <c r="BB153" s="320">
        <f t="shared" ca="1" si="159"/>
        <v>0</v>
      </c>
      <c r="BC153" s="320">
        <f t="shared" ca="1" si="159"/>
        <v>0</v>
      </c>
      <c r="BD153" s="320">
        <f t="shared" ca="1" si="159"/>
        <v>0</v>
      </c>
      <c r="BE153" s="320">
        <f t="shared" ca="1" si="159"/>
        <v>0</v>
      </c>
      <c r="BF153" s="320">
        <f t="shared" ca="1" si="159"/>
        <v>0</v>
      </c>
      <c r="BG153" s="320">
        <f t="shared" ca="1" si="159"/>
        <v>0</v>
      </c>
      <c r="BH153" s="320">
        <f t="shared" ca="1" si="159"/>
        <v>0</v>
      </c>
      <c r="BI153" s="320">
        <f t="shared" ca="1" si="159"/>
        <v>0</v>
      </c>
      <c r="BJ153" s="320">
        <f t="shared" ca="1" si="159"/>
        <v>0</v>
      </c>
      <c r="BK153" s="320">
        <f t="shared" ca="1" si="159"/>
        <v>0</v>
      </c>
      <c r="BL153" s="320">
        <f t="shared" ca="1" si="159"/>
        <v>0</v>
      </c>
    </row>
    <row r="154" spans="2:64">
      <c r="B154" s="74" t="str">
        <f t="shared" si="156"/>
        <v>Продукт 3</v>
      </c>
      <c r="C154" s="75" t="str">
        <f t="shared" si="157"/>
        <v>RUB</v>
      </c>
      <c r="D154" s="320">
        <f t="shared" ref="D154:AI154" ca="1" si="160">D104*D129*D$173*LOOKUP($H79,$I$13:$I$16,OFFSET($B$263:$B$266,0,MATCH(YEAR(D$151),$C$262:$R$262)))/IF($I79=1,1.22,IF($I79=2,1.1,1))</f>
        <v>0</v>
      </c>
      <c r="E154" s="320">
        <f t="shared" ca="1" si="160"/>
        <v>0</v>
      </c>
      <c r="F154" s="320">
        <f t="shared" ca="1" si="160"/>
        <v>0</v>
      </c>
      <c r="G154" s="320">
        <f t="shared" ca="1" si="160"/>
        <v>0</v>
      </c>
      <c r="H154" s="320">
        <f t="shared" ca="1" si="160"/>
        <v>0</v>
      </c>
      <c r="I154" s="320">
        <f t="shared" ca="1" si="160"/>
        <v>0</v>
      </c>
      <c r="J154" s="320">
        <f t="shared" ca="1" si="160"/>
        <v>0</v>
      </c>
      <c r="K154" s="320">
        <f t="shared" ca="1" si="160"/>
        <v>0</v>
      </c>
      <c r="L154" s="320">
        <f t="shared" ca="1" si="160"/>
        <v>0</v>
      </c>
      <c r="M154" s="320">
        <f t="shared" ca="1" si="160"/>
        <v>0</v>
      </c>
      <c r="N154" s="320">
        <f t="shared" ca="1" si="160"/>
        <v>0</v>
      </c>
      <c r="O154" s="320">
        <f t="shared" ca="1" si="160"/>
        <v>0</v>
      </c>
      <c r="P154" s="320">
        <f t="shared" ca="1" si="160"/>
        <v>0</v>
      </c>
      <c r="Q154" s="320">
        <f t="shared" ca="1" si="160"/>
        <v>0</v>
      </c>
      <c r="R154" s="320">
        <f t="shared" ca="1" si="160"/>
        <v>0</v>
      </c>
      <c r="S154" s="320">
        <f t="shared" ca="1" si="160"/>
        <v>0</v>
      </c>
      <c r="T154" s="320">
        <f t="shared" ca="1" si="160"/>
        <v>0</v>
      </c>
      <c r="U154" s="320">
        <f t="shared" ca="1" si="160"/>
        <v>0</v>
      </c>
      <c r="V154" s="320">
        <f t="shared" ca="1" si="160"/>
        <v>0</v>
      </c>
      <c r="W154" s="320">
        <f t="shared" ca="1" si="160"/>
        <v>0</v>
      </c>
      <c r="X154" s="320">
        <f t="shared" ca="1" si="160"/>
        <v>0</v>
      </c>
      <c r="Y154" s="320">
        <f t="shared" ca="1" si="160"/>
        <v>0</v>
      </c>
      <c r="Z154" s="320">
        <f t="shared" ca="1" si="160"/>
        <v>0</v>
      </c>
      <c r="AA154" s="320">
        <f t="shared" ca="1" si="160"/>
        <v>0</v>
      </c>
      <c r="AB154" s="320">
        <f t="shared" ca="1" si="160"/>
        <v>0</v>
      </c>
      <c r="AC154" s="320">
        <f t="shared" ca="1" si="160"/>
        <v>0</v>
      </c>
      <c r="AD154" s="320">
        <f t="shared" ca="1" si="160"/>
        <v>0</v>
      </c>
      <c r="AE154" s="320">
        <f t="shared" ca="1" si="160"/>
        <v>0</v>
      </c>
      <c r="AF154" s="320">
        <f t="shared" ca="1" si="160"/>
        <v>0</v>
      </c>
      <c r="AG154" s="320">
        <f t="shared" ca="1" si="160"/>
        <v>0</v>
      </c>
      <c r="AH154" s="320">
        <f t="shared" ca="1" si="160"/>
        <v>0</v>
      </c>
      <c r="AI154" s="320">
        <f t="shared" ca="1" si="160"/>
        <v>0</v>
      </c>
      <c r="AJ154" s="320">
        <f t="shared" ref="AJ154:BL154" ca="1" si="161">AJ104*AJ129*AJ$173*LOOKUP($H79,$I$13:$I$16,OFFSET($B$263:$B$266,0,MATCH(YEAR(AJ$151),$C$262:$R$262)))/IF($I79=1,1.22,IF($I79=2,1.1,1))</f>
        <v>0</v>
      </c>
      <c r="AK154" s="320">
        <f t="shared" ca="1" si="161"/>
        <v>0</v>
      </c>
      <c r="AL154" s="320">
        <f t="shared" ca="1" si="161"/>
        <v>0</v>
      </c>
      <c r="AM154" s="320">
        <f t="shared" ca="1" si="161"/>
        <v>0</v>
      </c>
      <c r="AN154" s="320">
        <f t="shared" ca="1" si="161"/>
        <v>0</v>
      </c>
      <c r="AO154" s="320">
        <f t="shared" ca="1" si="161"/>
        <v>0</v>
      </c>
      <c r="AP154" s="320">
        <f t="shared" ca="1" si="161"/>
        <v>0</v>
      </c>
      <c r="AQ154" s="320">
        <f t="shared" ca="1" si="161"/>
        <v>0</v>
      </c>
      <c r="AR154" s="320">
        <f t="shared" ca="1" si="161"/>
        <v>0</v>
      </c>
      <c r="AS154" s="320">
        <f t="shared" ca="1" si="161"/>
        <v>0</v>
      </c>
      <c r="AT154" s="320">
        <f t="shared" ca="1" si="161"/>
        <v>0</v>
      </c>
      <c r="AU154" s="320">
        <f t="shared" ca="1" si="161"/>
        <v>0</v>
      </c>
      <c r="AV154" s="320">
        <f t="shared" ca="1" si="161"/>
        <v>0</v>
      </c>
      <c r="AW154" s="320">
        <f t="shared" ca="1" si="161"/>
        <v>0</v>
      </c>
      <c r="AX154" s="320">
        <f t="shared" ca="1" si="161"/>
        <v>0</v>
      </c>
      <c r="AY154" s="320">
        <f t="shared" ca="1" si="161"/>
        <v>0</v>
      </c>
      <c r="AZ154" s="320">
        <f t="shared" ca="1" si="161"/>
        <v>0</v>
      </c>
      <c r="BA154" s="320">
        <f t="shared" ca="1" si="161"/>
        <v>0</v>
      </c>
      <c r="BB154" s="320">
        <f t="shared" ca="1" si="161"/>
        <v>0</v>
      </c>
      <c r="BC154" s="320">
        <f t="shared" ca="1" si="161"/>
        <v>0</v>
      </c>
      <c r="BD154" s="320">
        <f t="shared" ca="1" si="161"/>
        <v>0</v>
      </c>
      <c r="BE154" s="320">
        <f t="shared" ca="1" si="161"/>
        <v>0</v>
      </c>
      <c r="BF154" s="320">
        <f t="shared" ca="1" si="161"/>
        <v>0</v>
      </c>
      <c r="BG154" s="320">
        <f t="shared" ca="1" si="161"/>
        <v>0</v>
      </c>
      <c r="BH154" s="320">
        <f t="shared" ca="1" si="161"/>
        <v>0</v>
      </c>
      <c r="BI154" s="320">
        <f t="shared" ca="1" si="161"/>
        <v>0</v>
      </c>
      <c r="BJ154" s="320">
        <f t="shared" ca="1" si="161"/>
        <v>0</v>
      </c>
      <c r="BK154" s="320">
        <f t="shared" ca="1" si="161"/>
        <v>0</v>
      </c>
      <c r="BL154" s="320">
        <f t="shared" ca="1" si="161"/>
        <v>0</v>
      </c>
    </row>
    <row r="155" spans="2:64">
      <c r="B155" s="74" t="str">
        <f t="shared" si="156"/>
        <v>Продукт 4</v>
      </c>
      <c r="C155" s="75" t="str">
        <f t="shared" si="157"/>
        <v>RUB</v>
      </c>
      <c r="D155" s="320">
        <f t="shared" ref="D155:AI155" ca="1" si="162">D105*D130*D$173*LOOKUP($H80,$I$13:$I$16,OFFSET($B$263:$B$266,0,MATCH(YEAR(D$151),$C$262:$R$262)))/IF($I80=1,1.22,IF($I80=2,1.1,1))</f>
        <v>0</v>
      </c>
      <c r="E155" s="320">
        <f t="shared" ca="1" si="162"/>
        <v>0</v>
      </c>
      <c r="F155" s="320">
        <f t="shared" ca="1" si="162"/>
        <v>0</v>
      </c>
      <c r="G155" s="320">
        <f t="shared" ca="1" si="162"/>
        <v>0</v>
      </c>
      <c r="H155" s="320">
        <f t="shared" ca="1" si="162"/>
        <v>0</v>
      </c>
      <c r="I155" s="320">
        <f t="shared" ca="1" si="162"/>
        <v>0</v>
      </c>
      <c r="J155" s="320">
        <f t="shared" ca="1" si="162"/>
        <v>0</v>
      </c>
      <c r="K155" s="320">
        <f t="shared" ca="1" si="162"/>
        <v>0</v>
      </c>
      <c r="L155" s="320">
        <f t="shared" ca="1" si="162"/>
        <v>0</v>
      </c>
      <c r="M155" s="320">
        <f t="shared" ca="1" si="162"/>
        <v>0</v>
      </c>
      <c r="N155" s="320">
        <f t="shared" ca="1" si="162"/>
        <v>0</v>
      </c>
      <c r="O155" s="320">
        <f t="shared" ca="1" si="162"/>
        <v>0</v>
      </c>
      <c r="P155" s="320">
        <f t="shared" ca="1" si="162"/>
        <v>0</v>
      </c>
      <c r="Q155" s="320">
        <f t="shared" ca="1" si="162"/>
        <v>0</v>
      </c>
      <c r="R155" s="320">
        <f t="shared" ca="1" si="162"/>
        <v>0</v>
      </c>
      <c r="S155" s="320">
        <f t="shared" ca="1" si="162"/>
        <v>0</v>
      </c>
      <c r="T155" s="320">
        <f t="shared" ca="1" si="162"/>
        <v>0</v>
      </c>
      <c r="U155" s="320">
        <f t="shared" ca="1" si="162"/>
        <v>0</v>
      </c>
      <c r="V155" s="320">
        <f t="shared" ca="1" si="162"/>
        <v>0</v>
      </c>
      <c r="W155" s="320">
        <f t="shared" ca="1" si="162"/>
        <v>0</v>
      </c>
      <c r="X155" s="320">
        <f t="shared" ca="1" si="162"/>
        <v>0</v>
      </c>
      <c r="Y155" s="320">
        <f t="shared" ca="1" si="162"/>
        <v>0</v>
      </c>
      <c r="Z155" s="320">
        <f t="shared" ca="1" si="162"/>
        <v>0</v>
      </c>
      <c r="AA155" s="320">
        <f t="shared" ca="1" si="162"/>
        <v>0</v>
      </c>
      <c r="AB155" s="320">
        <f t="shared" ca="1" si="162"/>
        <v>0</v>
      </c>
      <c r="AC155" s="320">
        <f t="shared" ca="1" si="162"/>
        <v>0</v>
      </c>
      <c r="AD155" s="320">
        <f t="shared" ca="1" si="162"/>
        <v>0</v>
      </c>
      <c r="AE155" s="320">
        <f t="shared" ca="1" si="162"/>
        <v>0</v>
      </c>
      <c r="AF155" s="320">
        <f t="shared" ca="1" si="162"/>
        <v>0</v>
      </c>
      <c r="AG155" s="320">
        <f t="shared" ca="1" si="162"/>
        <v>0</v>
      </c>
      <c r="AH155" s="320">
        <f t="shared" ca="1" si="162"/>
        <v>0</v>
      </c>
      <c r="AI155" s="320">
        <f t="shared" ca="1" si="162"/>
        <v>0</v>
      </c>
      <c r="AJ155" s="320">
        <f t="shared" ref="AJ155:BL155" ca="1" si="163">AJ105*AJ130*AJ$173*LOOKUP($H80,$I$13:$I$16,OFFSET($B$263:$B$266,0,MATCH(YEAR(AJ$151),$C$262:$R$262)))/IF($I80=1,1.22,IF($I80=2,1.1,1))</f>
        <v>0</v>
      </c>
      <c r="AK155" s="320">
        <f t="shared" ca="1" si="163"/>
        <v>0</v>
      </c>
      <c r="AL155" s="320">
        <f t="shared" ca="1" si="163"/>
        <v>0</v>
      </c>
      <c r="AM155" s="320">
        <f t="shared" ca="1" si="163"/>
        <v>0</v>
      </c>
      <c r="AN155" s="320">
        <f t="shared" ca="1" si="163"/>
        <v>0</v>
      </c>
      <c r="AO155" s="320">
        <f t="shared" ca="1" si="163"/>
        <v>0</v>
      </c>
      <c r="AP155" s="320">
        <f t="shared" ca="1" si="163"/>
        <v>0</v>
      </c>
      <c r="AQ155" s="320">
        <f t="shared" ca="1" si="163"/>
        <v>0</v>
      </c>
      <c r="AR155" s="320">
        <f t="shared" ca="1" si="163"/>
        <v>0</v>
      </c>
      <c r="AS155" s="320">
        <f t="shared" ca="1" si="163"/>
        <v>0</v>
      </c>
      <c r="AT155" s="320">
        <f t="shared" ca="1" si="163"/>
        <v>0</v>
      </c>
      <c r="AU155" s="320">
        <f t="shared" ca="1" si="163"/>
        <v>0</v>
      </c>
      <c r="AV155" s="320">
        <f t="shared" ca="1" si="163"/>
        <v>0</v>
      </c>
      <c r="AW155" s="320">
        <f t="shared" ca="1" si="163"/>
        <v>0</v>
      </c>
      <c r="AX155" s="320">
        <f t="shared" ca="1" si="163"/>
        <v>0</v>
      </c>
      <c r="AY155" s="320">
        <f t="shared" ca="1" si="163"/>
        <v>0</v>
      </c>
      <c r="AZ155" s="320">
        <f t="shared" ca="1" si="163"/>
        <v>0</v>
      </c>
      <c r="BA155" s="320">
        <f t="shared" ca="1" si="163"/>
        <v>0</v>
      </c>
      <c r="BB155" s="320">
        <f t="shared" ca="1" si="163"/>
        <v>0</v>
      </c>
      <c r="BC155" s="320">
        <f t="shared" ca="1" si="163"/>
        <v>0</v>
      </c>
      <c r="BD155" s="320">
        <f t="shared" ca="1" si="163"/>
        <v>0</v>
      </c>
      <c r="BE155" s="320">
        <f t="shared" ca="1" si="163"/>
        <v>0</v>
      </c>
      <c r="BF155" s="320">
        <f t="shared" ca="1" si="163"/>
        <v>0</v>
      </c>
      <c r="BG155" s="320">
        <f t="shared" ca="1" si="163"/>
        <v>0</v>
      </c>
      <c r="BH155" s="320">
        <f t="shared" ca="1" si="163"/>
        <v>0</v>
      </c>
      <c r="BI155" s="320">
        <f t="shared" ca="1" si="163"/>
        <v>0</v>
      </c>
      <c r="BJ155" s="320">
        <f t="shared" ca="1" si="163"/>
        <v>0</v>
      </c>
      <c r="BK155" s="320">
        <f t="shared" ca="1" si="163"/>
        <v>0</v>
      </c>
      <c r="BL155" s="320">
        <f t="shared" ca="1" si="163"/>
        <v>0</v>
      </c>
    </row>
    <row r="156" spans="2:64">
      <c r="B156" s="74" t="str">
        <f t="shared" si="156"/>
        <v>Продукт 5</v>
      </c>
      <c r="C156" s="75" t="str">
        <f t="shared" si="157"/>
        <v>RUB</v>
      </c>
      <c r="D156" s="320">
        <f t="shared" ref="D156:AI156" ca="1" si="164">D106*D131*D$173*LOOKUP($H81,$I$13:$I$16,OFFSET($B$263:$B$266,0,MATCH(YEAR(D$151),$C$262:$R$262)))/IF($I81=1,1.22,IF($I81=2,1.1,1))</f>
        <v>0</v>
      </c>
      <c r="E156" s="320">
        <f t="shared" ca="1" si="164"/>
        <v>0</v>
      </c>
      <c r="F156" s="320">
        <f t="shared" ca="1" si="164"/>
        <v>0</v>
      </c>
      <c r="G156" s="320">
        <f t="shared" ca="1" si="164"/>
        <v>0</v>
      </c>
      <c r="H156" s="320">
        <f t="shared" ca="1" si="164"/>
        <v>0</v>
      </c>
      <c r="I156" s="320">
        <f t="shared" ca="1" si="164"/>
        <v>0</v>
      </c>
      <c r="J156" s="320">
        <f t="shared" ca="1" si="164"/>
        <v>0</v>
      </c>
      <c r="K156" s="320">
        <f t="shared" ca="1" si="164"/>
        <v>0</v>
      </c>
      <c r="L156" s="320">
        <f t="shared" ca="1" si="164"/>
        <v>0</v>
      </c>
      <c r="M156" s="320">
        <f t="shared" ca="1" si="164"/>
        <v>0</v>
      </c>
      <c r="N156" s="320">
        <f t="shared" ca="1" si="164"/>
        <v>0</v>
      </c>
      <c r="O156" s="320">
        <f t="shared" ca="1" si="164"/>
        <v>0</v>
      </c>
      <c r="P156" s="320">
        <f t="shared" ca="1" si="164"/>
        <v>0</v>
      </c>
      <c r="Q156" s="320">
        <f t="shared" ca="1" si="164"/>
        <v>0</v>
      </c>
      <c r="R156" s="320">
        <f t="shared" ca="1" si="164"/>
        <v>0</v>
      </c>
      <c r="S156" s="320">
        <f t="shared" ca="1" si="164"/>
        <v>0</v>
      </c>
      <c r="T156" s="320">
        <f t="shared" ca="1" si="164"/>
        <v>0</v>
      </c>
      <c r="U156" s="320">
        <f t="shared" ca="1" si="164"/>
        <v>0</v>
      </c>
      <c r="V156" s="320">
        <f t="shared" ca="1" si="164"/>
        <v>0</v>
      </c>
      <c r="W156" s="320">
        <f t="shared" ca="1" si="164"/>
        <v>0</v>
      </c>
      <c r="X156" s="320">
        <f t="shared" ca="1" si="164"/>
        <v>0</v>
      </c>
      <c r="Y156" s="320">
        <f t="shared" ca="1" si="164"/>
        <v>0</v>
      </c>
      <c r="Z156" s="320">
        <f t="shared" ca="1" si="164"/>
        <v>0</v>
      </c>
      <c r="AA156" s="320">
        <f t="shared" ca="1" si="164"/>
        <v>0</v>
      </c>
      <c r="AB156" s="320">
        <f t="shared" ca="1" si="164"/>
        <v>0</v>
      </c>
      <c r="AC156" s="320">
        <f t="shared" ca="1" si="164"/>
        <v>0</v>
      </c>
      <c r="AD156" s="320">
        <f t="shared" ca="1" si="164"/>
        <v>0</v>
      </c>
      <c r="AE156" s="320">
        <f t="shared" ca="1" si="164"/>
        <v>0</v>
      </c>
      <c r="AF156" s="320">
        <f t="shared" ca="1" si="164"/>
        <v>0</v>
      </c>
      <c r="AG156" s="320">
        <f t="shared" ca="1" si="164"/>
        <v>0</v>
      </c>
      <c r="AH156" s="320">
        <f t="shared" ca="1" si="164"/>
        <v>0</v>
      </c>
      <c r="AI156" s="320">
        <f t="shared" ca="1" si="164"/>
        <v>0</v>
      </c>
      <c r="AJ156" s="320">
        <f t="shared" ref="AJ156:BL156" ca="1" si="165">AJ106*AJ131*AJ$173*LOOKUP($H81,$I$13:$I$16,OFFSET($B$263:$B$266,0,MATCH(YEAR(AJ$151),$C$262:$R$262)))/IF($I81=1,1.22,IF($I81=2,1.1,1))</f>
        <v>0</v>
      </c>
      <c r="AK156" s="320">
        <f t="shared" ca="1" si="165"/>
        <v>0</v>
      </c>
      <c r="AL156" s="320">
        <f t="shared" ca="1" si="165"/>
        <v>0</v>
      </c>
      <c r="AM156" s="320">
        <f t="shared" ca="1" si="165"/>
        <v>0</v>
      </c>
      <c r="AN156" s="320">
        <f t="shared" ca="1" si="165"/>
        <v>0</v>
      </c>
      <c r="AO156" s="320">
        <f t="shared" ca="1" si="165"/>
        <v>0</v>
      </c>
      <c r="AP156" s="320">
        <f t="shared" ca="1" si="165"/>
        <v>0</v>
      </c>
      <c r="AQ156" s="320">
        <f t="shared" ca="1" si="165"/>
        <v>0</v>
      </c>
      <c r="AR156" s="320">
        <f t="shared" ca="1" si="165"/>
        <v>0</v>
      </c>
      <c r="AS156" s="320">
        <f t="shared" ca="1" si="165"/>
        <v>0</v>
      </c>
      <c r="AT156" s="320">
        <f t="shared" ca="1" si="165"/>
        <v>0</v>
      </c>
      <c r="AU156" s="320">
        <f t="shared" ca="1" si="165"/>
        <v>0</v>
      </c>
      <c r="AV156" s="320">
        <f t="shared" ca="1" si="165"/>
        <v>0</v>
      </c>
      <c r="AW156" s="320">
        <f t="shared" ca="1" si="165"/>
        <v>0</v>
      </c>
      <c r="AX156" s="320">
        <f t="shared" ca="1" si="165"/>
        <v>0</v>
      </c>
      <c r="AY156" s="320">
        <f t="shared" ca="1" si="165"/>
        <v>0</v>
      </c>
      <c r="AZ156" s="320">
        <f t="shared" ca="1" si="165"/>
        <v>0</v>
      </c>
      <c r="BA156" s="320">
        <f t="shared" ca="1" si="165"/>
        <v>0</v>
      </c>
      <c r="BB156" s="320">
        <f t="shared" ca="1" si="165"/>
        <v>0</v>
      </c>
      <c r="BC156" s="320">
        <f t="shared" ca="1" si="165"/>
        <v>0</v>
      </c>
      <c r="BD156" s="320">
        <f t="shared" ca="1" si="165"/>
        <v>0</v>
      </c>
      <c r="BE156" s="320">
        <f t="shared" ca="1" si="165"/>
        <v>0</v>
      </c>
      <c r="BF156" s="320">
        <f t="shared" ca="1" si="165"/>
        <v>0</v>
      </c>
      <c r="BG156" s="320">
        <f t="shared" ca="1" si="165"/>
        <v>0</v>
      </c>
      <c r="BH156" s="320">
        <f t="shared" ca="1" si="165"/>
        <v>0</v>
      </c>
      <c r="BI156" s="320">
        <f t="shared" ca="1" si="165"/>
        <v>0</v>
      </c>
      <c r="BJ156" s="320">
        <f t="shared" ca="1" si="165"/>
        <v>0</v>
      </c>
      <c r="BK156" s="320">
        <f t="shared" ca="1" si="165"/>
        <v>0</v>
      </c>
      <c r="BL156" s="320">
        <f t="shared" ca="1" si="165"/>
        <v>0</v>
      </c>
    </row>
    <row r="157" spans="2:64">
      <c r="B157" s="74" t="str">
        <f t="shared" si="156"/>
        <v>Продукт 6</v>
      </c>
      <c r="C157" s="75" t="str">
        <f t="shared" si="157"/>
        <v>RUB</v>
      </c>
      <c r="D157" s="320">
        <f t="shared" ref="D157:AI157" ca="1" si="166">D107*D132*D$173*LOOKUP($H82,$I$13:$I$16,OFFSET($B$263:$B$266,0,MATCH(YEAR(D$151),$C$262:$R$262)))/IF($I82=1,1.22,IF($I82=2,1.1,1))</f>
        <v>0</v>
      </c>
      <c r="E157" s="320">
        <f t="shared" ca="1" si="166"/>
        <v>0</v>
      </c>
      <c r="F157" s="320">
        <f t="shared" ca="1" si="166"/>
        <v>0</v>
      </c>
      <c r="G157" s="320">
        <f t="shared" ca="1" si="166"/>
        <v>0</v>
      </c>
      <c r="H157" s="320">
        <f t="shared" ca="1" si="166"/>
        <v>0</v>
      </c>
      <c r="I157" s="320">
        <f t="shared" ca="1" si="166"/>
        <v>0</v>
      </c>
      <c r="J157" s="320">
        <f t="shared" ca="1" si="166"/>
        <v>0</v>
      </c>
      <c r="K157" s="320">
        <f t="shared" ca="1" si="166"/>
        <v>0</v>
      </c>
      <c r="L157" s="320">
        <f t="shared" ca="1" si="166"/>
        <v>0</v>
      </c>
      <c r="M157" s="320">
        <f t="shared" ca="1" si="166"/>
        <v>0</v>
      </c>
      <c r="N157" s="320">
        <f t="shared" ca="1" si="166"/>
        <v>0</v>
      </c>
      <c r="O157" s="320">
        <f t="shared" ca="1" si="166"/>
        <v>0</v>
      </c>
      <c r="P157" s="320">
        <f t="shared" ca="1" si="166"/>
        <v>0</v>
      </c>
      <c r="Q157" s="320">
        <f t="shared" ca="1" si="166"/>
        <v>0</v>
      </c>
      <c r="R157" s="320">
        <f t="shared" ca="1" si="166"/>
        <v>0</v>
      </c>
      <c r="S157" s="320">
        <f t="shared" ca="1" si="166"/>
        <v>0</v>
      </c>
      <c r="T157" s="320">
        <f t="shared" ca="1" si="166"/>
        <v>0</v>
      </c>
      <c r="U157" s="320">
        <f t="shared" ca="1" si="166"/>
        <v>0</v>
      </c>
      <c r="V157" s="320">
        <f t="shared" ca="1" si="166"/>
        <v>0</v>
      </c>
      <c r="W157" s="320">
        <f t="shared" ca="1" si="166"/>
        <v>0</v>
      </c>
      <c r="X157" s="320">
        <f t="shared" ca="1" si="166"/>
        <v>0</v>
      </c>
      <c r="Y157" s="320">
        <f t="shared" ca="1" si="166"/>
        <v>0</v>
      </c>
      <c r="Z157" s="320">
        <f t="shared" ca="1" si="166"/>
        <v>0</v>
      </c>
      <c r="AA157" s="320">
        <f t="shared" ca="1" si="166"/>
        <v>0</v>
      </c>
      <c r="AB157" s="320">
        <f t="shared" ca="1" si="166"/>
        <v>0</v>
      </c>
      <c r="AC157" s="320">
        <f t="shared" ca="1" si="166"/>
        <v>0</v>
      </c>
      <c r="AD157" s="320">
        <f t="shared" ca="1" si="166"/>
        <v>0</v>
      </c>
      <c r="AE157" s="320">
        <f t="shared" ca="1" si="166"/>
        <v>0</v>
      </c>
      <c r="AF157" s="320">
        <f t="shared" ca="1" si="166"/>
        <v>0</v>
      </c>
      <c r="AG157" s="320">
        <f t="shared" ca="1" si="166"/>
        <v>0</v>
      </c>
      <c r="AH157" s="320">
        <f t="shared" ca="1" si="166"/>
        <v>0</v>
      </c>
      <c r="AI157" s="320">
        <f t="shared" ca="1" si="166"/>
        <v>0</v>
      </c>
      <c r="AJ157" s="320">
        <f t="shared" ref="AJ157:BL157" ca="1" si="167">AJ107*AJ132*AJ$173*LOOKUP($H82,$I$13:$I$16,OFFSET($B$263:$B$266,0,MATCH(YEAR(AJ$151),$C$262:$R$262)))/IF($I82=1,1.22,IF($I82=2,1.1,1))</f>
        <v>0</v>
      </c>
      <c r="AK157" s="320">
        <f t="shared" ca="1" si="167"/>
        <v>0</v>
      </c>
      <c r="AL157" s="320">
        <f t="shared" ca="1" si="167"/>
        <v>0</v>
      </c>
      <c r="AM157" s="320">
        <f t="shared" ca="1" si="167"/>
        <v>0</v>
      </c>
      <c r="AN157" s="320">
        <f t="shared" ca="1" si="167"/>
        <v>0</v>
      </c>
      <c r="AO157" s="320">
        <f t="shared" ca="1" si="167"/>
        <v>0</v>
      </c>
      <c r="AP157" s="320">
        <f t="shared" ca="1" si="167"/>
        <v>0</v>
      </c>
      <c r="AQ157" s="320">
        <f t="shared" ca="1" si="167"/>
        <v>0</v>
      </c>
      <c r="AR157" s="320">
        <f t="shared" ca="1" si="167"/>
        <v>0</v>
      </c>
      <c r="AS157" s="320">
        <f t="shared" ca="1" si="167"/>
        <v>0</v>
      </c>
      <c r="AT157" s="320">
        <f t="shared" ca="1" si="167"/>
        <v>0</v>
      </c>
      <c r="AU157" s="320">
        <f t="shared" ca="1" si="167"/>
        <v>0</v>
      </c>
      <c r="AV157" s="320">
        <f t="shared" ca="1" si="167"/>
        <v>0</v>
      </c>
      <c r="AW157" s="320">
        <f t="shared" ca="1" si="167"/>
        <v>0</v>
      </c>
      <c r="AX157" s="320">
        <f t="shared" ca="1" si="167"/>
        <v>0</v>
      </c>
      <c r="AY157" s="320">
        <f t="shared" ca="1" si="167"/>
        <v>0</v>
      </c>
      <c r="AZ157" s="320">
        <f t="shared" ca="1" si="167"/>
        <v>0</v>
      </c>
      <c r="BA157" s="320">
        <f t="shared" ca="1" si="167"/>
        <v>0</v>
      </c>
      <c r="BB157" s="320">
        <f t="shared" ca="1" si="167"/>
        <v>0</v>
      </c>
      <c r="BC157" s="320">
        <f t="shared" ca="1" si="167"/>
        <v>0</v>
      </c>
      <c r="BD157" s="320">
        <f t="shared" ca="1" si="167"/>
        <v>0</v>
      </c>
      <c r="BE157" s="320">
        <f t="shared" ca="1" si="167"/>
        <v>0</v>
      </c>
      <c r="BF157" s="320">
        <f t="shared" ca="1" si="167"/>
        <v>0</v>
      </c>
      <c r="BG157" s="320">
        <f t="shared" ca="1" si="167"/>
        <v>0</v>
      </c>
      <c r="BH157" s="320">
        <f t="shared" ca="1" si="167"/>
        <v>0</v>
      </c>
      <c r="BI157" s="320">
        <f t="shared" ca="1" si="167"/>
        <v>0</v>
      </c>
      <c r="BJ157" s="320">
        <f t="shared" ca="1" si="167"/>
        <v>0</v>
      </c>
      <c r="BK157" s="320">
        <f t="shared" ca="1" si="167"/>
        <v>0</v>
      </c>
      <c r="BL157" s="320">
        <f t="shared" ca="1" si="167"/>
        <v>0</v>
      </c>
    </row>
    <row r="158" spans="2:64">
      <c r="B158" s="74" t="str">
        <f t="shared" si="156"/>
        <v>Продукт 7</v>
      </c>
      <c r="C158" s="75" t="str">
        <f t="shared" si="157"/>
        <v>RUB</v>
      </c>
      <c r="D158" s="320">
        <f t="shared" ref="D158:AI158" ca="1" si="168">D108*D133*D$173*LOOKUP($H83,$I$13:$I$16,OFFSET($B$263:$B$266,0,MATCH(YEAR(D$151),$C$262:$R$262)))/IF($I83=1,1.22,IF($I83=2,1.1,1))</f>
        <v>0</v>
      </c>
      <c r="E158" s="320">
        <f t="shared" ca="1" si="168"/>
        <v>0</v>
      </c>
      <c r="F158" s="320">
        <f t="shared" ca="1" si="168"/>
        <v>0</v>
      </c>
      <c r="G158" s="320">
        <f t="shared" ca="1" si="168"/>
        <v>0</v>
      </c>
      <c r="H158" s="320">
        <f t="shared" ca="1" si="168"/>
        <v>0</v>
      </c>
      <c r="I158" s="320">
        <f t="shared" ca="1" si="168"/>
        <v>0</v>
      </c>
      <c r="J158" s="320">
        <f t="shared" ca="1" si="168"/>
        <v>0</v>
      </c>
      <c r="K158" s="320">
        <f t="shared" ca="1" si="168"/>
        <v>0</v>
      </c>
      <c r="L158" s="320">
        <f t="shared" ca="1" si="168"/>
        <v>0</v>
      </c>
      <c r="M158" s="320">
        <f t="shared" ca="1" si="168"/>
        <v>0</v>
      </c>
      <c r="N158" s="320">
        <f t="shared" ca="1" si="168"/>
        <v>0</v>
      </c>
      <c r="O158" s="320">
        <f t="shared" ca="1" si="168"/>
        <v>0</v>
      </c>
      <c r="P158" s="320">
        <f t="shared" ca="1" si="168"/>
        <v>0</v>
      </c>
      <c r="Q158" s="320">
        <f t="shared" ca="1" si="168"/>
        <v>0</v>
      </c>
      <c r="R158" s="320">
        <f t="shared" ca="1" si="168"/>
        <v>0</v>
      </c>
      <c r="S158" s="320">
        <f t="shared" ca="1" si="168"/>
        <v>0</v>
      </c>
      <c r="T158" s="320">
        <f t="shared" ca="1" si="168"/>
        <v>0</v>
      </c>
      <c r="U158" s="320">
        <f t="shared" ca="1" si="168"/>
        <v>0</v>
      </c>
      <c r="V158" s="320">
        <f t="shared" ca="1" si="168"/>
        <v>0</v>
      </c>
      <c r="W158" s="320">
        <f t="shared" ca="1" si="168"/>
        <v>0</v>
      </c>
      <c r="X158" s="320">
        <f t="shared" ca="1" si="168"/>
        <v>0</v>
      </c>
      <c r="Y158" s="320">
        <f t="shared" ca="1" si="168"/>
        <v>0</v>
      </c>
      <c r="Z158" s="320">
        <f t="shared" ca="1" si="168"/>
        <v>0</v>
      </c>
      <c r="AA158" s="320">
        <f t="shared" ca="1" si="168"/>
        <v>0</v>
      </c>
      <c r="AB158" s="320">
        <f t="shared" ca="1" si="168"/>
        <v>0</v>
      </c>
      <c r="AC158" s="320">
        <f t="shared" ca="1" si="168"/>
        <v>0</v>
      </c>
      <c r="AD158" s="320">
        <f t="shared" ca="1" si="168"/>
        <v>0</v>
      </c>
      <c r="AE158" s="320">
        <f t="shared" ca="1" si="168"/>
        <v>0</v>
      </c>
      <c r="AF158" s="320">
        <f t="shared" ca="1" si="168"/>
        <v>0</v>
      </c>
      <c r="AG158" s="320">
        <f t="shared" ca="1" si="168"/>
        <v>0</v>
      </c>
      <c r="AH158" s="320">
        <f t="shared" ca="1" si="168"/>
        <v>0</v>
      </c>
      <c r="AI158" s="320">
        <f t="shared" ca="1" si="168"/>
        <v>0</v>
      </c>
      <c r="AJ158" s="320">
        <f t="shared" ref="AJ158:BL158" ca="1" si="169">AJ108*AJ133*AJ$173*LOOKUP($H83,$I$13:$I$16,OFFSET($B$263:$B$266,0,MATCH(YEAR(AJ$151),$C$262:$R$262)))/IF($I83=1,1.22,IF($I83=2,1.1,1))</f>
        <v>0</v>
      </c>
      <c r="AK158" s="320">
        <f t="shared" ca="1" si="169"/>
        <v>0</v>
      </c>
      <c r="AL158" s="320">
        <f t="shared" ca="1" si="169"/>
        <v>0</v>
      </c>
      <c r="AM158" s="320">
        <f t="shared" ca="1" si="169"/>
        <v>0</v>
      </c>
      <c r="AN158" s="320">
        <f t="shared" ca="1" si="169"/>
        <v>0</v>
      </c>
      <c r="AO158" s="320">
        <f t="shared" ca="1" si="169"/>
        <v>0</v>
      </c>
      <c r="AP158" s="320">
        <f t="shared" ca="1" si="169"/>
        <v>0</v>
      </c>
      <c r="AQ158" s="320">
        <f t="shared" ca="1" si="169"/>
        <v>0</v>
      </c>
      <c r="AR158" s="320">
        <f t="shared" ca="1" si="169"/>
        <v>0</v>
      </c>
      <c r="AS158" s="320">
        <f t="shared" ca="1" si="169"/>
        <v>0</v>
      </c>
      <c r="AT158" s="320">
        <f t="shared" ca="1" si="169"/>
        <v>0</v>
      </c>
      <c r="AU158" s="320">
        <f t="shared" ca="1" si="169"/>
        <v>0</v>
      </c>
      <c r="AV158" s="320">
        <f t="shared" ca="1" si="169"/>
        <v>0</v>
      </c>
      <c r="AW158" s="320">
        <f t="shared" ca="1" si="169"/>
        <v>0</v>
      </c>
      <c r="AX158" s="320">
        <f t="shared" ca="1" si="169"/>
        <v>0</v>
      </c>
      <c r="AY158" s="320">
        <f t="shared" ca="1" si="169"/>
        <v>0</v>
      </c>
      <c r="AZ158" s="320">
        <f t="shared" ca="1" si="169"/>
        <v>0</v>
      </c>
      <c r="BA158" s="320">
        <f t="shared" ca="1" si="169"/>
        <v>0</v>
      </c>
      <c r="BB158" s="320">
        <f t="shared" ca="1" si="169"/>
        <v>0</v>
      </c>
      <c r="BC158" s="320">
        <f t="shared" ca="1" si="169"/>
        <v>0</v>
      </c>
      <c r="BD158" s="320">
        <f t="shared" ca="1" si="169"/>
        <v>0</v>
      </c>
      <c r="BE158" s="320">
        <f t="shared" ca="1" si="169"/>
        <v>0</v>
      </c>
      <c r="BF158" s="320">
        <f t="shared" ca="1" si="169"/>
        <v>0</v>
      </c>
      <c r="BG158" s="320">
        <f t="shared" ca="1" si="169"/>
        <v>0</v>
      </c>
      <c r="BH158" s="320">
        <f t="shared" ca="1" si="169"/>
        <v>0</v>
      </c>
      <c r="BI158" s="320">
        <f t="shared" ca="1" si="169"/>
        <v>0</v>
      </c>
      <c r="BJ158" s="320">
        <f t="shared" ca="1" si="169"/>
        <v>0</v>
      </c>
      <c r="BK158" s="320">
        <f t="shared" ca="1" si="169"/>
        <v>0</v>
      </c>
      <c r="BL158" s="320">
        <f t="shared" ca="1" si="169"/>
        <v>0</v>
      </c>
    </row>
    <row r="159" spans="2:64">
      <c r="B159" s="74" t="str">
        <f t="shared" si="156"/>
        <v>Продукт 8</v>
      </c>
      <c r="C159" s="75" t="str">
        <f t="shared" si="157"/>
        <v>RUB</v>
      </c>
      <c r="D159" s="320">
        <f t="shared" ref="D159:AI159" ca="1" si="170">D109*D134*D$173*LOOKUP($H84,$I$13:$I$16,OFFSET($B$263:$B$266,0,MATCH(YEAR(D$151),$C$262:$R$262)))/IF($I84=1,1.22,IF($I84=2,1.1,1))</f>
        <v>0</v>
      </c>
      <c r="E159" s="320">
        <f t="shared" ca="1" si="170"/>
        <v>0</v>
      </c>
      <c r="F159" s="320">
        <f t="shared" ca="1" si="170"/>
        <v>0</v>
      </c>
      <c r="G159" s="320">
        <f t="shared" ca="1" si="170"/>
        <v>0</v>
      </c>
      <c r="H159" s="320">
        <f t="shared" ca="1" si="170"/>
        <v>0</v>
      </c>
      <c r="I159" s="320">
        <f t="shared" ca="1" si="170"/>
        <v>0</v>
      </c>
      <c r="J159" s="320">
        <f t="shared" ca="1" si="170"/>
        <v>0</v>
      </c>
      <c r="K159" s="320">
        <f t="shared" ca="1" si="170"/>
        <v>0</v>
      </c>
      <c r="L159" s="320">
        <f t="shared" ca="1" si="170"/>
        <v>0</v>
      </c>
      <c r="M159" s="320">
        <f t="shared" ca="1" si="170"/>
        <v>0</v>
      </c>
      <c r="N159" s="320">
        <f t="shared" ca="1" si="170"/>
        <v>0</v>
      </c>
      <c r="O159" s="320">
        <f t="shared" ca="1" si="170"/>
        <v>0</v>
      </c>
      <c r="P159" s="320">
        <f t="shared" ca="1" si="170"/>
        <v>0</v>
      </c>
      <c r="Q159" s="320">
        <f t="shared" ca="1" si="170"/>
        <v>0</v>
      </c>
      <c r="R159" s="320">
        <f t="shared" ca="1" si="170"/>
        <v>0</v>
      </c>
      <c r="S159" s="320">
        <f t="shared" ca="1" si="170"/>
        <v>0</v>
      </c>
      <c r="T159" s="320">
        <f t="shared" ca="1" si="170"/>
        <v>0</v>
      </c>
      <c r="U159" s="320">
        <f t="shared" ca="1" si="170"/>
        <v>0</v>
      </c>
      <c r="V159" s="320">
        <f t="shared" ca="1" si="170"/>
        <v>0</v>
      </c>
      <c r="W159" s="320">
        <f t="shared" ca="1" si="170"/>
        <v>0</v>
      </c>
      <c r="X159" s="320">
        <f t="shared" ca="1" si="170"/>
        <v>0</v>
      </c>
      <c r="Y159" s="320">
        <f t="shared" ca="1" si="170"/>
        <v>0</v>
      </c>
      <c r="Z159" s="320">
        <f t="shared" ca="1" si="170"/>
        <v>0</v>
      </c>
      <c r="AA159" s="320">
        <f t="shared" ca="1" si="170"/>
        <v>0</v>
      </c>
      <c r="AB159" s="320">
        <f t="shared" ca="1" si="170"/>
        <v>0</v>
      </c>
      <c r="AC159" s="320">
        <f t="shared" ca="1" si="170"/>
        <v>0</v>
      </c>
      <c r="AD159" s="320">
        <f t="shared" ca="1" si="170"/>
        <v>0</v>
      </c>
      <c r="AE159" s="320">
        <f t="shared" ca="1" si="170"/>
        <v>0</v>
      </c>
      <c r="AF159" s="320">
        <f t="shared" ca="1" si="170"/>
        <v>0</v>
      </c>
      <c r="AG159" s="320">
        <f t="shared" ca="1" si="170"/>
        <v>0</v>
      </c>
      <c r="AH159" s="320">
        <f t="shared" ca="1" si="170"/>
        <v>0</v>
      </c>
      <c r="AI159" s="320">
        <f t="shared" ca="1" si="170"/>
        <v>0</v>
      </c>
      <c r="AJ159" s="320">
        <f t="shared" ref="AJ159:BL159" ca="1" si="171">AJ109*AJ134*AJ$173*LOOKUP($H84,$I$13:$I$16,OFFSET($B$263:$B$266,0,MATCH(YEAR(AJ$151),$C$262:$R$262)))/IF($I84=1,1.22,IF($I84=2,1.1,1))</f>
        <v>0</v>
      </c>
      <c r="AK159" s="320">
        <f t="shared" ca="1" si="171"/>
        <v>0</v>
      </c>
      <c r="AL159" s="320">
        <f t="shared" ca="1" si="171"/>
        <v>0</v>
      </c>
      <c r="AM159" s="320">
        <f t="shared" ca="1" si="171"/>
        <v>0</v>
      </c>
      <c r="AN159" s="320">
        <f t="shared" ca="1" si="171"/>
        <v>0</v>
      </c>
      <c r="AO159" s="320">
        <f t="shared" ca="1" si="171"/>
        <v>0</v>
      </c>
      <c r="AP159" s="320">
        <f t="shared" ca="1" si="171"/>
        <v>0</v>
      </c>
      <c r="AQ159" s="320">
        <f t="shared" ca="1" si="171"/>
        <v>0</v>
      </c>
      <c r="AR159" s="320">
        <f t="shared" ca="1" si="171"/>
        <v>0</v>
      </c>
      <c r="AS159" s="320">
        <f t="shared" ca="1" si="171"/>
        <v>0</v>
      </c>
      <c r="AT159" s="320">
        <f t="shared" ca="1" si="171"/>
        <v>0</v>
      </c>
      <c r="AU159" s="320">
        <f t="shared" ca="1" si="171"/>
        <v>0</v>
      </c>
      <c r="AV159" s="320">
        <f t="shared" ca="1" si="171"/>
        <v>0</v>
      </c>
      <c r="AW159" s="320">
        <f t="shared" ca="1" si="171"/>
        <v>0</v>
      </c>
      <c r="AX159" s="320">
        <f t="shared" ca="1" si="171"/>
        <v>0</v>
      </c>
      <c r="AY159" s="320">
        <f t="shared" ca="1" si="171"/>
        <v>0</v>
      </c>
      <c r="AZ159" s="320">
        <f t="shared" ca="1" si="171"/>
        <v>0</v>
      </c>
      <c r="BA159" s="320">
        <f t="shared" ca="1" si="171"/>
        <v>0</v>
      </c>
      <c r="BB159" s="320">
        <f t="shared" ca="1" si="171"/>
        <v>0</v>
      </c>
      <c r="BC159" s="320">
        <f t="shared" ca="1" si="171"/>
        <v>0</v>
      </c>
      <c r="BD159" s="320">
        <f t="shared" ca="1" si="171"/>
        <v>0</v>
      </c>
      <c r="BE159" s="320">
        <f t="shared" ca="1" si="171"/>
        <v>0</v>
      </c>
      <c r="BF159" s="320">
        <f t="shared" ca="1" si="171"/>
        <v>0</v>
      </c>
      <c r="BG159" s="320">
        <f t="shared" ca="1" si="171"/>
        <v>0</v>
      </c>
      <c r="BH159" s="320">
        <f t="shared" ca="1" si="171"/>
        <v>0</v>
      </c>
      <c r="BI159" s="320">
        <f t="shared" ca="1" si="171"/>
        <v>0</v>
      </c>
      <c r="BJ159" s="320">
        <f t="shared" ca="1" si="171"/>
        <v>0</v>
      </c>
      <c r="BK159" s="320">
        <f t="shared" ca="1" si="171"/>
        <v>0</v>
      </c>
      <c r="BL159" s="320">
        <f t="shared" ca="1" si="171"/>
        <v>0</v>
      </c>
    </row>
    <row r="160" spans="2:64">
      <c r="B160" s="74" t="str">
        <f t="shared" si="156"/>
        <v>Продукт 9</v>
      </c>
      <c r="C160" s="75" t="str">
        <f t="shared" si="157"/>
        <v>RUB</v>
      </c>
      <c r="D160" s="320">
        <f t="shared" ref="D160:AI160" ca="1" si="172">D110*D135*D$173*LOOKUP($H85,$I$13:$I$16,OFFSET($B$263:$B$266,0,MATCH(YEAR(D$151),$C$262:$R$262)))/IF($I85=1,1.22,IF($I85=2,1.1,1))</f>
        <v>0</v>
      </c>
      <c r="E160" s="320">
        <f t="shared" ca="1" si="172"/>
        <v>0</v>
      </c>
      <c r="F160" s="320">
        <f t="shared" ca="1" si="172"/>
        <v>0</v>
      </c>
      <c r="G160" s="320">
        <f t="shared" ca="1" si="172"/>
        <v>0</v>
      </c>
      <c r="H160" s="320">
        <f t="shared" ca="1" si="172"/>
        <v>0</v>
      </c>
      <c r="I160" s="320">
        <f t="shared" ca="1" si="172"/>
        <v>0</v>
      </c>
      <c r="J160" s="320">
        <f t="shared" ca="1" si="172"/>
        <v>0</v>
      </c>
      <c r="K160" s="320">
        <f t="shared" ca="1" si="172"/>
        <v>0</v>
      </c>
      <c r="L160" s="320">
        <f t="shared" ca="1" si="172"/>
        <v>0</v>
      </c>
      <c r="M160" s="320">
        <f t="shared" ca="1" si="172"/>
        <v>0</v>
      </c>
      <c r="N160" s="320">
        <f t="shared" ca="1" si="172"/>
        <v>0</v>
      </c>
      <c r="O160" s="320">
        <f t="shared" ca="1" si="172"/>
        <v>0</v>
      </c>
      <c r="P160" s="320">
        <f t="shared" ca="1" si="172"/>
        <v>0</v>
      </c>
      <c r="Q160" s="320">
        <f t="shared" ca="1" si="172"/>
        <v>0</v>
      </c>
      <c r="R160" s="320">
        <f t="shared" ca="1" si="172"/>
        <v>0</v>
      </c>
      <c r="S160" s="320">
        <f t="shared" ca="1" si="172"/>
        <v>0</v>
      </c>
      <c r="T160" s="320">
        <f t="shared" ca="1" si="172"/>
        <v>0</v>
      </c>
      <c r="U160" s="320">
        <f t="shared" ca="1" si="172"/>
        <v>0</v>
      </c>
      <c r="V160" s="320">
        <f t="shared" ca="1" si="172"/>
        <v>0</v>
      </c>
      <c r="W160" s="320">
        <f t="shared" ca="1" si="172"/>
        <v>0</v>
      </c>
      <c r="X160" s="320">
        <f t="shared" ca="1" si="172"/>
        <v>0</v>
      </c>
      <c r="Y160" s="320">
        <f t="shared" ca="1" si="172"/>
        <v>0</v>
      </c>
      <c r="Z160" s="320">
        <f t="shared" ca="1" si="172"/>
        <v>0</v>
      </c>
      <c r="AA160" s="320">
        <f t="shared" ca="1" si="172"/>
        <v>0</v>
      </c>
      <c r="AB160" s="320">
        <f t="shared" ca="1" si="172"/>
        <v>0</v>
      </c>
      <c r="AC160" s="320">
        <f t="shared" ca="1" si="172"/>
        <v>0</v>
      </c>
      <c r="AD160" s="320">
        <f t="shared" ca="1" si="172"/>
        <v>0</v>
      </c>
      <c r="AE160" s="320">
        <f t="shared" ca="1" si="172"/>
        <v>0</v>
      </c>
      <c r="AF160" s="320">
        <f t="shared" ca="1" si="172"/>
        <v>0</v>
      </c>
      <c r="AG160" s="320">
        <f t="shared" ca="1" si="172"/>
        <v>0</v>
      </c>
      <c r="AH160" s="320">
        <f t="shared" ca="1" si="172"/>
        <v>0</v>
      </c>
      <c r="AI160" s="320">
        <f t="shared" ca="1" si="172"/>
        <v>0</v>
      </c>
      <c r="AJ160" s="320">
        <f t="shared" ref="AJ160:BL160" ca="1" si="173">AJ110*AJ135*AJ$173*LOOKUP($H85,$I$13:$I$16,OFFSET($B$263:$B$266,0,MATCH(YEAR(AJ$151),$C$262:$R$262)))/IF($I85=1,1.22,IF($I85=2,1.1,1))</f>
        <v>0</v>
      </c>
      <c r="AK160" s="320">
        <f t="shared" ca="1" si="173"/>
        <v>0</v>
      </c>
      <c r="AL160" s="320">
        <f t="shared" ca="1" si="173"/>
        <v>0</v>
      </c>
      <c r="AM160" s="320">
        <f t="shared" ca="1" si="173"/>
        <v>0</v>
      </c>
      <c r="AN160" s="320">
        <f t="shared" ca="1" si="173"/>
        <v>0</v>
      </c>
      <c r="AO160" s="320">
        <f t="shared" ca="1" si="173"/>
        <v>0</v>
      </c>
      <c r="AP160" s="320">
        <f t="shared" ca="1" si="173"/>
        <v>0</v>
      </c>
      <c r="AQ160" s="320">
        <f t="shared" ca="1" si="173"/>
        <v>0</v>
      </c>
      <c r="AR160" s="320">
        <f t="shared" ca="1" si="173"/>
        <v>0</v>
      </c>
      <c r="AS160" s="320">
        <f t="shared" ca="1" si="173"/>
        <v>0</v>
      </c>
      <c r="AT160" s="320">
        <f t="shared" ca="1" si="173"/>
        <v>0</v>
      </c>
      <c r="AU160" s="320">
        <f t="shared" ca="1" si="173"/>
        <v>0</v>
      </c>
      <c r="AV160" s="320">
        <f t="shared" ca="1" si="173"/>
        <v>0</v>
      </c>
      <c r="AW160" s="320">
        <f t="shared" ca="1" si="173"/>
        <v>0</v>
      </c>
      <c r="AX160" s="320">
        <f t="shared" ca="1" si="173"/>
        <v>0</v>
      </c>
      <c r="AY160" s="320">
        <f t="shared" ca="1" si="173"/>
        <v>0</v>
      </c>
      <c r="AZ160" s="320">
        <f t="shared" ca="1" si="173"/>
        <v>0</v>
      </c>
      <c r="BA160" s="320">
        <f t="shared" ca="1" si="173"/>
        <v>0</v>
      </c>
      <c r="BB160" s="320">
        <f t="shared" ca="1" si="173"/>
        <v>0</v>
      </c>
      <c r="BC160" s="320">
        <f t="shared" ca="1" si="173"/>
        <v>0</v>
      </c>
      <c r="BD160" s="320">
        <f t="shared" ca="1" si="173"/>
        <v>0</v>
      </c>
      <c r="BE160" s="320">
        <f t="shared" ca="1" si="173"/>
        <v>0</v>
      </c>
      <c r="BF160" s="320">
        <f t="shared" ca="1" si="173"/>
        <v>0</v>
      </c>
      <c r="BG160" s="320">
        <f t="shared" ca="1" si="173"/>
        <v>0</v>
      </c>
      <c r="BH160" s="320">
        <f t="shared" ca="1" si="173"/>
        <v>0</v>
      </c>
      <c r="BI160" s="320">
        <f t="shared" ca="1" si="173"/>
        <v>0</v>
      </c>
      <c r="BJ160" s="320">
        <f t="shared" ca="1" si="173"/>
        <v>0</v>
      </c>
      <c r="BK160" s="320">
        <f t="shared" ca="1" si="173"/>
        <v>0</v>
      </c>
      <c r="BL160" s="320">
        <f t="shared" ca="1" si="173"/>
        <v>0</v>
      </c>
    </row>
    <row r="161" spans="2:64">
      <c r="B161" s="74" t="str">
        <f t="shared" si="156"/>
        <v>Продукт 10</v>
      </c>
      <c r="C161" s="75" t="str">
        <f t="shared" si="157"/>
        <v>RUB</v>
      </c>
      <c r="D161" s="320">
        <f t="shared" ref="D161:AI161" ca="1" si="174">D111*D136*D$173*LOOKUP($H86,$I$13:$I$16,OFFSET($B$263:$B$266,0,MATCH(YEAR(D$151),$C$262:$R$262)))/IF($I86=1,1.22,IF($I86=2,1.1,1))</f>
        <v>0</v>
      </c>
      <c r="E161" s="320">
        <f t="shared" ca="1" si="174"/>
        <v>0</v>
      </c>
      <c r="F161" s="320">
        <f t="shared" ca="1" si="174"/>
        <v>0</v>
      </c>
      <c r="G161" s="320">
        <f t="shared" ca="1" si="174"/>
        <v>0</v>
      </c>
      <c r="H161" s="320">
        <f t="shared" ca="1" si="174"/>
        <v>0</v>
      </c>
      <c r="I161" s="320">
        <f t="shared" ca="1" si="174"/>
        <v>0</v>
      </c>
      <c r="J161" s="320">
        <f t="shared" ca="1" si="174"/>
        <v>0</v>
      </c>
      <c r="K161" s="320">
        <f t="shared" ca="1" si="174"/>
        <v>0</v>
      </c>
      <c r="L161" s="320">
        <f t="shared" ca="1" si="174"/>
        <v>0</v>
      </c>
      <c r="M161" s="320">
        <f t="shared" ca="1" si="174"/>
        <v>0</v>
      </c>
      <c r="N161" s="320">
        <f t="shared" ca="1" si="174"/>
        <v>0</v>
      </c>
      <c r="O161" s="320">
        <f t="shared" ca="1" si="174"/>
        <v>0</v>
      </c>
      <c r="P161" s="320">
        <f t="shared" ca="1" si="174"/>
        <v>0</v>
      </c>
      <c r="Q161" s="320">
        <f t="shared" ca="1" si="174"/>
        <v>0</v>
      </c>
      <c r="R161" s="320">
        <f t="shared" ca="1" si="174"/>
        <v>0</v>
      </c>
      <c r="S161" s="320">
        <f t="shared" ca="1" si="174"/>
        <v>0</v>
      </c>
      <c r="T161" s="320">
        <f t="shared" ca="1" si="174"/>
        <v>0</v>
      </c>
      <c r="U161" s="320">
        <f t="shared" ca="1" si="174"/>
        <v>0</v>
      </c>
      <c r="V161" s="320">
        <f t="shared" ca="1" si="174"/>
        <v>0</v>
      </c>
      <c r="W161" s="320">
        <f t="shared" ca="1" si="174"/>
        <v>0</v>
      </c>
      <c r="X161" s="320">
        <f t="shared" ca="1" si="174"/>
        <v>0</v>
      </c>
      <c r="Y161" s="320">
        <f t="shared" ca="1" si="174"/>
        <v>0</v>
      </c>
      <c r="Z161" s="320">
        <f t="shared" ca="1" si="174"/>
        <v>0</v>
      </c>
      <c r="AA161" s="320">
        <f t="shared" ca="1" si="174"/>
        <v>0</v>
      </c>
      <c r="AB161" s="320">
        <f t="shared" ca="1" si="174"/>
        <v>0</v>
      </c>
      <c r="AC161" s="320">
        <f t="shared" ca="1" si="174"/>
        <v>0</v>
      </c>
      <c r="AD161" s="320">
        <f t="shared" ca="1" si="174"/>
        <v>0</v>
      </c>
      <c r="AE161" s="320">
        <f t="shared" ca="1" si="174"/>
        <v>0</v>
      </c>
      <c r="AF161" s="320">
        <f t="shared" ca="1" si="174"/>
        <v>0</v>
      </c>
      <c r="AG161" s="320">
        <f t="shared" ca="1" si="174"/>
        <v>0</v>
      </c>
      <c r="AH161" s="320">
        <f t="shared" ca="1" si="174"/>
        <v>0</v>
      </c>
      <c r="AI161" s="320">
        <f t="shared" ca="1" si="174"/>
        <v>0</v>
      </c>
      <c r="AJ161" s="320">
        <f t="shared" ref="AJ161:BL161" ca="1" si="175">AJ111*AJ136*AJ$173*LOOKUP($H86,$I$13:$I$16,OFFSET($B$263:$B$266,0,MATCH(YEAR(AJ$151),$C$262:$R$262)))/IF($I86=1,1.22,IF($I86=2,1.1,1))</f>
        <v>0</v>
      </c>
      <c r="AK161" s="320">
        <f t="shared" ca="1" si="175"/>
        <v>0</v>
      </c>
      <c r="AL161" s="320">
        <f t="shared" ca="1" si="175"/>
        <v>0</v>
      </c>
      <c r="AM161" s="320">
        <f t="shared" ca="1" si="175"/>
        <v>0</v>
      </c>
      <c r="AN161" s="320">
        <f t="shared" ca="1" si="175"/>
        <v>0</v>
      </c>
      <c r="AO161" s="320">
        <f t="shared" ca="1" si="175"/>
        <v>0</v>
      </c>
      <c r="AP161" s="320">
        <f t="shared" ca="1" si="175"/>
        <v>0</v>
      </c>
      <c r="AQ161" s="320">
        <f t="shared" ca="1" si="175"/>
        <v>0</v>
      </c>
      <c r="AR161" s="320">
        <f t="shared" ca="1" si="175"/>
        <v>0</v>
      </c>
      <c r="AS161" s="320">
        <f t="shared" ca="1" si="175"/>
        <v>0</v>
      </c>
      <c r="AT161" s="320">
        <f t="shared" ca="1" si="175"/>
        <v>0</v>
      </c>
      <c r="AU161" s="320">
        <f t="shared" ca="1" si="175"/>
        <v>0</v>
      </c>
      <c r="AV161" s="320">
        <f t="shared" ca="1" si="175"/>
        <v>0</v>
      </c>
      <c r="AW161" s="320">
        <f t="shared" ca="1" si="175"/>
        <v>0</v>
      </c>
      <c r="AX161" s="320">
        <f t="shared" ca="1" si="175"/>
        <v>0</v>
      </c>
      <c r="AY161" s="320">
        <f t="shared" ca="1" si="175"/>
        <v>0</v>
      </c>
      <c r="AZ161" s="320">
        <f t="shared" ca="1" si="175"/>
        <v>0</v>
      </c>
      <c r="BA161" s="320">
        <f t="shared" ca="1" si="175"/>
        <v>0</v>
      </c>
      <c r="BB161" s="320">
        <f t="shared" ca="1" si="175"/>
        <v>0</v>
      </c>
      <c r="BC161" s="320">
        <f t="shared" ca="1" si="175"/>
        <v>0</v>
      </c>
      <c r="BD161" s="320">
        <f t="shared" ca="1" si="175"/>
        <v>0</v>
      </c>
      <c r="BE161" s="320">
        <f t="shared" ca="1" si="175"/>
        <v>0</v>
      </c>
      <c r="BF161" s="320">
        <f t="shared" ca="1" si="175"/>
        <v>0</v>
      </c>
      <c r="BG161" s="320">
        <f t="shared" ca="1" si="175"/>
        <v>0</v>
      </c>
      <c r="BH161" s="320">
        <f t="shared" ca="1" si="175"/>
        <v>0</v>
      </c>
      <c r="BI161" s="320">
        <f t="shared" ca="1" si="175"/>
        <v>0</v>
      </c>
      <c r="BJ161" s="320">
        <f t="shared" ca="1" si="175"/>
        <v>0</v>
      </c>
      <c r="BK161" s="320">
        <f t="shared" ca="1" si="175"/>
        <v>0</v>
      </c>
      <c r="BL161" s="320">
        <f t="shared" ca="1" si="175"/>
        <v>0</v>
      </c>
    </row>
    <row r="162" spans="2:64">
      <c r="B162" s="74" t="str">
        <f t="shared" si="156"/>
        <v>Продукт 11</v>
      </c>
      <c r="C162" s="75" t="str">
        <f t="shared" si="157"/>
        <v>RUB</v>
      </c>
      <c r="D162" s="320">
        <f t="shared" ref="D162:AI162" ca="1" si="176">D112*D137*D$173*LOOKUP($H87,$I$13:$I$16,OFFSET($B$263:$B$266,0,MATCH(YEAR(D$151),$C$262:$R$262)))/IF($I87=1,1.22,IF($I87=2,1.1,1))</f>
        <v>0</v>
      </c>
      <c r="E162" s="320">
        <f t="shared" ca="1" si="176"/>
        <v>0</v>
      </c>
      <c r="F162" s="320">
        <f t="shared" ca="1" si="176"/>
        <v>0</v>
      </c>
      <c r="G162" s="320">
        <f t="shared" ca="1" si="176"/>
        <v>0</v>
      </c>
      <c r="H162" s="320">
        <f t="shared" ca="1" si="176"/>
        <v>0</v>
      </c>
      <c r="I162" s="320">
        <f t="shared" ca="1" si="176"/>
        <v>0</v>
      </c>
      <c r="J162" s="320">
        <f t="shared" ca="1" si="176"/>
        <v>0</v>
      </c>
      <c r="K162" s="320">
        <f t="shared" ca="1" si="176"/>
        <v>0</v>
      </c>
      <c r="L162" s="320">
        <f t="shared" ca="1" si="176"/>
        <v>0</v>
      </c>
      <c r="M162" s="320">
        <f t="shared" ca="1" si="176"/>
        <v>0</v>
      </c>
      <c r="N162" s="320">
        <f t="shared" ca="1" si="176"/>
        <v>0</v>
      </c>
      <c r="O162" s="320">
        <f t="shared" ca="1" si="176"/>
        <v>0</v>
      </c>
      <c r="P162" s="320">
        <f t="shared" ca="1" si="176"/>
        <v>0</v>
      </c>
      <c r="Q162" s="320">
        <f t="shared" ca="1" si="176"/>
        <v>0</v>
      </c>
      <c r="R162" s="320">
        <f t="shared" ca="1" si="176"/>
        <v>0</v>
      </c>
      <c r="S162" s="320">
        <f t="shared" ca="1" si="176"/>
        <v>0</v>
      </c>
      <c r="T162" s="320">
        <f t="shared" ca="1" si="176"/>
        <v>0</v>
      </c>
      <c r="U162" s="320">
        <f t="shared" ca="1" si="176"/>
        <v>0</v>
      </c>
      <c r="V162" s="320">
        <f t="shared" ca="1" si="176"/>
        <v>0</v>
      </c>
      <c r="W162" s="320">
        <f t="shared" ca="1" si="176"/>
        <v>0</v>
      </c>
      <c r="X162" s="320">
        <f t="shared" ca="1" si="176"/>
        <v>0</v>
      </c>
      <c r="Y162" s="320">
        <f t="shared" ca="1" si="176"/>
        <v>0</v>
      </c>
      <c r="Z162" s="320">
        <f t="shared" ca="1" si="176"/>
        <v>0</v>
      </c>
      <c r="AA162" s="320">
        <f t="shared" ca="1" si="176"/>
        <v>0</v>
      </c>
      <c r="AB162" s="320">
        <f t="shared" ca="1" si="176"/>
        <v>0</v>
      </c>
      <c r="AC162" s="320">
        <f t="shared" ca="1" si="176"/>
        <v>0</v>
      </c>
      <c r="AD162" s="320">
        <f t="shared" ca="1" si="176"/>
        <v>0</v>
      </c>
      <c r="AE162" s="320">
        <f t="shared" ca="1" si="176"/>
        <v>0</v>
      </c>
      <c r="AF162" s="320">
        <f t="shared" ca="1" si="176"/>
        <v>0</v>
      </c>
      <c r="AG162" s="320">
        <f t="shared" ca="1" si="176"/>
        <v>0</v>
      </c>
      <c r="AH162" s="320">
        <f t="shared" ca="1" si="176"/>
        <v>0</v>
      </c>
      <c r="AI162" s="320">
        <f t="shared" ca="1" si="176"/>
        <v>0</v>
      </c>
      <c r="AJ162" s="320">
        <f t="shared" ref="AJ162:BL162" ca="1" si="177">AJ112*AJ137*AJ$173*LOOKUP($H87,$I$13:$I$16,OFFSET($B$263:$B$266,0,MATCH(YEAR(AJ$151),$C$262:$R$262)))/IF($I87=1,1.22,IF($I87=2,1.1,1))</f>
        <v>0</v>
      </c>
      <c r="AK162" s="320">
        <f t="shared" ca="1" si="177"/>
        <v>0</v>
      </c>
      <c r="AL162" s="320">
        <f t="shared" ca="1" si="177"/>
        <v>0</v>
      </c>
      <c r="AM162" s="320">
        <f t="shared" ca="1" si="177"/>
        <v>0</v>
      </c>
      <c r="AN162" s="320">
        <f t="shared" ca="1" si="177"/>
        <v>0</v>
      </c>
      <c r="AO162" s="320">
        <f t="shared" ca="1" si="177"/>
        <v>0</v>
      </c>
      <c r="AP162" s="320">
        <f t="shared" ca="1" si="177"/>
        <v>0</v>
      </c>
      <c r="AQ162" s="320">
        <f t="shared" ca="1" si="177"/>
        <v>0</v>
      </c>
      <c r="AR162" s="320">
        <f t="shared" ca="1" si="177"/>
        <v>0</v>
      </c>
      <c r="AS162" s="320">
        <f t="shared" ca="1" si="177"/>
        <v>0</v>
      </c>
      <c r="AT162" s="320">
        <f t="shared" ca="1" si="177"/>
        <v>0</v>
      </c>
      <c r="AU162" s="320">
        <f t="shared" ca="1" si="177"/>
        <v>0</v>
      </c>
      <c r="AV162" s="320">
        <f t="shared" ca="1" si="177"/>
        <v>0</v>
      </c>
      <c r="AW162" s="320">
        <f t="shared" ca="1" si="177"/>
        <v>0</v>
      </c>
      <c r="AX162" s="320">
        <f t="shared" ca="1" si="177"/>
        <v>0</v>
      </c>
      <c r="AY162" s="320">
        <f t="shared" ca="1" si="177"/>
        <v>0</v>
      </c>
      <c r="AZ162" s="320">
        <f t="shared" ca="1" si="177"/>
        <v>0</v>
      </c>
      <c r="BA162" s="320">
        <f t="shared" ca="1" si="177"/>
        <v>0</v>
      </c>
      <c r="BB162" s="320">
        <f t="shared" ca="1" si="177"/>
        <v>0</v>
      </c>
      <c r="BC162" s="320">
        <f t="shared" ca="1" si="177"/>
        <v>0</v>
      </c>
      <c r="BD162" s="320">
        <f t="shared" ca="1" si="177"/>
        <v>0</v>
      </c>
      <c r="BE162" s="320">
        <f t="shared" ca="1" si="177"/>
        <v>0</v>
      </c>
      <c r="BF162" s="320">
        <f t="shared" ca="1" si="177"/>
        <v>0</v>
      </c>
      <c r="BG162" s="320">
        <f t="shared" ca="1" si="177"/>
        <v>0</v>
      </c>
      <c r="BH162" s="320">
        <f t="shared" ca="1" si="177"/>
        <v>0</v>
      </c>
      <c r="BI162" s="320">
        <f t="shared" ca="1" si="177"/>
        <v>0</v>
      </c>
      <c r="BJ162" s="320">
        <f t="shared" ca="1" si="177"/>
        <v>0</v>
      </c>
      <c r="BK162" s="320">
        <f t="shared" ca="1" si="177"/>
        <v>0</v>
      </c>
      <c r="BL162" s="320">
        <f t="shared" ca="1" si="177"/>
        <v>0</v>
      </c>
    </row>
    <row r="163" spans="2:64">
      <c r="B163" s="74" t="str">
        <f t="shared" si="156"/>
        <v>Продукт 12</v>
      </c>
      <c r="C163" s="75" t="str">
        <f t="shared" si="157"/>
        <v>RUB</v>
      </c>
      <c r="D163" s="320">
        <f t="shared" ref="D163:AI163" ca="1" si="178">D113*D138*D$173*LOOKUP($H88,$I$13:$I$16,OFFSET($B$263:$B$266,0,MATCH(YEAR(D$151),$C$262:$R$262)))/IF($I88=1,1.22,IF($I88=2,1.1,1))</f>
        <v>0</v>
      </c>
      <c r="E163" s="320">
        <f t="shared" ca="1" si="178"/>
        <v>0</v>
      </c>
      <c r="F163" s="320">
        <f t="shared" ca="1" si="178"/>
        <v>0</v>
      </c>
      <c r="G163" s="320">
        <f t="shared" ca="1" si="178"/>
        <v>0</v>
      </c>
      <c r="H163" s="320">
        <f t="shared" ca="1" si="178"/>
        <v>0</v>
      </c>
      <c r="I163" s="320">
        <f t="shared" ca="1" si="178"/>
        <v>0</v>
      </c>
      <c r="J163" s="320">
        <f t="shared" ca="1" si="178"/>
        <v>0</v>
      </c>
      <c r="K163" s="320">
        <f t="shared" ca="1" si="178"/>
        <v>0</v>
      </c>
      <c r="L163" s="320">
        <f t="shared" ca="1" si="178"/>
        <v>0</v>
      </c>
      <c r="M163" s="320">
        <f t="shared" ca="1" si="178"/>
        <v>0</v>
      </c>
      <c r="N163" s="320">
        <f t="shared" ca="1" si="178"/>
        <v>0</v>
      </c>
      <c r="O163" s="320">
        <f t="shared" ca="1" si="178"/>
        <v>0</v>
      </c>
      <c r="P163" s="320">
        <f t="shared" ca="1" si="178"/>
        <v>0</v>
      </c>
      <c r="Q163" s="320">
        <f t="shared" ca="1" si="178"/>
        <v>0</v>
      </c>
      <c r="R163" s="320">
        <f t="shared" ca="1" si="178"/>
        <v>0</v>
      </c>
      <c r="S163" s="320">
        <f t="shared" ca="1" si="178"/>
        <v>0</v>
      </c>
      <c r="T163" s="320">
        <f t="shared" ca="1" si="178"/>
        <v>0</v>
      </c>
      <c r="U163" s="320">
        <f t="shared" ca="1" si="178"/>
        <v>0</v>
      </c>
      <c r="V163" s="320">
        <f t="shared" ca="1" si="178"/>
        <v>0</v>
      </c>
      <c r="W163" s="320">
        <f t="shared" ca="1" si="178"/>
        <v>0</v>
      </c>
      <c r="X163" s="320">
        <f t="shared" ca="1" si="178"/>
        <v>0</v>
      </c>
      <c r="Y163" s="320">
        <f t="shared" ca="1" si="178"/>
        <v>0</v>
      </c>
      <c r="Z163" s="320">
        <f t="shared" ca="1" si="178"/>
        <v>0</v>
      </c>
      <c r="AA163" s="320">
        <f t="shared" ca="1" si="178"/>
        <v>0</v>
      </c>
      <c r="AB163" s="320">
        <f t="shared" ca="1" si="178"/>
        <v>0</v>
      </c>
      <c r="AC163" s="320">
        <f t="shared" ca="1" si="178"/>
        <v>0</v>
      </c>
      <c r="AD163" s="320">
        <f t="shared" ca="1" si="178"/>
        <v>0</v>
      </c>
      <c r="AE163" s="320">
        <f t="shared" ca="1" si="178"/>
        <v>0</v>
      </c>
      <c r="AF163" s="320">
        <f t="shared" ca="1" si="178"/>
        <v>0</v>
      </c>
      <c r="AG163" s="320">
        <f t="shared" ca="1" si="178"/>
        <v>0</v>
      </c>
      <c r="AH163" s="320">
        <f t="shared" ca="1" si="178"/>
        <v>0</v>
      </c>
      <c r="AI163" s="320">
        <f t="shared" ca="1" si="178"/>
        <v>0</v>
      </c>
      <c r="AJ163" s="320">
        <f t="shared" ref="AJ163:BL163" ca="1" si="179">AJ113*AJ138*AJ$173*LOOKUP($H88,$I$13:$I$16,OFFSET($B$263:$B$266,0,MATCH(YEAR(AJ$151),$C$262:$R$262)))/IF($I88=1,1.22,IF($I88=2,1.1,1))</f>
        <v>0</v>
      </c>
      <c r="AK163" s="320">
        <f t="shared" ca="1" si="179"/>
        <v>0</v>
      </c>
      <c r="AL163" s="320">
        <f t="shared" ca="1" si="179"/>
        <v>0</v>
      </c>
      <c r="AM163" s="320">
        <f t="shared" ca="1" si="179"/>
        <v>0</v>
      </c>
      <c r="AN163" s="320">
        <f t="shared" ca="1" si="179"/>
        <v>0</v>
      </c>
      <c r="AO163" s="320">
        <f t="shared" ca="1" si="179"/>
        <v>0</v>
      </c>
      <c r="AP163" s="320">
        <f t="shared" ca="1" si="179"/>
        <v>0</v>
      </c>
      <c r="AQ163" s="320">
        <f t="shared" ca="1" si="179"/>
        <v>0</v>
      </c>
      <c r="AR163" s="320">
        <f t="shared" ca="1" si="179"/>
        <v>0</v>
      </c>
      <c r="AS163" s="320">
        <f t="shared" ca="1" si="179"/>
        <v>0</v>
      </c>
      <c r="AT163" s="320">
        <f t="shared" ca="1" si="179"/>
        <v>0</v>
      </c>
      <c r="AU163" s="320">
        <f t="shared" ca="1" si="179"/>
        <v>0</v>
      </c>
      <c r="AV163" s="320">
        <f t="shared" ca="1" si="179"/>
        <v>0</v>
      </c>
      <c r="AW163" s="320">
        <f t="shared" ca="1" si="179"/>
        <v>0</v>
      </c>
      <c r="AX163" s="320">
        <f t="shared" ca="1" si="179"/>
        <v>0</v>
      </c>
      <c r="AY163" s="320">
        <f t="shared" ca="1" si="179"/>
        <v>0</v>
      </c>
      <c r="AZ163" s="320">
        <f t="shared" ca="1" si="179"/>
        <v>0</v>
      </c>
      <c r="BA163" s="320">
        <f t="shared" ca="1" si="179"/>
        <v>0</v>
      </c>
      <c r="BB163" s="320">
        <f t="shared" ca="1" si="179"/>
        <v>0</v>
      </c>
      <c r="BC163" s="320">
        <f t="shared" ca="1" si="179"/>
        <v>0</v>
      </c>
      <c r="BD163" s="320">
        <f t="shared" ca="1" si="179"/>
        <v>0</v>
      </c>
      <c r="BE163" s="320">
        <f t="shared" ca="1" si="179"/>
        <v>0</v>
      </c>
      <c r="BF163" s="320">
        <f t="shared" ca="1" si="179"/>
        <v>0</v>
      </c>
      <c r="BG163" s="320">
        <f t="shared" ca="1" si="179"/>
        <v>0</v>
      </c>
      <c r="BH163" s="320">
        <f t="shared" ca="1" si="179"/>
        <v>0</v>
      </c>
      <c r="BI163" s="320">
        <f t="shared" ca="1" si="179"/>
        <v>0</v>
      </c>
      <c r="BJ163" s="320">
        <f t="shared" ca="1" si="179"/>
        <v>0</v>
      </c>
      <c r="BK163" s="320">
        <f t="shared" ca="1" si="179"/>
        <v>0</v>
      </c>
      <c r="BL163" s="320">
        <f t="shared" ca="1" si="179"/>
        <v>0</v>
      </c>
    </row>
    <row r="164" spans="2:64">
      <c r="B164" s="74" t="str">
        <f t="shared" si="156"/>
        <v>Продукт 13</v>
      </c>
      <c r="C164" s="75" t="str">
        <f t="shared" si="157"/>
        <v>RUB</v>
      </c>
      <c r="D164" s="320">
        <f t="shared" ref="D164:AI164" ca="1" si="180">D114*D139*D$173*LOOKUP($H89,$I$13:$I$16,OFFSET($B$263:$B$266,0,MATCH(YEAR(D$151),$C$262:$R$262)))/IF($I89=1,1.22,IF($I89=2,1.1,1))</f>
        <v>0</v>
      </c>
      <c r="E164" s="320">
        <f t="shared" ca="1" si="180"/>
        <v>0</v>
      </c>
      <c r="F164" s="320">
        <f t="shared" ca="1" si="180"/>
        <v>0</v>
      </c>
      <c r="G164" s="320">
        <f t="shared" ca="1" si="180"/>
        <v>0</v>
      </c>
      <c r="H164" s="320">
        <f t="shared" ca="1" si="180"/>
        <v>0</v>
      </c>
      <c r="I164" s="320">
        <f t="shared" ca="1" si="180"/>
        <v>0</v>
      </c>
      <c r="J164" s="320">
        <f t="shared" ca="1" si="180"/>
        <v>0</v>
      </c>
      <c r="K164" s="320">
        <f t="shared" ca="1" si="180"/>
        <v>0</v>
      </c>
      <c r="L164" s="320">
        <f t="shared" ca="1" si="180"/>
        <v>0</v>
      </c>
      <c r="M164" s="320">
        <f t="shared" ca="1" si="180"/>
        <v>0</v>
      </c>
      <c r="N164" s="320">
        <f t="shared" ca="1" si="180"/>
        <v>0</v>
      </c>
      <c r="O164" s="320">
        <f t="shared" ca="1" si="180"/>
        <v>0</v>
      </c>
      <c r="P164" s="320">
        <f t="shared" ca="1" si="180"/>
        <v>0</v>
      </c>
      <c r="Q164" s="320">
        <f t="shared" ca="1" si="180"/>
        <v>0</v>
      </c>
      <c r="R164" s="320">
        <f t="shared" ca="1" si="180"/>
        <v>0</v>
      </c>
      <c r="S164" s="320">
        <f t="shared" ca="1" si="180"/>
        <v>0</v>
      </c>
      <c r="T164" s="320">
        <f t="shared" ca="1" si="180"/>
        <v>0</v>
      </c>
      <c r="U164" s="320">
        <f t="shared" ca="1" si="180"/>
        <v>0</v>
      </c>
      <c r="V164" s="320">
        <f t="shared" ca="1" si="180"/>
        <v>0</v>
      </c>
      <c r="W164" s="320">
        <f t="shared" ca="1" si="180"/>
        <v>0</v>
      </c>
      <c r="X164" s="320">
        <f t="shared" ca="1" si="180"/>
        <v>0</v>
      </c>
      <c r="Y164" s="320">
        <f t="shared" ca="1" si="180"/>
        <v>0</v>
      </c>
      <c r="Z164" s="320">
        <f t="shared" ca="1" si="180"/>
        <v>0</v>
      </c>
      <c r="AA164" s="320">
        <f t="shared" ca="1" si="180"/>
        <v>0</v>
      </c>
      <c r="AB164" s="320">
        <f t="shared" ca="1" si="180"/>
        <v>0</v>
      </c>
      <c r="AC164" s="320">
        <f t="shared" ca="1" si="180"/>
        <v>0</v>
      </c>
      <c r="AD164" s="320">
        <f t="shared" ca="1" si="180"/>
        <v>0</v>
      </c>
      <c r="AE164" s="320">
        <f t="shared" ca="1" si="180"/>
        <v>0</v>
      </c>
      <c r="AF164" s="320">
        <f t="shared" ca="1" si="180"/>
        <v>0</v>
      </c>
      <c r="AG164" s="320">
        <f t="shared" ca="1" si="180"/>
        <v>0</v>
      </c>
      <c r="AH164" s="320">
        <f t="shared" ca="1" si="180"/>
        <v>0</v>
      </c>
      <c r="AI164" s="320">
        <f t="shared" ca="1" si="180"/>
        <v>0</v>
      </c>
      <c r="AJ164" s="320">
        <f t="shared" ref="AJ164:BL164" ca="1" si="181">AJ114*AJ139*AJ$173*LOOKUP($H89,$I$13:$I$16,OFFSET($B$263:$B$266,0,MATCH(YEAR(AJ$151),$C$262:$R$262)))/IF($I89=1,1.22,IF($I89=2,1.1,1))</f>
        <v>0</v>
      </c>
      <c r="AK164" s="320">
        <f t="shared" ca="1" si="181"/>
        <v>0</v>
      </c>
      <c r="AL164" s="320">
        <f t="shared" ca="1" si="181"/>
        <v>0</v>
      </c>
      <c r="AM164" s="320">
        <f t="shared" ca="1" si="181"/>
        <v>0</v>
      </c>
      <c r="AN164" s="320">
        <f t="shared" ca="1" si="181"/>
        <v>0</v>
      </c>
      <c r="AO164" s="320">
        <f t="shared" ca="1" si="181"/>
        <v>0</v>
      </c>
      <c r="AP164" s="320">
        <f t="shared" ca="1" si="181"/>
        <v>0</v>
      </c>
      <c r="AQ164" s="320">
        <f t="shared" ca="1" si="181"/>
        <v>0</v>
      </c>
      <c r="AR164" s="320">
        <f t="shared" ca="1" si="181"/>
        <v>0</v>
      </c>
      <c r="AS164" s="320">
        <f t="shared" ca="1" si="181"/>
        <v>0</v>
      </c>
      <c r="AT164" s="320">
        <f t="shared" ca="1" si="181"/>
        <v>0</v>
      </c>
      <c r="AU164" s="320">
        <f t="shared" ca="1" si="181"/>
        <v>0</v>
      </c>
      <c r="AV164" s="320">
        <f t="shared" ca="1" si="181"/>
        <v>0</v>
      </c>
      <c r="AW164" s="320">
        <f t="shared" ca="1" si="181"/>
        <v>0</v>
      </c>
      <c r="AX164" s="320">
        <f t="shared" ca="1" si="181"/>
        <v>0</v>
      </c>
      <c r="AY164" s="320">
        <f t="shared" ca="1" si="181"/>
        <v>0</v>
      </c>
      <c r="AZ164" s="320">
        <f t="shared" ca="1" si="181"/>
        <v>0</v>
      </c>
      <c r="BA164" s="320">
        <f t="shared" ca="1" si="181"/>
        <v>0</v>
      </c>
      <c r="BB164" s="320">
        <f t="shared" ca="1" si="181"/>
        <v>0</v>
      </c>
      <c r="BC164" s="320">
        <f t="shared" ca="1" si="181"/>
        <v>0</v>
      </c>
      <c r="BD164" s="320">
        <f t="shared" ca="1" si="181"/>
        <v>0</v>
      </c>
      <c r="BE164" s="320">
        <f t="shared" ca="1" si="181"/>
        <v>0</v>
      </c>
      <c r="BF164" s="320">
        <f t="shared" ca="1" si="181"/>
        <v>0</v>
      </c>
      <c r="BG164" s="320">
        <f t="shared" ca="1" si="181"/>
        <v>0</v>
      </c>
      <c r="BH164" s="320">
        <f t="shared" ca="1" si="181"/>
        <v>0</v>
      </c>
      <c r="BI164" s="320">
        <f t="shared" ca="1" si="181"/>
        <v>0</v>
      </c>
      <c r="BJ164" s="320">
        <f t="shared" ca="1" si="181"/>
        <v>0</v>
      </c>
      <c r="BK164" s="320">
        <f t="shared" ca="1" si="181"/>
        <v>0</v>
      </c>
      <c r="BL164" s="320">
        <f t="shared" ca="1" si="181"/>
        <v>0</v>
      </c>
    </row>
    <row r="165" spans="2:64">
      <c r="B165" s="74" t="str">
        <f t="shared" si="156"/>
        <v>Продукт 14</v>
      </c>
      <c r="C165" s="75" t="str">
        <f t="shared" si="157"/>
        <v>RUB</v>
      </c>
      <c r="D165" s="320">
        <f t="shared" ref="D165:AI165" ca="1" si="182">D115*D140*D$173*LOOKUP($H90,$I$13:$I$16,OFFSET($B$263:$B$266,0,MATCH(YEAR(D$151),$C$262:$R$262)))/IF($I90=1,1.22,IF($I90=2,1.1,1))</f>
        <v>0</v>
      </c>
      <c r="E165" s="320">
        <f t="shared" ca="1" si="182"/>
        <v>0</v>
      </c>
      <c r="F165" s="320">
        <f t="shared" ca="1" si="182"/>
        <v>0</v>
      </c>
      <c r="G165" s="320">
        <f t="shared" ca="1" si="182"/>
        <v>0</v>
      </c>
      <c r="H165" s="320">
        <f t="shared" ca="1" si="182"/>
        <v>0</v>
      </c>
      <c r="I165" s="320">
        <f t="shared" ca="1" si="182"/>
        <v>0</v>
      </c>
      <c r="J165" s="320">
        <f t="shared" ca="1" si="182"/>
        <v>0</v>
      </c>
      <c r="K165" s="320">
        <f t="shared" ca="1" si="182"/>
        <v>0</v>
      </c>
      <c r="L165" s="320">
        <f t="shared" ca="1" si="182"/>
        <v>0</v>
      </c>
      <c r="M165" s="320">
        <f t="shared" ca="1" si="182"/>
        <v>0</v>
      </c>
      <c r="N165" s="320">
        <f t="shared" ca="1" si="182"/>
        <v>0</v>
      </c>
      <c r="O165" s="320">
        <f t="shared" ca="1" si="182"/>
        <v>0</v>
      </c>
      <c r="P165" s="320">
        <f t="shared" ca="1" si="182"/>
        <v>0</v>
      </c>
      <c r="Q165" s="320">
        <f t="shared" ca="1" si="182"/>
        <v>0</v>
      </c>
      <c r="R165" s="320">
        <f t="shared" ca="1" si="182"/>
        <v>0</v>
      </c>
      <c r="S165" s="320">
        <f t="shared" ca="1" si="182"/>
        <v>0</v>
      </c>
      <c r="T165" s="320">
        <f t="shared" ca="1" si="182"/>
        <v>0</v>
      </c>
      <c r="U165" s="320">
        <f t="shared" ca="1" si="182"/>
        <v>0</v>
      </c>
      <c r="V165" s="320">
        <f t="shared" ca="1" si="182"/>
        <v>0</v>
      </c>
      <c r="W165" s="320">
        <f t="shared" ca="1" si="182"/>
        <v>0</v>
      </c>
      <c r="X165" s="320">
        <f t="shared" ca="1" si="182"/>
        <v>0</v>
      </c>
      <c r="Y165" s="320">
        <f t="shared" ca="1" si="182"/>
        <v>0</v>
      </c>
      <c r="Z165" s="320">
        <f t="shared" ca="1" si="182"/>
        <v>0</v>
      </c>
      <c r="AA165" s="320">
        <f t="shared" ca="1" si="182"/>
        <v>0</v>
      </c>
      <c r="AB165" s="320">
        <f t="shared" ca="1" si="182"/>
        <v>0</v>
      </c>
      <c r="AC165" s="320">
        <f t="shared" ca="1" si="182"/>
        <v>0</v>
      </c>
      <c r="AD165" s="320">
        <f t="shared" ca="1" si="182"/>
        <v>0</v>
      </c>
      <c r="AE165" s="320">
        <f t="shared" ca="1" si="182"/>
        <v>0</v>
      </c>
      <c r="AF165" s="320">
        <f t="shared" ca="1" si="182"/>
        <v>0</v>
      </c>
      <c r="AG165" s="320">
        <f t="shared" ca="1" si="182"/>
        <v>0</v>
      </c>
      <c r="AH165" s="320">
        <f t="shared" ca="1" si="182"/>
        <v>0</v>
      </c>
      <c r="AI165" s="320">
        <f t="shared" ca="1" si="182"/>
        <v>0</v>
      </c>
      <c r="AJ165" s="320">
        <f t="shared" ref="AJ165:BL165" ca="1" si="183">AJ115*AJ140*AJ$173*LOOKUP($H90,$I$13:$I$16,OFFSET($B$263:$B$266,0,MATCH(YEAR(AJ$151),$C$262:$R$262)))/IF($I90=1,1.22,IF($I90=2,1.1,1))</f>
        <v>0</v>
      </c>
      <c r="AK165" s="320">
        <f t="shared" ca="1" si="183"/>
        <v>0</v>
      </c>
      <c r="AL165" s="320">
        <f t="shared" ca="1" si="183"/>
        <v>0</v>
      </c>
      <c r="AM165" s="320">
        <f t="shared" ca="1" si="183"/>
        <v>0</v>
      </c>
      <c r="AN165" s="320">
        <f t="shared" ca="1" si="183"/>
        <v>0</v>
      </c>
      <c r="AO165" s="320">
        <f t="shared" ca="1" si="183"/>
        <v>0</v>
      </c>
      <c r="AP165" s="320">
        <f t="shared" ca="1" si="183"/>
        <v>0</v>
      </c>
      <c r="AQ165" s="320">
        <f t="shared" ca="1" si="183"/>
        <v>0</v>
      </c>
      <c r="AR165" s="320">
        <f t="shared" ca="1" si="183"/>
        <v>0</v>
      </c>
      <c r="AS165" s="320">
        <f t="shared" ca="1" si="183"/>
        <v>0</v>
      </c>
      <c r="AT165" s="320">
        <f t="shared" ca="1" si="183"/>
        <v>0</v>
      </c>
      <c r="AU165" s="320">
        <f t="shared" ca="1" si="183"/>
        <v>0</v>
      </c>
      <c r="AV165" s="320">
        <f t="shared" ca="1" si="183"/>
        <v>0</v>
      </c>
      <c r="AW165" s="320">
        <f t="shared" ca="1" si="183"/>
        <v>0</v>
      </c>
      <c r="AX165" s="320">
        <f t="shared" ca="1" si="183"/>
        <v>0</v>
      </c>
      <c r="AY165" s="320">
        <f t="shared" ca="1" si="183"/>
        <v>0</v>
      </c>
      <c r="AZ165" s="320">
        <f t="shared" ca="1" si="183"/>
        <v>0</v>
      </c>
      <c r="BA165" s="320">
        <f t="shared" ca="1" si="183"/>
        <v>0</v>
      </c>
      <c r="BB165" s="320">
        <f t="shared" ca="1" si="183"/>
        <v>0</v>
      </c>
      <c r="BC165" s="320">
        <f t="shared" ca="1" si="183"/>
        <v>0</v>
      </c>
      <c r="BD165" s="320">
        <f t="shared" ca="1" si="183"/>
        <v>0</v>
      </c>
      <c r="BE165" s="320">
        <f t="shared" ca="1" si="183"/>
        <v>0</v>
      </c>
      <c r="BF165" s="320">
        <f t="shared" ca="1" si="183"/>
        <v>0</v>
      </c>
      <c r="BG165" s="320">
        <f t="shared" ca="1" si="183"/>
        <v>0</v>
      </c>
      <c r="BH165" s="320">
        <f t="shared" ca="1" si="183"/>
        <v>0</v>
      </c>
      <c r="BI165" s="320">
        <f t="shared" ca="1" si="183"/>
        <v>0</v>
      </c>
      <c r="BJ165" s="320">
        <f t="shared" ca="1" si="183"/>
        <v>0</v>
      </c>
      <c r="BK165" s="320">
        <f t="shared" ca="1" si="183"/>
        <v>0</v>
      </c>
      <c r="BL165" s="320">
        <f t="shared" ca="1" si="183"/>
        <v>0</v>
      </c>
    </row>
    <row r="166" spans="2:64">
      <c r="B166" s="74" t="str">
        <f t="shared" si="156"/>
        <v>Продукт 15</v>
      </c>
      <c r="C166" s="75" t="str">
        <f t="shared" si="157"/>
        <v>RUB</v>
      </c>
      <c r="D166" s="320">
        <f t="shared" ref="D166:AI166" ca="1" si="184">D116*D141*D$173*LOOKUP($H91,$I$13:$I$16,OFFSET($B$263:$B$266,0,MATCH(YEAR(D$151),$C$262:$R$262)))/IF($I91=1,1.22,IF($I91=2,1.1,1))</f>
        <v>0</v>
      </c>
      <c r="E166" s="320">
        <f t="shared" ca="1" si="184"/>
        <v>0</v>
      </c>
      <c r="F166" s="320">
        <f t="shared" ca="1" si="184"/>
        <v>0</v>
      </c>
      <c r="G166" s="320">
        <f t="shared" ca="1" si="184"/>
        <v>0</v>
      </c>
      <c r="H166" s="320">
        <f t="shared" ca="1" si="184"/>
        <v>0</v>
      </c>
      <c r="I166" s="320">
        <f t="shared" ca="1" si="184"/>
        <v>0</v>
      </c>
      <c r="J166" s="320">
        <f t="shared" ca="1" si="184"/>
        <v>0</v>
      </c>
      <c r="K166" s="320">
        <f t="shared" ca="1" si="184"/>
        <v>0</v>
      </c>
      <c r="L166" s="320">
        <f t="shared" ca="1" si="184"/>
        <v>0</v>
      </c>
      <c r="M166" s="320">
        <f t="shared" ca="1" si="184"/>
        <v>0</v>
      </c>
      <c r="N166" s="320">
        <f t="shared" ca="1" si="184"/>
        <v>0</v>
      </c>
      <c r="O166" s="320">
        <f t="shared" ca="1" si="184"/>
        <v>0</v>
      </c>
      <c r="P166" s="320">
        <f t="shared" ca="1" si="184"/>
        <v>0</v>
      </c>
      <c r="Q166" s="320">
        <f t="shared" ca="1" si="184"/>
        <v>0</v>
      </c>
      <c r="R166" s="320">
        <f t="shared" ca="1" si="184"/>
        <v>0</v>
      </c>
      <c r="S166" s="320">
        <f t="shared" ca="1" si="184"/>
        <v>0</v>
      </c>
      <c r="T166" s="320">
        <f t="shared" ca="1" si="184"/>
        <v>0</v>
      </c>
      <c r="U166" s="320">
        <f t="shared" ca="1" si="184"/>
        <v>0</v>
      </c>
      <c r="V166" s="320">
        <f t="shared" ca="1" si="184"/>
        <v>0</v>
      </c>
      <c r="W166" s="320">
        <f t="shared" ca="1" si="184"/>
        <v>0</v>
      </c>
      <c r="X166" s="320">
        <f t="shared" ca="1" si="184"/>
        <v>0</v>
      </c>
      <c r="Y166" s="320">
        <f t="shared" ca="1" si="184"/>
        <v>0</v>
      </c>
      <c r="Z166" s="320">
        <f t="shared" ca="1" si="184"/>
        <v>0</v>
      </c>
      <c r="AA166" s="320">
        <f t="shared" ca="1" si="184"/>
        <v>0</v>
      </c>
      <c r="AB166" s="320">
        <f t="shared" ca="1" si="184"/>
        <v>0</v>
      </c>
      <c r="AC166" s="320">
        <f t="shared" ca="1" si="184"/>
        <v>0</v>
      </c>
      <c r="AD166" s="320">
        <f t="shared" ca="1" si="184"/>
        <v>0</v>
      </c>
      <c r="AE166" s="320">
        <f t="shared" ca="1" si="184"/>
        <v>0</v>
      </c>
      <c r="AF166" s="320">
        <f t="shared" ca="1" si="184"/>
        <v>0</v>
      </c>
      <c r="AG166" s="320">
        <f t="shared" ca="1" si="184"/>
        <v>0</v>
      </c>
      <c r="AH166" s="320">
        <f t="shared" ca="1" si="184"/>
        <v>0</v>
      </c>
      <c r="AI166" s="320">
        <f t="shared" ca="1" si="184"/>
        <v>0</v>
      </c>
      <c r="AJ166" s="320">
        <f t="shared" ref="AJ166:BL166" ca="1" si="185">AJ116*AJ141*AJ$173*LOOKUP($H91,$I$13:$I$16,OFFSET($B$263:$B$266,0,MATCH(YEAR(AJ$151),$C$262:$R$262)))/IF($I91=1,1.22,IF($I91=2,1.1,1))</f>
        <v>0</v>
      </c>
      <c r="AK166" s="320">
        <f t="shared" ca="1" si="185"/>
        <v>0</v>
      </c>
      <c r="AL166" s="320">
        <f t="shared" ca="1" si="185"/>
        <v>0</v>
      </c>
      <c r="AM166" s="320">
        <f t="shared" ca="1" si="185"/>
        <v>0</v>
      </c>
      <c r="AN166" s="320">
        <f t="shared" ca="1" si="185"/>
        <v>0</v>
      </c>
      <c r="AO166" s="320">
        <f t="shared" ca="1" si="185"/>
        <v>0</v>
      </c>
      <c r="AP166" s="320">
        <f t="shared" ca="1" si="185"/>
        <v>0</v>
      </c>
      <c r="AQ166" s="320">
        <f t="shared" ca="1" si="185"/>
        <v>0</v>
      </c>
      <c r="AR166" s="320">
        <f t="shared" ca="1" si="185"/>
        <v>0</v>
      </c>
      <c r="AS166" s="320">
        <f t="shared" ca="1" si="185"/>
        <v>0</v>
      </c>
      <c r="AT166" s="320">
        <f t="shared" ca="1" si="185"/>
        <v>0</v>
      </c>
      <c r="AU166" s="320">
        <f t="shared" ca="1" si="185"/>
        <v>0</v>
      </c>
      <c r="AV166" s="320">
        <f t="shared" ca="1" si="185"/>
        <v>0</v>
      </c>
      <c r="AW166" s="320">
        <f t="shared" ca="1" si="185"/>
        <v>0</v>
      </c>
      <c r="AX166" s="320">
        <f t="shared" ca="1" si="185"/>
        <v>0</v>
      </c>
      <c r="AY166" s="320">
        <f t="shared" ca="1" si="185"/>
        <v>0</v>
      </c>
      <c r="AZ166" s="320">
        <f t="shared" ca="1" si="185"/>
        <v>0</v>
      </c>
      <c r="BA166" s="320">
        <f t="shared" ca="1" si="185"/>
        <v>0</v>
      </c>
      <c r="BB166" s="320">
        <f t="shared" ca="1" si="185"/>
        <v>0</v>
      </c>
      <c r="BC166" s="320">
        <f t="shared" ca="1" si="185"/>
        <v>0</v>
      </c>
      <c r="BD166" s="320">
        <f t="shared" ca="1" si="185"/>
        <v>0</v>
      </c>
      <c r="BE166" s="320">
        <f t="shared" ca="1" si="185"/>
        <v>0</v>
      </c>
      <c r="BF166" s="320">
        <f t="shared" ca="1" si="185"/>
        <v>0</v>
      </c>
      <c r="BG166" s="320">
        <f t="shared" ca="1" si="185"/>
        <v>0</v>
      </c>
      <c r="BH166" s="320">
        <f t="shared" ca="1" si="185"/>
        <v>0</v>
      </c>
      <c r="BI166" s="320">
        <f t="shared" ca="1" si="185"/>
        <v>0</v>
      </c>
      <c r="BJ166" s="320">
        <f t="shared" ca="1" si="185"/>
        <v>0</v>
      </c>
      <c r="BK166" s="320">
        <f t="shared" ca="1" si="185"/>
        <v>0</v>
      </c>
      <c r="BL166" s="320">
        <f t="shared" ca="1" si="185"/>
        <v>0</v>
      </c>
    </row>
    <row r="167" spans="2:64">
      <c r="B167" s="74" t="str">
        <f t="shared" si="156"/>
        <v>Продукт 16</v>
      </c>
      <c r="C167" s="75" t="str">
        <f t="shared" si="157"/>
        <v>RUB</v>
      </c>
      <c r="D167" s="320">
        <f t="shared" ref="D167:AI167" ca="1" si="186">D117*D142*D$173*LOOKUP($H92,$I$13:$I$16,OFFSET($B$263:$B$266,0,MATCH(YEAR(D$151),$C$262:$R$262)))/IF($I92=1,1.22,IF($I92=2,1.1,1))</f>
        <v>0</v>
      </c>
      <c r="E167" s="320">
        <f t="shared" ca="1" si="186"/>
        <v>0</v>
      </c>
      <c r="F167" s="320">
        <f t="shared" ca="1" si="186"/>
        <v>0</v>
      </c>
      <c r="G167" s="320">
        <f t="shared" ca="1" si="186"/>
        <v>0</v>
      </c>
      <c r="H167" s="320">
        <f t="shared" ca="1" si="186"/>
        <v>0</v>
      </c>
      <c r="I167" s="320">
        <f t="shared" ca="1" si="186"/>
        <v>0</v>
      </c>
      <c r="J167" s="320">
        <f t="shared" ca="1" si="186"/>
        <v>0</v>
      </c>
      <c r="K167" s="320">
        <f t="shared" ca="1" si="186"/>
        <v>0</v>
      </c>
      <c r="L167" s="320">
        <f t="shared" ca="1" si="186"/>
        <v>0</v>
      </c>
      <c r="M167" s="320">
        <f t="shared" ca="1" si="186"/>
        <v>0</v>
      </c>
      <c r="N167" s="320">
        <f t="shared" ca="1" si="186"/>
        <v>0</v>
      </c>
      <c r="O167" s="320">
        <f t="shared" ca="1" si="186"/>
        <v>0</v>
      </c>
      <c r="P167" s="320">
        <f t="shared" ca="1" si="186"/>
        <v>0</v>
      </c>
      <c r="Q167" s="320">
        <f t="shared" ca="1" si="186"/>
        <v>0</v>
      </c>
      <c r="R167" s="320">
        <f t="shared" ca="1" si="186"/>
        <v>0</v>
      </c>
      <c r="S167" s="320">
        <f t="shared" ca="1" si="186"/>
        <v>0</v>
      </c>
      <c r="T167" s="320">
        <f t="shared" ca="1" si="186"/>
        <v>0</v>
      </c>
      <c r="U167" s="320">
        <f t="shared" ca="1" si="186"/>
        <v>0</v>
      </c>
      <c r="V167" s="320">
        <f t="shared" ca="1" si="186"/>
        <v>0</v>
      </c>
      <c r="W167" s="320">
        <f t="shared" ca="1" si="186"/>
        <v>0</v>
      </c>
      <c r="X167" s="320">
        <f t="shared" ca="1" si="186"/>
        <v>0</v>
      </c>
      <c r="Y167" s="320">
        <f t="shared" ca="1" si="186"/>
        <v>0</v>
      </c>
      <c r="Z167" s="320">
        <f t="shared" ca="1" si="186"/>
        <v>0</v>
      </c>
      <c r="AA167" s="320">
        <f t="shared" ca="1" si="186"/>
        <v>0</v>
      </c>
      <c r="AB167" s="320">
        <f t="shared" ca="1" si="186"/>
        <v>0</v>
      </c>
      <c r="AC167" s="320">
        <f t="shared" ca="1" si="186"/>
        <v>0</v>
      </c>
      <c r="AD167" s="320">
        <f t="shared" ca="1" si="186"/>
        <v>0</v>
      </c>
      <c r="AE167" s="320">
        <f t="shared" ca="1" si="186"/>
        <v>0</v>
      </c>
      <c r="AF167" s="320">
        <f t="shared" ca="1" si="186"/>
        <v>0</v>
      </c>
      <c r="AG167" s="320">
        <f t="shared" ca="1" si="186"/>
        <v>0</v>
      </c>
      <c r="AH167" s="320">
        <f t="shared" ca="1" si="186"/>
        <v>0</v>
      </c>
      <c r="AI167" s="320">
        <f t="shared" ca="1" si="186"/>
        <v>0</v>
      </c>
      <c r="AJ167" s="320">
        <f t="shared" ref="AJ167:BL167" ca="1" si="187">AJ117*AJ142*AJ$173*LOOKUP($H92,$I$13:$I$16,OFFSET($B$263:$B$266,0,MATCH(YEAR(AJ$151),$C$262:$R$262)))/IF($I92=1,1.22,IF($I92=2,1.1,1))</f>
        <v>0</v>
      </c>
      <c r="AK167" s="320">
        <f t="shared" ca="1" si="187"/>
        <v>0</v>
      </c>
      <c r="AL167" s="320">
        <f t="shared" ca="1" si="187"/>
        <v>0</v>
      </c>
      <c r="AM167" s="320">
        <f t="shared" ca="1" si="187"/>
        <v>0</v>
      </c>
      <c r="AN167" s="320">
        <f t="shared" ca="1" si="187"/>
        <v>0</v>
      </c>
      <c r="AO167" s="320">
        <f t="shared" ca="1" si="187"/>
        <v>0</v>
      </c>
      <c r="AP167" s="320">
        <f t="shared" ca="1" si="187"/>
        <v>0</v>
      </c>
      <c r="AQ167" s="320">
        <f t="shared" ca="1" si="187"/>
        <v>0</v>
      </c>
      <c r="AR167" s="320">
        <f t="shared" ca="1" si="187"/>
        <v>0</v>
      </c>
      <c r="AS167" s="320">
        <f t="shared" ca="1" si="187"/>
        <v>0</v>
      </c>
      <c r="AT167" s="320">
        <f t="shared" ca="1" si="187"/>
        <v>0</v>
      </c>
      <c r="AU167" s="320">
        <f t="shared" ca="1" si="187"/>
        <v>0</v>
      </c>
      <c r="AV167" s="320">
        <f t="shared" ca="1" si="187"/>
        <v>0</v>
      </c>
      <c r="AW167" s="320">
        <f t="shared" ca="1" si="187"/>
        <v>0</v>
      </c>
      <c r="AX167" s="320">
        <f t="shared" ca="1" si="187"/>
        <v>0</v>
      </c>
      <c r="AY167" s="320">
        <f t="shared" ca="1" si="187"/>
        <v>0</v>
      </c>
      <c r="AZ167" s="320">
        <f t="shared" ca="1" si="187"/>
        <v>0</v>
      </c>
      <c r="BA167" s="320">
        <f t="shared" ca="1" si="187"/>
        <v>0</v>
      </c>
      <c r="BB167" s="320">
        <f t="shared" ca="1" si="187"/>
        <v>0</v>
      </c>
      <c r="BC167" s="320">
        <f t="shared" ca="1" si="187"/>
        <v>0</v>
      </c>
      <c r="BD167" s="320">
        <f t="shared" ca="1" si="187"/>
        <v>0</v>
      </c>
      <c r="BE167" s="320">
        <f t="shared" ca="1" si="187"/>
        <v>0</v>
      </c>
      <c r="BF167" s="320">
        <f t="shared" ca="1" si="187"/>
        <v>0</v>
      </c>
      <c r="BG167" s="320">
        <f t="shared" ca="1" si="187"/>
        <v>0</v>
      </c>
      <c r="BH167" s="320">
        <f t="shared" ca="1" si="187"/>
        <v>0</v>
      </c>
      <c r="BI167" s="320">
        <f t="shared" ca="1" si="187"/>
        <v>0</v>
      </c>
      <c r="BJ167" s="320">
        <f t="shared" ca="1" si="187"/>
        <v>0</v>
      </c>
      <c r="BK167" s="320">
        <f t="shared" ca="1" si="187"/>
        <v>0</v>
      </c>
      <c r="BL167" s="320">
        <f t="shared" ca="1" si="187"/>
        <v>0</v>
      </c>
    </row>
    <row r="168" spans="2:64">
      <c r="B168" s="74" t="str">
        <f t="shared" si="156"/>
        <v>Продукт 17</v>
      </c>
      <c r="C168" s="75" t="str">
        <f t="shared" si="157"/>
        <v>RUB</v>
      </c>
      <c r="D168" s="320">
        <f t="shared" ref="D168:AI168" ca="1" si="188">D118*D143*D$173*LOOKUP($H93,$I$13:$I$16,OFFSET($B$263:$B$266,0,MATCH(YEAR(D$151),$C$262:$R$262)))/IF($I93=1,1.22,IF($I93=2,1.1,1))</f>
        <v>0</v>
      </c>
      <c r="E168" s="320">
        <f t="shared" ca="1" si="188"/>
        <v>0</v>
      </c>
      <c r="F168" s="320">
        <f t="shared" ca="1" si="188"/>
        <v>0</v>
      </c>
      <c r="G168" s="320">
        <f t="shared" ca="1" si="188"/>
        <v>0</v>
      </c>
      <c r="H168" s="320">
        <f t="shared" ca="1" si="188"/>
        <v>0</v>
      </c>
      <c r="I168" s="320">
        <f t="shared" ca="1" si="188"/>
        <v>0</v>
      </c>
      <c r="J168" s="320">
        <f t="shared" ca="1" si="188"/>
        <v>0</v>
      </c>
      <c r="K168" s="320">
        <f t="shared" ca="1" si="188"/>
        <v>0</v>
      </c>
      <c r="L168" s="320">
        <f t="shared" ca="1" si="188"/>
        <v>0</v>
      </c>
      <c r="M168" s="320">
        <f t="shared" ca="1" si="188"/>
        <v>0</v>
      </c>
      <c r="N168" s="320">
        <f t="shared" ca="1" si="188"/>
        <v>0</v>
      </c>
      <c r="O168" s="320">
        <f t="shared" ca="1" si="188"/>
        <v>0</v>
      </c>
      <c r="P168" s="320">
        <f t="shared" ca="1" si="188"/>
        <v>0</v>
      </c>
      <c r="Q168" s="320">
        <f t="shared" ca="1" si="188"/>
        <v>0</v>
      </c>
      <c r="R168" s="320">
        <f t="shared" ca="1" si="188"/>
        <v>0</v>
      </c>
      <c r="S168" s="320">
        <f t="shared" ca="1" si="188"/>
        <v>0</v>
      </c>
      <c r="T168" s="320">
        <f t="shared" ca="1" si="188"/>
        <v>0</v>
      </c>
      <c r="U168" s="320">
        <f t="shared" ca="1" si="188"/>
        <v>0</v>
      </c>
      <c r="V168" s="320">
        <f t="shared" ca="1" si="188"/>
        <v>0</v>
      </c>
      <c r="W168" s="320">
        <f t="shared" ca="1" si="188"/>
        <v>0</v>
      </c>
      <c r="X168" s="320">
        <f t="shared" ca="1" si="188"/>
        <v>0</v>
      </c>
      <c r="Y168" s="320">
        <f t="shared" ca="1" si="188"/>
        <v>0</v>
      </c>
      <c r="Z168" s="320">
        <f t="shared" ca="1" si="188"/>
        <v>0</v>
      </c>
      <c r="AA168" s="320">
        <f t="shared" ca="1" si="188"/>
        <v>0</v>
      </c>
      <c r="AB168" s="320">
        <f t="shared" ca="1" si="188"/>
        <v>0</v>
      </c>
      <c r="AC168" s="320">
        <f t="shared" ca="1" si="188"/>
        <v>0</v>
      </c>
      <c r="AD168" s="320">
        <f t="shared" ca="1" si="188"/>
        <v>0</v>
      </c>
      <c r="AE168" s="320">
        <f t="shared" ca="1" si="188"/>
        <v>0</v>
      </c>
      <c r="AF168" s="320">
        <f t="shared" ca="1" si="188"/>
        <v>0</v>
      </c>
      <c r="AG168" s="320">
        <f t="shared" ca="1" si="188"/>
        <v>0</v>
      </c>
      <c r="AH168" s="320">
        <f t="shared" ca="1" si="188"/>
        <v>0</v>
      </c>
      <c r="AI168" s="320">
        <f t="shared" ca="1" si="188"/>
        <v>0</v>
      </c>
      <c r="AJ168" s="320">
        <f t="shared" ref="AJ168:BL168" ca="1" si="189">AJ118*AJ143*AJ$173*LOOKUP($H93,$I$13:$I$16,OFFSET($B$263:$B$266,0,MATCH(YEAR(AJ$151),$C$262:$R$262)))/IF($I93=1,1.22,IF($I93=2,1.1,1))</f>
        <v>0</v>
      </c>
      <c r="AK168" s="320">
        <f t="shared" ca="1" si="189"/>
        <v>0</v>
      </c>
      <c r="AL168" s="320">
        <f t="shared" ca="1" si="189"/>
        <v>0</v>
      </c>
      <c r="AM168" s="320">
        <f t="shared" ca="1" si="189"/>
        <v>0</v>
      </c>
      <c r="AN168" s="320">
        <f t="shared" ca="1" si="189"/>
        <v>0</v>
      </c>
      <c r="AO168" s="320">
        <f t="shared" ca="1" si="189"/>
        <v>0</v>
      </c>
      <c r="AP168" s="320">
        <f t="shared" ca="1" si="189"/>
        <v>0</v>
      </c>
      <c r="AQ168" s="320">
        <f t="shared" ca="1" si="189"/>
        <v>0</v>
      </c>
      <c r="AR168" s="320">
        <f t="shared" ca="1" si="189"/>
        <v>0</v>
      </c>
      <c r="AS168" s="320">
        <f t="shared" ca="1" si="189"/>
        <v>0</v>
      </c>
      <c r="AT168" s="320">
        <f t="shared" ca="1" si="189"/>
        <v>0</v>
      </c>
      <c r="AU168" s="320">
        <f t="shared" ca="1" si="189"/>
        <v>0</v>
      </c>
      <c r="AV168" s="320">
        <f t="shared" ca="1" si="189"/>
        <v>0</v>
      </c>
      <c r="AW168" s="320">
        <f t="shared" ca="1" si="189"/>
        <v>0</v>
      </c>
      <c r="AX168" s="320">
        <f t="shared" ca="1" si="189"/>
        <v>0</v>
      </c>
      <c r="AY168" s="320">
        <f t="shared" ca="1" si="189"/>
        <v>0</v>
      </c>
      <c r="AZ168" s="320">
        <f t="shared" ca="1" si="189"/>
        <v>0</v>
      </c>
      <c r="BA168" s="320">
        <f t="shared" ca="1" si="189"/>
        <v>0</v>
      </c>
      <c r="BB168" s="320">
        <f t="shared" ca="1" si="189"/>
        <v>0</v>
      </c>
      <c r="BC168" s="320">
        <f t="shared" ca="1" si="189"/>
        <v>0</v>
      </c>
      <c r="BD168" s="320">
        <f t="shared" ca="1" si="189"/>
        <v>0</v>
      </c>
      <c r="BE168" s="320">
        <f t="shared" ca="1" si="189"/>
        <v>0</v>
      </c>
      <c r="BF168" s="320">
        <f t="shared" ca="1" si="189"/>
        <v>0</v>
      </c>
      <c r="BG168" s="320">
        <f t="shared" ca="1" si="189"/>
        <v>0</v>
      </c>
      <c r="BH168" s="320">
        <f t="shared" ca="1" si="189"/>
        <v>0</v>
      </c>
      <c r="BI168" s="320">
        <f t="shared" ca="1" si="189"/>
        <v>0</v>
      </c>
      <c r="BJ168" s="320">
        <f t="shared" ca="1" si="189"/>
        <v>0</v>
      </c>
      <c r="BK168" s="320">
        <f t="shared" ca="1" si="189"/>
        <v>0</v>
      </c>
      <c r="BL168" s="320">
        <f t="shared" ca="1" si="189"/>
        <v>0</v>
      </c>
    </row>
    <row r="169" spans="2:64" ht="15" customHeight="1">
      <c r="B169" s="74" t="str">
        <f t="shared" si="156"/>
        <v>Продукт 18</v>
      </c>
      <c r="C169" s="75" t="str">
        <f t="shared" si="157"/>
        <v>RUB</v>
      </c>
      <c r="D169" s="320">
        <f t="shared" ref="D169:AI169" ca="1" si="190">D119*D144*D$173*LOOKUP($H94,$I$13:$I$16,OFFSET($B$263:$B$266,0,MATCH(YEAR(D$151),$C$262:$R$262)))/IF($I94=1,1.22,IF($I94=2,1.1,1))</f>
        <v>0</v>
      </c>
      <c r="E169" s="320">
        <f t="shared" ca="1" si="190"/>
        <v>0</v>
      </c>
      <c r="F169" s="320">
        <f t="shared" ca="1" si="190"/>
        <v>0</v>
      </c>
      <c r="G169" s="320">
        <f t="shared" ca="1" si="190"/>
        <v>0</v>
      </c>
      <c r="H169" s="320">
        <f t="shared" ca="1" si="190"/>
        <v>0</v>
      </c>
      <c r="I169" s="320">
        <f t="shared" ca="1" si="190"/>
        <v>0</v>
      </c>
      <c r="J169" s="320">
        <f t="shared" ca="1" si="190"/>
        <v>0</v>
      </c>
      <c r="K169" s="320">
        <f t="shared" ca="1" si="190"/>
        <v>0</v>
      </c>
      <c r="L169" s="320">
        <f t="shared" ca="1" si="190"/>
        <v>0</v>
      </c>
      <c r="M169" s="320">
        <f t="shared" ca="1" si="190"/>
        <v>0</v>
      </c>
      <c r="N169" s="320">
        <f t="shared" ca="1" si="190"/>
        <v>0</v>
      </c>
      <c r="O169" s="320">
        <f t="shared" ca="1" si="190"/>
        <v>0</v>
      </c>
      <c r="P169" s="320">
        <f t="shared" ca="1" si="190"/>
        <v>0</v>
      </c>
      <c r="Q169" s="320">
        <f t="shared" ca="1" si="190"/>
        <v>0</v>
      </c>
      <c r="R169" s="320">
        <f t="shared" ca="1" si="190"/>
        <v>0</v>
      </c>
      <c r="S169" s="320">
        <f t="shared" ca="1" si="190"/>
        <v>0</v>
      </c>
      <c r="T169" s="320">
        <f t="shared" ca="1" si="190"/>
        <v>0</v>
      </c>
      <c r="U169" s="320">
        <f t="shared" ca="1" si="190"/>
        <v>0</v>
      </c>
      <c r="V169" s="320">
        <f t="shared" ca="1" si="190"/>
        <v>0</v>
      </c>
      <c r="W169" s="320">
        <f t="shared" ca="1" si="190"/>
        <v>0</v>
      </c>
      <c r="X169" s="320">
        <f t="shared" ca="1" si="190"/>
        <v>0</v>
      </c>
      <c r="Y169" s="320">
        <f t="shared" ca="1" si="190"/>
        <v>0</v>
      </c>
      <c r="Z169" s="320">
        <f t="shared" ca="1" si="190"/>
        <v>0</v>
      </c>
      <c r="AA169" s="320">
        <f t="shared" ca="1" si="190"/>
        <v>0</v>
      </c>
      <c r="AB169" s="320">
        <f t="shared" ca="1" si="190"/>
        <v>0</v>
      </c>
      <c r="AC169" s="320">
        <f t="shared" ca="1" si="190"/>
        <v>0</v>
      </c>
      <c r="AD169" s="320">
        <f t="shared" ca="1" si="190"/>
        <v>0</v>
      </c>
      <c r="AE169" s="320">
        <f t="shared" ca="1" si="190"/>
        <v>0</v>
      </c>
      <c r="AF169" s="320">
        <f t="shared" ca="1" si="190"/>
        <v>0</v>
      </c>
      <c r="AG169" s="320">
        <f t="shared" ca="1" si="190"/>
        <v>0</v>
      </c>
      <c r="AH169" s="320">
        <f t="shared" ca="1" si="190"/>
        <v>0</v>
      </c>
      <c r="AI169" s="320">
        <f t="shared" ca="1" si="190"/>
        <v>0</v>
      </c>
      <c r="AJ169" s="320">
        <f t="shared" ref="AJ169:BL169" ca="1" si="191">AJ119*AJ144*AJ$173*LOOKUP($H94,$I$13:$I$16,OFFSET($B$263:$B$266,0,MATCH(YEAR(AJ$151),$C$262:$R$262)))/IF($I94=1,1.22,IF($I94=2,1.1,1))</f>
        <v>0</v>
      </c>
      <c r="AK169" s="320">
        <f t="shared" ca="1" si="191"/>
        <v>0</v>
      </c>
      <c r="AL169" s="320">
        <f t="shared" ca="1" si="191"/>
        <v>0</v>
      </c>
      <c r="AM169" s="320">
        <f t="shared" ca="1" si="191"/>
        <v>0</v>
      </c>
      <c r="AN169" s="320">
        <f t="shared" ca="1" si="191"/>
        <v>0</v>
      </c>
      <c r="AO169" s="320">
        <f t="shared" ca="1" si="191"/>
        <v>0</v>
      </c>
      <c r="AP169" s="320">
        <f t="shared" ca="1" si="191"/>
        <v>0</v>
      </c>
      <c r="AQ169" s="320">
        <f t="shared" ca="1" si="191"/>
        <v>0</v>
      </c>
      <c r="AR169" s="320">
        <f t="shared" ca="1" si="191"/>
        <v>0</v>
      </c>
      <c r="AS169" s="320">
        <f t="shared" ca="1" si="191"/>
        <v>0</v>
      </c>
      <c r="AT169" s="320">
        <f t="shared" ca="1" si="191"/>
        <v>0</v>
      </c>
      <c r="AU169" s="320">
        <f t="shared" ca="1" si="191"/>
        <v>0</v>
      </c>
      <c r="AV169" s="320">
        <f t="shared" ca="1" si="191"/>
        <v>0</v>
      </c>
      <c r="AW169" s="320">
        <f t="shared" ca="1" si="191"/>
        <v>0</v>
      </c>
      <c r="AX169" s="320">
        <f t="shared" ca="1" si="191"/>
        <v>0</v>
      </c>
      <c r="AY169" s="320">
        <f t="shared" ca="1" si="191"/>
        <v>0</v>
      </c>
      <c r="AZ169" s="320">
        <f t="shared" ca="1" si="191"/>
        <v>0</v>
      </c>
      <c r="BA169" s="320">
        <f t="shared" ca="1" si="191"/>
        <v>0</v>
      </c>
      <c r="BB169" s="320">
        <f t="shared" ca="1" si="191"/>
        <v>0</v>
      </c>
      <c r="BC169" s="320">
        <f t="shared" ca="1" si="191"/>
        <v>0</v>
      </c>
      <c r="BD169" s="320">
        <f t="shared" ca="1" si="191"/>
        <v>0</v>
      </c>
      <c r="BE169" s="320">
        <f t="shared" ca="1" si="191"/>
        <v>0</v>
      </c>
      <c r="BF169" s="320">
        <f t="shared" ca="1" si="191"/>
        <v>0</v>
      </c>
      <c r="BG169" s="320">
        <f t="shared" ca="1" si="191"/>
        <v>0</v>
      </c>
      <c r="BH169" s="320">
        <f t="shared" ca="1" si="191"/>
        <v>0</v>
      </c>
      <c r="BI169" s="320">
        <f t="shared" ca="1" si="191"/>
        <v>0</v>
      </c>
      <c r="BJ169" s="320">
        <f t="shared" ca="1" si="191"/>
        <v>0</v>
      </c>
      <c r="BK169" s="320">
        <f t="shared" ca="1" si="191"/>
        <v>0</v>
      </c>
      <c r="BL169" s="320">
        <f t="shared" ca="1" si="191"/>
        <v>0</v>
      </c>
    </row>
    <row r="170" spans="2:64" ht="15" customHeight="1">
      <c r="B170" s="74" t="str">
        <f t="shared" si="156"/>
        <v>Продукт 19</v>
      </c>
      <c r="C170" s="75" t="str">
        <f t="shared" si="157"/>
        <v>RUB</v>
      </c>
      <c r="D170" s="320">
        <f t="shared" ref="D170:AI170" ca="1" si="192">D120*D145*D$173*LOOKUP($H95,$I$13:$I$16,OFFSET($B$263:$B$266,0,MATCH(YEAR(D$151),$C$262:$R$262)))/IF($I95=1,1.22,IF($I95=2,1.1,1))</f>
        <v>0</v>
      </c>
      <c r="E170" s="320">
        <f t="shared" ca="1" si="192"/>
        <v>0</v>
      </c>
      <c r="F170" s="320">
        <f t="shared" ca="1" si="192"/>
        <v>0</v>
      </c>
      <c r="G170" s="320">
        <f t="shared" ca="1" si="192"/>
        <v>0</v>
      </c>
      <c r="H170" s="320">
        <f t="shared" ca="1" si="192"/>
        <v>0</v>
      </c>
      <c r="I170" s="320">
        <f t="shared" ca="1" si="192"/>
        <v>0</v>
      </c>
      <c r="J170" s="320">
        <f t="shared" ca="1" si="192"/>
        <v>0</v>
      </c>
      <c r="K170" s="320">
        <f t="shared" ca="1" si="192"/>
        <v>0</v>
      </c>
      <c r="L170" s="320">
        <f t="shared" ca="1" si="192"/>
        <v>0</v>
      </c>
      <c r="M170" s="320">
        <f t="shared" ca="1" si="192"/>
        <v>0</v>
      </c>
      <c r="N170" s="320">
        <f t="shared" ca="1" si="192"/>
        <v>0</v>
      </c>
      <c r="O170" s="320">
        <f t="shared" ca="1" si="192"/>
        <v>0</v>
      </c>
      <c r="P170" s="320">
        <f t="shared" ca="1" si="192"/>
        <v>0</v>
      </c>
      <c r="Q170" s="320">
        <f t="shared" ca="1" si="192"/>
        <v>0</v>
      </c>
      <c r="R170" s="320">
        <f t="shared" ca="1" si="192"/>
        <v>0</v>
      </c>
      <c r="S170" s="320">
        <f t="shared" ca="1" si="192"/>
        <v>0</v>
      </c>
      <c r="T170" s="320">
        <f t="shared" ca="1" si="192"/>
        <v>0</v>
      </c>
      <c r="U170" s="320">
        <f t="shared" ca="1" si="192"/>
        <v>0</v>
      </c>
      <c r="V170" s="320">
        <f t="shared" ca="1" si="192"/>
        <v>0</v>
      </c>
      <c r="W170" s="320">
        <f t="shared" ca="1" si="192"/>
        <v>0</v>
      </c>
      <c r="X170" s="320">
        <f t="shared" ca="1" si="192"/>
        <v>0</v>
      </c>
      <c r="Y170" s="320">
        <f t="shared" ca="1" si="192"/>
        <v>0</v>
      </c>
      <c r="Z170" s="320">
        <f t="shared" ca="1" si="192"/>
        <v>0</v>
      </c>
      <c r="AA170" s="320">
        <f t="shared" ca="1" si="192"/>
        <v>0</v>
      </c>
      <c r="AB170" s="320">
        <f t="shared" ca="1" si="192"/>
        <v>0</v>
      </c>
      <c r="AC170" s="320">
        <f t="shared" ca="1" si="192"/>
        <v>0</v>
      </c>
      <c r="AD170" s="320">
        <f t="shared" ca="1" si="192"/>
        <v>0</v>
      </c>
      <c r="AE170" s="320">
        <f t="shared" ca="1" si="192"/>
        <v>0</v>
      </c>
      <c r="AF170" s="320">
        <f t="shared" ca="1" si="192"/>
        <v>0</v>
      </c>
      <c r="AG170" s="320">
        <f t="shared" ca="1" si="192"/>
        <v>0</v>
      </c>
      <c r="AH170" s="320">
        <f t="shared" ca="1" si="192"/>
        <v>0</v>
      </c>
      <c r="AI170" s="320">
        <f t="shared" ca="1" si="192"/>
        <v>0</v>
      </c>
      <c r="AJ170" s="320">
        <f t="shared" ref="AJ170:BL170" ca="1" si="193">AJ120*AJ145*AJ$173*LOOKUP($H95,$I$13:$I$16,OFFSET($B$263:$B$266,0,MATCH(YEAR(AJ$151),$C$262:$R$262)))/IF($I95=1,1.22,IF($I95=2,1.1,1))</f>
        <v>0</v>
      </c>
      <c r="AK170" s="320">
        <f t="shared" ca="1" si="193"/>
        <v>0</v>
      </c>
      <c r="AL170" s="320">
        <f t="shared" ca="1" si="193"/>
        <v>0</v>
      </c>
      <c r="AM170" s="320">
        <f t="shared" ca="1" si="193"/>
        <v>0</v>
      </c>
      <c r="AN170" s="320">
        <f t="shared" ca="1" si="193"/>
        <v>0</v>
      </c>
      <c r="AO170" s="320">
        <f t="shared" ca="1" si="193"/>
        <v>0</v>
      </c>
      <c r="AP170" s="320">
        <f t="shared" ca="1" si="193"/>
        <v>0</v>
      </c>
      <c r="AQ170" s="320">
        <f t="shared" ca="1" si="193"/>
        <v>0</v>
      </c>
      <c r="AR170" s="320">
        <f t="shared" ca="1" si="193"/>
        <v>0</v>
      </c>
      <c r="AS170" s="320">
        <f t="shared" ca="1" si="193"/>
        <v>0</v>
      </c>
      <c r="AT170" s="320">
        <f t="shared" ca="1" si="193"/>
        <v>0</v>
      </c>
      <c r="AU170" s="320">
        <f t="shared" ca="1" si="193"/>
        <v>0</v>
      </c>
      <c r="AV170" s="320">
        <f t="shared" ca="1" si="193"/>
        <v>0</v>
      </c>
      <c r="AW170" s="320">
        <f t="shared" ca="1" si="193"/>
        <v>0</v>
      </c>
      <c r="AX170" s="320">
        <f t="shared" ca="1" si="193"/>
        <v>0</v>
      </c>
      <c r="AY170" s="320">
        <f t="shared" ca="1" si="193"/>
        <v>0</v>
      </c>
      <c r="AZ170" s="320">
        <f t="shared" ca="1" si="193"/>
        <v>0</v>
      </c>
      <c r="BA170" s="320">
        <f t="shared" ca="1" si="193"/>
        <v>0</v>
      </c>
      <c r="BB170" s="320">
        <f t="shared" ca="1" si="193"/>
        <v>0</v>
      </c>
      <c r="BC170" s="320">
        <f t="shared" ca="1" si="193"/>
        <v>0</v>
      </c>
      <c r="BD170" s="320">
        <f t="shared" ca="1" si="193"/>
        <v>0</v>
      </c>
      <c r="BE170" s="320">
        <f t="shared" ca="1" si="193"/>
        <v>0</v>
      </c>
      <c r="BF170" s="320">
        <f t="shared" ca="1" si="193"/>
        <v>0</v>
      </c>
      <c r="BG170" s="320">
        <f t="shared" ca="1" si="193"/>
        <v>0</v>
      </c>
      <c r="BH170" s="320">
        <f t="shared" ca="1" si="193"/>
        <v>0</v>
      </c>
      <c r="BI170" s="320">
        <f t="shared" ca="1" si="193"/>
        <v>0</v>
      </c>
      <c r="BJ170" s="320">
        <f t="shared" ca="1" si="193"/>
        <v>0</v>
      </c>
      <c r="BK170" s="320">
        <f t="shared" ca="1" si="193"/>
        <v>0</v>
      </c>
      <c r="BL170" s="320">
        <f t="shared" ca="1" si="193"/>
        <v>0</v>
      </c>
    </row>
    <row r="171" spans="2:64" ht="15" customHeight="1">
      <c r="B171" s="74" t="str">
        <f t="shared" si="156"/>
        <v>Продукт 20</v>
      </c>
      <c r="C171" s="75" t="str">
        <f t="shared" si="157"/>
        <v>RUB</v>
      </c>
      <c r="D171" s="320">
        <f t="shared" ref="D171:AI171" ca="1" si="194">D121*D146*D$173*LOOKUP($H96,$I$13:$I$16,OFFSET($B$263:$B$266,0,MATCH(YEAR(D$151),$C$262:$R$262)))/IF($I96=1,1.22,IF($I96=2,1.1,1))</f>
        <v>0</v>
      </c>
      <c r="E171" s="320">
        <f t="shared" ca="1" si="194"/>
        <v>0</v>
      </c>
      <c r="F171" s="320">
        <f t="shared" ca="1" si="194"/>
        <v>0</v>
      </c>
      <c r="G171" s="320">
        <f t="shared" ca="1" si="194"/>
        <v>0</v>
      </c>
      <c r="H171" s="320">
        <f t="shared" ca="1" si="194"/>
        <v>0</v>
      </c>
      <c r="I171" s="320">
        <f t="shared" ca="1" si="194"/>
        <v>0</v>
      </c>
      <c r="J171" s="320">
        <f t="shared" ca="1" si="194"/>
        <v>0</v>
      </c>
      <c r="K171" s="320">
        <f t="shared" ca="1" si="194"/>
        <v>0</v>
      </c>
      <c r="L171" s="320">
        <f t="shared" ca="1" si="194"/>
        <v>0</v>
      </c>
      <c r="M171" s="320">
        <f t="shared" ca="1" si="194"/>
        <v>0</v>
      </c>
      <c r="N171" s="320">
        <f t="shared" ca="1" si="194"/>
        <v>0</v>
      </c>
      <c r="O171" s="320">
        <f t="shared" ca="1" si="194"/>
        <v>0</v>
      </c>
      <c r="P171" s="320">
        <f t="shared" ca="1" si="194"/>
        <v>0</v>
      </c>
      <c r="Q171" s="320">
        <f t="shared" ca="1" si="194"/>
        <v>0</v>
      </c>
      <c r="R171" s="320">
        <f t="shared" ca="1" si="194"/>
        <v>0</v>
      </c>
      <c r="S171" s="320">
        <f t="shared" ca="1" si="194"/>
        <v>0</v>
      </c>
      <c r="T171" s="320">
        <f t="shared" ca="1" si="194"/>
        <v>0</v>
      </c>
      <c r="U171" s="320">
        <f t="shared" ca="1" si="194"/>
        <v>0</v>
      </c>
      <c r="V171" s="320">
        <f t="shared" ca="1" si="194"/>
        <v>0</v>
      </c>
      <c r="W171" s="320">
        <f t="shared" ca="1" si="194"/>
        <v>0</v>
      </c>
      <c r="X171" s="320">
        <f t="shared" ca="1" si="194"/>
        <v>0</v>
      </c>
      <c r="Y171" s="320">
        <f t="shared" ca="1" si="194"/>
        <v>0</v>
      </c>
      <c r="Z171" s="320">
        <f t="shared" ca="1" si="194"/>
        <v>0</v>
      </c>
      <c r="AA171" s="320">
        <f t="shared" ca="1" si="194"/>
        <v>0</v>
      </c>
      <c r="AB171" s="320">
        <f t="shared" ca="1" si="194"/>
        <v>0</v>
      </c>
      <c r="AC171" s="320">
        <f t="shared" ca="1" si="194"/>
        <v>0</v>
      </c>
      <c r="AD171" s="320">
        <f t="shared" ca="1" si="194"/>
        <v>0</v>
      </c>
      <c r="AE171" s="320">
        <f t="shared" ca="1" si="194"/>
        <v>0</v>
      </c>
      <c r="AF171" s="320">
        <f t="shared" ca="1" si="194"/>
        <v>0</v>
      </c>
      <c r="AG171" s="320">
        <f t="shared" ca="1" si="194"/>
        <v>0</v>
      </c>
      <c r="AH171" s="320">
        <f t="shared" ca="1" si="194"/>
        <v>0</v>
      </c>
      <c r="AI171" s="320">
        <f t="shared" ca="1" si="194"/>
        <v>0</v>
      </c>
      <c r="AJ171" s="320">
        <f t="shared" ref="AJ171:BL171" ca="1" si="195">AJ121*AJ146*AJ$173*LOOKUP($H96,$I$13:$I$16,OFFSET($B$263:$B$266,0,MATCH(YEAR(AJ$151),$C$262:$R$262)))/IF($I96=1,1.22,IF($I96=2,1.1,1))</f>
        <v>0</v>
      </c>
      <c r="AK171" s="320">
        <f t="shared" ca="1" si="195"/>
        <v>0</v>
      </c>
      <c r="AL171" s="320">
        <f t="shared" ca="1" si="195"/>
        <v>0</v>
      </c>
      <c r="AM171" s="320">
        <f t="shared" ca="1" si="195"/>
        <v>0</v>
      </c>
      <c r="AN171" s="320">
        <f t="shared" ca="1" si="195"/>
        <v>0</v>
      </c>
      <c r="AO171" s="320">
        <f t="shared" ca="1" si="195"/>
        <v>0</v>
      </c>
      <c r="AP171" s="320">
        <f t="shared" ca="1" si="195"/>
        <v>0</v>
      </c>
      <c r="AQ171" s="320">
        <f t="shared" ca="1" si="195"/>
        <v>0</v>
      </c>
      <c r="AR171" s="320">
        <f t="shared" ca="1" si="195"/>
        <v>0</v>
      </c>
      <c r="AS171" s="320">
        <f t="shared" ca="1" si="195"/>
        <v>0</v>
      </c>
      <c r="AT171" s="320">
        <f t="shared" ca="1" si="195"/>
        <v>0</v>
      </c>
      <c r="AU171" s="320">
        <f t="shared" ca="1" si="195"/>
        <v>0</v>
      </c>
      <c r="AV171" s="320">
        <f t="shared" ca="1" si="195"/>
        <v>0</v>
      </c>
      <c r="AW171" s="320">
        <f t="shared" ca="1" si="195"/>
        <v>0</v>
      </c>
      <c r="AX171" s="320">
        <f t="shared" ca="1" si="195"/>
        <v>0</v>
      </c>
      <c r="AY171" s="320">
        <f t="shared" ca="1" si="195"/>
        <v>0</v>
      </c>
      <c r="AZ171" s="320">
        <f t="shared" ca="1" si="195"/>
        <v>0</v>
      </c>
      <c r="BA171" s="320">
        <f t="shared" ca="1" si="195"/>
        <v>0</v>
      </c>
      <c r="BB171" s="320">
        <f t="shared" ca="1" si="195"/>
        <v>0</v>
      </c>
      <c r="BC171" s="320">
        <f t="shared" ca="1" si="195"/>
        <v>0</v>
      </c>
      <c r="BD171" s="320">
        <f t="shared" ca="1" si="195"/>
        <v>0</v>
      </c>
      <c r="BE171" s="320">
        <f t="shared" ca="1" si="195"/>
        <v>0</v>
      </c>
      <c r="BF171" s="320">
        <f t="shared" ca="1" si="195"/>
        <v>0</v>
      </c>
      <c r="BG171" s="320">
        <f t="shared" ca="1" si="195"/>
        <v>0</v>
      </c>
      <c r="BH171" s="320">
        <f t="shared" ca="1" si="195"/>
        <v>0</v>
      </c>
      <c r="BI171" s="320">
        <f t="shared" ca="1" si="195"/>
        <v>0</v>
      </c>
      <c r="BJ171" s="320">
        <f t="shared" ca="1" si="195"/>
        <v>0</v>
      </c>
      <c r="BK171" s="320">
        <f t="shared" ca="1" si="195"/>
        <v>0</v>
      </c>
      <c r="BL171" s="320">
        <f t="shared" ca="1" si="195"/>
        <v>0</v>
      </c>
    </row>
    <row r="172" spans="2:64" ht="15" customHeight="1">
      <c r="B172" s="112" t="s">
        <v>786</v>
      </c>
      <c r="C172" s="351" t="s">
        <v>100</v>
      </c>
      <c r="D172" s="353">
        <f>POWER(1+LOOKUP(YEAR(D$151),$C$268:$R$268,$C$269:$R$269),(D$151+1-D$150)/IF(MOD(YEAR(D$151),4),365,366))</f>
        <v>1.0138287530829917</v>
      </c>
      <c r="E172" s="353">
        <f t="shared" ref="E172:BL172" si="196">POWER(1+LOOKUP(YEAR(E$151),$C$268:$R$268,$C$269:$R$269),(E$151+1-E$150)/IF(MOD(YEAR(E$151),4),365,366))</f>
        <v>1.0138287530829917</v>
      </c>
      <c r="F172" s="353">
        <f t="shared" si="196"/>
        <v>1.0109125912605132</v>
      </c>
      <c r="G172" s="353">
        <f t="shared" si="196"/>
        <v>1.0110345088135473</v>
      </c>
      <c r="H172" s="353">
        <f t="shared" si="196"/>
        <v>1.0111564410700187</v>
      </c>
      <c r="I172" s="353">
        <f t="shared" si="196"/>
        <v>1.0111564410700187</v>
      </c>
      <c r="J172" s="353">
        <f t="shared" si="196"/>
        <v>1.0100406264508632</v>
      </c>
      <c r="K172" s="353">
        <f t="shared" si="196"/>
        <v>1.0100406264508632</v>
      </c>
      <c r="L172" s="353">
        <f t="shared" si="196"/>
        <v>1.0101515211719181</v>
      </c>
      <c r="M172" s="353">
        <f t="shared" si="196"/>
        <v>1.0101515211719181</v>
      </c>
      <c r="N172" s="353">
        <f t="shared" si="196"/>
        <v>1.0099570836751119</v>
      </c>
      <c r="O172" s="353">
        <f t="shared" si="196"/>
        <v>1.0100682730365564</v>
      </c>
      <c r="P172" s="353">
        <f t="shared" si="196"/>
        <v>1.0101794746391883</v>
      </c>
      <c r="Q172" s="353">
        <f t="shared" si="196"/>
        <v>1.0101794746391883</v>
      </c>
      <c r="R172" s="353">
        <f t="shared" si="196"/>
        <v>1.0099570836751119</v>
      </c>
      <c r="S172" s="353">
        <f t="shared" si="196"/>
        <v>1.0100682730365564</v>
      </c>
      <c r="T172" s="353">
        <f t="shared" si="196"/>
        <v>1.0101794746391883</v>
      </c>
      <c r="U172" s="353">
        <f t="shared" si="196"/>
        <v>1.0101794746391883</v>
      </c>
      <c r="V172" s="353">
        <f t="shared" si="196"/>
        <v>1.0099570836751119</v>
      </c>
      <c r="W172" s="353">
        <f t="shared" si="196"/>
        <v>1.0100682730365564</v>
      </c>
      <c r="X172" s="353">
        <f t="shared" si="196"/>
        <v>1.0101794746391883</v>
      </c>
      <c r="Y172" s="353">
        <f t="shared" si="196"/>
        <v>1.0101794746391883</v>
      </c>
      <c r="Z172" s="353">
        <f t="shared" si="196"/>
        <v>1.0100406264508632</v>
      </c>
      <c r="AA172" s="353">
        <f t="shared" si="196"/>
        <v>1.0100406264508632</v>
      </c>
      <c r="AB172" s="353">
        <f t="shared" si="196"/>
        <v>1.0101515211719181</v>
      </c>
      <c r="AC172" s="353">
        <f t="shared" si="196"/>
        <v>1.0101515211719181</v>
      </c>
      <c r="AD172" s="353">
        <f t="shared" si="196"/>
        <v>1.0099570836751119</v>
      </c>
      <c r="AE172" s="353">
        <f t="shared" si="196"/>
        <v>1.0100682730365564</v>
      </c>
      <c r="AF172" s="353">
        <f t="shared" si="196"/>
        <v>1.0101794746391883</v>
      </c>
      <c r="AG172" s="353">
        <f t="shared" si="196"/>
        <v>1.0101794746391883</v>
      </c>
      <c r="AH172" s="353">
        <f t="shared" si="196"/>
        <v>1.0099570836751119</v>
      </c>
      <c r="AI172" s="353">
        <f t="shared" si="196"/>
        <v>1.0100682730365564</v>
      </c>
      <c r="AJ172" s="353">
        <f t="shared" si="196"/>
        <v>1.0101794746391883</v>
      </c>
      <c r="AK172" s="353">
        <f t="shared" si="196"/>
        <v>1.0101794746391883</v>
      </c>
      <c r="AL172" s="353">
        <f t="shared" si="196"/>
        <v>1.0099570836751119</v>
      </c>
      <c r="AM172" s="353">
        <f t="shared" si="196"/>
        <v>1.0100682730365564</v>
      </c>
      <c r="AN172" s="353">
        <f t="shared" si="196"/>
        <v>1.0101794746391883</v>
      </c>
      <c r="AO172" s="353">
        <f t="shared" si="196"/>
        <v>1.0101794746391883</v>
      </c>
      <c r="AP172" s="353">
        <f t="shared" si="196"/>
        <v>1.0100406264508632</v>
      </c>
      <c r="AQ172" s="353">
        <f t="shared" si="196"/>
        <v>1.0100406264508632</v>
      </c>
      <c r="AR172" s="353">
        <f t="shared" si="196"/>
        <v>1.0101515211719181</v>
      </c>
      <c r="AS172" s="353">
        <f t="shared" si="196"/>
        <v>1.0101515211719181</v>
      </c>
      <c r="AT172" s="353">
        <f t="shared" si="196"/>
        <v>1.0099570836751119</v>
      </c>
      <c r="AU172" s="353">
        <f t="shared" si="196"/>
        <v>1.0100682730365564</v>
      </c>
      <c r="AV172" s="353">
        <f t="shared" si="196"/>
        <v>1.0101794746391883</v>
      </c>
      <c r="AW172" s="353">
        <f t="shared" si="196"/>
        <v>1.0101794746391883</v>
      </c>
      <c r="AX172" s="353">
        <f t="shared" si="196"/>
        <v>1.0099570836751119</v>
      </c>
      <c r="AY172" s="353">
        <f t="shared" si="196"/>
        <v>1.0100682730365564</v>
      </c>
      <c r="AZ172" s="353">
        <f t="shared" si="196"/>
        <v>1.0101794746391883</v>
      </c>
      <c r="BA172" s="353">
        <f t="shared" si="196"/>
        <v>1.0101794746391883</v>
      </c>
      <c r="BB172" s="353">
        <f t="shared" si="196"/>
        <v>1.0099570836751119</v>
      </c>
      <c r="BC172" s="353">
        <f t="shared" si="196"/>
        <v>1.0100682730365564</v>
      </c>
      <c r="BD172" s="353">
        <f t="shared" si="196"/>
        <v>1.0101794746391883</v>
      </c>
      <c r="BE172" s="353">
        <f t="shared" si="196"/>
        <v>1.0101794746391883</v>
      </c>
      <c r="BF172" s="353">
        <f t="shared" si="196"/>
        <v>1.0100406264508632</v>
      </c>
      <c r="BG172" s="353">
        <f t="shared" si="196"/>
        <v>1.0100406264508632</v>
      </c>
      <c r="BH172" s="353">
        <f t="shared" si="196"/>
        <v>1.0101515211719181</v>
      </c>
      <c r="BI172" s="353">
        <f t="shared" si="196"/>
        <v>1.0101515211719181</v>
      </c>
      <c r="BJ172" s="353">
        <f t="shared" si="196"/>
        <v>1.0099570836751119</v>
      </c>
      <c r="BK172" s="353">
        <f t="shared" si="196"/>
        <v>1.0100682730365564</v>
      </c>
      <c r="BL172" s="353">
        <f t="shared" si="196"/>
        <v>1.0101794746391883</v>
      </c>
    </row>
    <row r="173" spans="2:64" ht="15" customHeight="1">
      <c r="B173" s="259" t="s">
        <v>787</v>
      </c>
      <c r="C173" s="260" t="s">
        <v>100</v>
      </c>
      <c r="D173" s="352">
        <f>100%*D172</f>
        <v>1.0138287530829917</v>
      </c>
      <c r="E173" s="352">
        <f>D173*E172</f>
        <v>1.0278487405778138</v>
      </c>
      <c r="F173" s="352">
        <f t="shared" ref="F173:BL173" si="197">E173*F172</f>
        <v>1.0390652337613728</v>
      </c>
      <c r="G173" s="352">
        <f t="shared" si="197"/>
        <v>1.0505308082411633</v>
      </c>
      <c r="H173" s="352">
        <f t="shared" si="197"/>
        <v>1.0622509932955448</v>
      </c>
      <c r="I173" s="352">
        <f t="shared" si="197"/>
        <v>1.0741019339038154</v>
      </c>
      <c r="J173" s="352">
        <f t="shared" si="197"/>
        <v>1.0848865901922933</v>
      </c>
      <c r="K173" s="352">
        <f t="shared" si="197"/>
        <v>1.0957795311859648</v>
      </c>
      <c r="L173" s="352">
        <f t="shared" si="197"/>
        <v>1.1069033602965537</v>
      </c>
      <c r="M173" s="352">
        <f t="shared" si="197"/>
        <v>1.1181401131938715</v>
      </c>
      <c r="N173" s="352">
        <f t="shared" si="197"/>
        <v>1.1292735278614421</v>
      </c>
      <c r="O173" s="352">
        <f t="shared" si="197"/>
        <v>1.1406433620729064</v>
      </c>
      <c r="P173" s="352">
        <f t="shared" si="197"/>
        <v>1.1522545122494861</v>
      </c>
      <c r="Q173" s="352">
        <f t="shared" si="197"/>
        <v>1.1639838578348201</v>
      </c>
      <c r="R173" s="352">
        <f t="shared" si="197"/>
        <v>1.1755737425037609</v>
      </c>
      <c r="S173" s="352">
        <f t="shared" si="197"/>
        <v>1.1874097399178953</v>
      </c>
      <c r="T173" s="352">
        <f t="shared" si="197"/>
        <v>1.1994969472517147</v>
      </c>
      <c r="U173" s="352">
        <f t="shared" si="197"/>
        <v>1.2117071960060475</v>
      </c>
      <c r="V173" s="352">
        <f t="shared" si="197"/>
        <v>1.223772265946415</v>
      </c>
      <c r="W173" s="352">
        <f t="shared" si="197"/>
        <v>1.2360935392545289</v>
      </c>
      <c r="X173" s="352">
        <f t="shared" si="197"/>
        <v>1.2486763220890349</v>
      </c>
      <c r="Y173" s="352">
        <f t="shared" si="197"/>
        <v>1.2613871910422951</v>
      </c>
      <c r="Z173" s="352">
        <f t="shared" si="197"/>
        <v>1.2740523086374544</v>
      </c>
      <c r="AA173" s="352">
        <f t="shared" si="197"/>
        <v>1.286844591947343</v>
      </c>
      <c r="AB173" s="352">
        <f t="shared" si="197"/>
        <v>1.2999080220674648</v>
      </c>
      <c r="AC173" s="352">
        <f t="shared" si="197"/>
        <v>1.3131040658750288</v>
      </c>
      <c r="AD173" s="352">
        <f t="shared" si="197"/>
        <v>1.3261787529330762</v>
      </c>
      <c r="AE173" s="352">
        <f t="shared" si="197"/>
        <v>1.3395310827128863</v>
      </c>
      <c r="AF173" s="352">
        <f t="shared" si="197"/>
        <v>1.3531668053977666</v>
      </c>
      <c r="AG173" s="352">
        <f t="shared" si="197"/>
        <v>1.3669413325759046</v>
      </c>
      <c r="AH173" s="352">
        <f t="shared" si="197"/>
        <v>1.3805520818033319</v>
      </c>
      <c r="AI173" s="352">
        <f t="shared" si="197"/>
        <v>1.3944518571041142</v>
      </c>
      <c r="AJ173" s="352">
        <f t="shared" si="197"/>
        <v>1.4086466444190746</v>
      </c>
      <c r="AK173" s="352">
        <f t="shared" si="197"/>
        <v>1.4229859272115164</v>
      </c>
      <c r="AL173" s="352">
        <f t="shared" si="197"/>
        <v>1.4371547171572683</v>
      </c>
      <c r="AM173" s="352">
        <f t="shared" si="197"/>
        <v>1.4516243832453828</v>
      </c>
      <c r="AN173" s="352">
        <f t="shared" si="197"/>
        <v>1.4664011568402566</v>
      </c>
      <c r="AO173" s="352">
        <f t="shared" si="197"/>
        <v>1.4813283502271886</v>
      </c>
      <c r="AP173" s="352">
        <f t="shared" si="197"/>
        <v>1.4962018148428933</v>
      </c>
      <c r="AQ173" s="352">
        <f t="shared" si="197"/>
        <v>1.5112246183608344</v>
      </c>
      <c r="AR173" s="352">
        <f t="shared" si="197"/>
        <v>1.5265658470696484</v>
      </c>
      <c r="AS173" s="352">
        <f t="shared" si="197"/>
        <v>1.542062812586503</v>
      </c>
      <c r="AT173" s="352">
        <f t="shared" si="197"/>
        <v>1.5574172610437054</v>
      </c>
      <c r="AU173" s="352">
        <f t="shared" si="197"/>
        <v>1.5730977632597394</v>
      </c>
      <c r="AV173" s="352">
        <f t="shared" si="197"/>
        <v>1.5891110720458057</v>
      </c>
      <c r="AW173" s="352">
        <f t="shared" si="197"/>
        <v>1.6052873879025493</v>
      </c>
      <c r="AX173" s="352">
        <f t="shared" si="197"/>
        <v>1.6212713687464968</v>
      </c>
      <c r="AY173" s="352">
        <f t="shared" si="197"/>
        <v>1.6375947715533881</v>
      </c>
      <c r="AZ173" s="352">
        <f t="shared" si="197"/>
        <v>1.6542646259996832</v>
      </c>
      <c r="BA173" s="352">
        <f t="shared" si="197"/>
        <v>1.6711041708065533</v>
      </c>
      <c r="BB173" s="352">
        <f t="shared" si="197"/>
        <v>1.6877434948651027</v>
      </c>
      <c r="BC173" s="352">
        <f t="shared" si="197"/>
        <v>1.7047361571870765</v>
      </c>
      <c r="BD173" s="352">
        <f t="shared" si="197"/>
        <v>1.7220894756656697</v>
      </c>
      <c r="BE173" s="352">
        <f t="shared" si="197"/>
        <v>1.7396194418096216</v>
      </c>
      <c r="BF173" s="352">
        <f t="shared" si="197"/>
        <v>1.7570863107914911</v>
      </c>
      <c r="BG173" s="352">
        <f t="shared" si="197"/>
        <v>1.7747285580800738</v>
      </c>
      <c r="BH173" s="352">
        <f t="shared" si="197"/>
        <v>1.7927447526118314</v>
      </c>
      <c r="BI173" s="352">
        <f t="shared" si="197"/>
        <v>1.8109438389238155</v>
      </c>
      <c r="BJ173" s="352">
        <f t="shared" si="197"/>
        <v>1.8289755582589085</v>
      </c>
      <c r="BK173" s="352">
        <f t="shared" si="197"/>
        <v>1.8473901835566473</v>
      </c>
      <c r="BL173" s="352">
        <f t="shared" si="197"/>
        <v>1.8661956450788477</v>
      </c>
    </row>
    <row r="174" spans="2:64"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  <c r="AC174" s="5"/>
      <c r="AD174" s="5"/>
      <c r="AE174" s="5"/>
    </row>
    <row r="175" spans="2:64" ht="15.75">
      <c r="B175" s="22" t="s">
        <v>406</v>
      </c>
      <c r="C175" s="18"/>
      <c r="D175" s="18"/>
      <c r="E175" s="18"/>
      <c r="F175" s="18"/>
      <c r="G175" s="18"/>
      <c r="H175" s="18"/>
      <c r="I175" s="18"/>
      <c r="J175" s="18"/>
      <c r="K175" s="18"/>
      <c r="L175" s="18"/>
      <c r="M175" s="18"/>
      <c r="N175" s="18"/>
      <c r="O175" s="18"/>
      <c r="P175" s="18"/>
      <c r="Q175" s="18"/>
      <c r="R175" s="18"/>
      <c r="S175" s="18"/>
      <c r="T175" s="18"/>
      <c r="U175" s="18"/>
      <c r="V175" s="18"/>
      <c r="W175" s="18"/>
      <c r="X175" s="18"/>
      <c r="Y175" s="5"/>
      <c r="Z175" s="5"/>
      <c r="AA175" s="5"/>
      <c r="AB175" s="5"/>
      <c r="AC175" s="5"/>
      <c r="AD175" s="5"/>
      <c r="AE175" s="5"/>
    </row>
    <row r="176" spans="2:64">
      <c r="B176" s="313" t="s">
        <v>62</v>
      </c>
      <c r="C176" s="312">
        <f t="shared" ref="C176:R176" si="198">IF(ISNUMBER(B176)=FALSE,YEAR($C$13),B176+1)</f>
        <v>2026</v>
      </c>
      <c r="D176" s="312">
        <f t="shared" si="198"/>
        <v>2027</v>
      </c>
      <c r="E176" s="312">
        <f t="shared" si="198"/>
        <v>2028</v>
      </c>
      <c r="F176" s="312">
        <f t="shared" si="198"/>
        <v>2029</v>
      </c>
      <c r="G176" s="312">
        <f t="shared" si="198"/>
        <v>2030</v>
      </c>
      <c r="H176" s="312">
        <f t="shared" si="198"/>
        <v>2031</v>
      </c>
      <c r="I176" s="312">
        <f t="shared" si="198"/>
        <v>2032</v>
      </c>
      <c r="J176" s="312">
        <f t="shared" si="198"/>
        <v>2033</v>
      </c>
      <c r="K176" s="312">
        <f t="shared" si="198"/>
        <v>2034</v>
      </c>
      <c r="L176" s="312">
        <f t="shared" si="198"/>
        <v>2035</v>
      </c>
      <c r="M176" s="312">
        <f t="shared" si="198"/>
        <v>2036</v>
      </c>
      <c r="N176" s="312">
        <f t="shared" si="198"/>
        <v>2037</v>
      </c>
      <c r="O176" s="312">
        <f t="shared" si="198"/>
        <v>2038</v>
      </c>
      <c r="P176" s="312">
        <f t="shared" si="198"/>
        <v>2039</v>
      </c>
      <c r="Q176" s="312">
        <f t="shared" si="198"/>
        <v>2040</v>
      </c>
      <c r="R176" s="312">
        <f t="shared" si="198"/>
        <v>2041</v>
      </c>
      <c r="S176" s="5"/>
      <c r="T176" s="5"/>
      <c r="U176" s="5"/>
      <c r="V176" s="5"/>
      <c r="W176" s="5"/>
      <c r="X176" s="5"/>
      <c r="Y176" s="5"/>
      <c r="Z176" s="5"/>
      <c r="AA176" s="5"/>
      <c r="AB176" s="5"/>
      <c r="AC176" s="5"/>
      <c r="AD176" s="5"/>
      <c r="AE176" s="5"/>
    </row>
    <row r="177" spans="2:64" ht="15" customHeight="1">
      <c r="B177" s="70" t="s">
        <v>335</v>
      </c>
      <c r="C177" s="326"/>
      <c r="D177" s="327"/>
      <c r="E177" s="327"/>
      <c r="F177" s="327"/>
      <c r="G177" s="327"/>
      <c r="H177" s="326"/>
      <c r="I177" s="326"/>
      <c r="J177" s="326"/>
      <c r="K177" s="326"/>
      <c r="L177" s="326"/>
      <c r="M177" s="326"/>
      <c r="N177" s="326"/>
      <c r="O177" s="326"/>
      <c r="P177" s="326"/>
      <c r="Q177" s="326"/>
      <c r="R177" s="326"/>
    </row>
    <row r="178" spans="2:64" ht="15.75">
      <c r="B178" s="22"/>
      <c r="C178" s="328"/>
      <c r="D178" s="328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"/>
      <c r="AE178" s="5"/>
    </row>
    <row r="179" spans="2:64" ht="21">
      <c r="B179" s="21" t="s">
        <v>63</v>
      </c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  <c r="AC179" s="5"/>
      <c r="AD179" s="5"/>
      <c r="AE179" s="5"/>
    </row>
    <row r="180" spans="2:64" ht="15.75">
      <c r="B180" s="22" t="s">
        <v>26</v>
      </c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5"/>
      <c r="AD180" s="5"/>
      <c r="AE180" s="5"/>
    </row>
    <row r="181" spans="2:64">
      <c r="B181" s="23" t="str">
        <f>"Ранее привлечено в проект, "&amp;Единица_измерения</f>
        <v>Ранее привлечено в проект, тыс. руб.</v>
      </c>
      <c r="C181" s="18"/>
      <c r="D181" s="18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  <c r="AC181" s="5"/>
      <c r="AD181" s="5"/>
      <c r="AE181" s="5"/>
    </row>
    <row r="182" spans="2:64">
      <c r="B182" s="26" t="s">
        <v>316</v>
      </c>
      <c r="C182" s="294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  <c r="AC182" s="5"/>
      <c r="AD182" s="5"/>
      <c r="AE182" s="5"/>
    </row>
    <row r="183" spans="2:64">
      <c r="B183" s="26" t="s">
        <v>409</v>
      </c>
      <c r="C183" s="294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  <c r="AC183" s="5"/>
      <c r="AD183" s="5"/>
      <c r="AE183" s="5"/>
    </row>
    <row r="184" spans="2:64">
      <c r="B184" s="249" t="s">
        <v>12</v>
      </c>
      <c r="C184" s="250">
        <f>SUM(C182:C183)</f>
        <v>0</v>
      </c>
      <c r="D184" s="18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  <c r="AC184" s="5"/>
      <c r="AD184" s="5"/>
      <c r="AE184" s="5"/>
    </row>
    <row r="185" spans="2:64" ht="15.75">
      <c r="B185" s="22"/>
      <c r="C185" s="121"/>
      <c r="D185" s="18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  <c r="AC185" s="5"/>
      <c r="AD185" s="5"/>
      <c r="AE185" s="5"/>
    </row>
    <row r="186" spans="2:64">
      <c r="B186" s="23" t="str">
        <f>"График привлечения собственных средств в проект, "&amp;Единица_измерения</f>
        <v>График привлечения собственных средств в проект, тыс. руб.</v>
      </c>
      <c r="C186" s="121"/>
      <c r="D186" s="18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  <c r="AC186" s="5"/>
      <c r="AD186" s="5"/>
      <c r="AE186" s="5"/>
    </row>
    <row r="187" spans="2:64" ht="15" customHeight="1">
      <c r="B187" s="491" t="s">
        <v>62</v>
      </c>
      <c r="C187" s="506" t="s">
        <v>12</v>
      </c>
      <c r="D187" s="229">
        <f t="shared" ref="D187:W187" si="199">SUM(C187,1)</f>
        <v>1</v>
      </c>
      <c r="E187" s="229">
        <f t="shared" si="199"/>
        <v>2</v>
      </c>
      <c r="F187" s="229">
        <f t="shared" si="199"/>
        <v>3</v>
      </c>
      <c r="G187" s="229">
        <f t="shared" si="199"/>
        <v>4</v>
      </c>
      <c r="H187" s="229">
        <f t="shared" si="199"/>
        <v>5</v>
      </c>
      <c r="I187" s="229">
        <f t="shared" si="199"/>
        <v>6</v>
      </c>
      <c r="J187" s="229">
        <f t="shared" si="199"/>
        <v>7</v>
      </c>
      <c r="K187" s="229">
        <f t="shared" si="199"/>
        <v>8</v>
      </c>
      <c r="L187" s="229">
        <f t="shared" si="199"/>
        <v>9</v>
      </c>
      <c r="M187" s="229">
        <f t="shared" si="199"/>
        <v>10</v>
      </c>
      <c r="N187" s="229">
        <f t="shared" si="199"/>
        <v>11</v>
      </c>
      <c r="O187" s="229">
        <f t="shared" si="199"/>
        <v>12</v>
      </c>
      <c r="P187" s="229">
        <f t="shared" si="199"/>
        <v>13</v>
      </c>
      <c r="Q187" s="229">
        <f t="shared" si="199"/>
        <v>14</v>
      </c>
      <c r="R187" s="229">
        <f t="shared" si="199"/>
        <v>15</v>
      </c>
      <c r="S187" s="229">
        <f t="shared" si="199"/>
        <v>16</v>
      </c>
      <c r="T187" s="229">
        <f t="shared" si="199"/>
        <v>17</v>
      </c>
      <c r="U187" s="229">
        <f t="shared" si="199"/>
        <v>18</v>
      </c>
      <c r="V187" s="229">
        <f t="shared" si="199"/>
        <v>19</v>
      </c>
      <c r="W187" s="229">
        <f t="shared" si="199"/>
        <v>20</v>
      </c>
      <c r="X187" s="229">
        <f t="shared" ref="X187:AF187" si="200">SUM(W187,1)</f>
        <v>21</v>
      </c>
      <c r="Y187" s="229">
        <f t="shared" si="200"/>
        <v>22</v>
      </c>
      <c r="Z187" s="229">
        <f t="shared" si="200"/>
        <v>23</v>
      </c>
      <c r="AA187" s="229">
        <f t="shared" si="200"/>
        <v>24</v>
      </c>
      <c r="AB187" s="229">
        <f t="shared" si="200"/>
        <v>25</v>
      </c>
      <c r="AC187" s="229">
        <f t="shared" si="200"/>
        <v>26</v>
      </c>
      <c r="AD187" s="229">
        <f t="shared" si="200"/>
        <v>27</v>
      </c>
      <c r="AE187" s="229">
        <f t="shared" si="200"/>
        <v>28</v>
      </c>
      <c r="AF187" s="229">
        <f t="shared" si="200"/>
        <v>29</v>
      </c>
      <c r="AG187" s="229">
        <f t="shared" ref="AG187" si="201">SUM(AF187,1)</f>
        <v>30</v>
      </c>
      <c r="AH187" s="229">
        <f t="shared" ref="AH187" si="202">SUM(AG187,1)</f>
        <v>31</v>
      </c>
      <c r="AI187" s="229">
        <f t="shared" ref="AI187" si="203">SUM(AH187,1)</f>
        <v>32</v>
      </c>
      <c r="AJ187" s="229">
        <f t="shared" ref="AJ187" si="204">SUM(AI187,1)</f>
        <v>33</v>
      </c>
      <c r="AK187" s="229">
        <f t="shared" ref="AK187" si="205">SUM(AJ187,1)</f>
        <v>34</v>
      </c>
      <c r="AL187" s="229">
        <f t="shared" ref="AL187" si="206">SUM(AK187,1)</f>
        <v>35</v>
      </c>
      <c r="AM187" s="229">
        <f t="shared" ref="AM187" si="207">SUM(AL187,1)</f>
        <v>36</v>
      </c>
      <c r="AN187" s="229">
        <f t="shared" ref="AN187" si="208">SUM(AM187,1)</f>
        <v>37</v>
      </c>
      <c r="AO187" s="229">
        <f t="shared" ref="AO187" si="209">SUM(AN187,1)</f>
        <v>38</v>
      </c>
      <c r="AP187" s="229">
        <f t="shared" ref="AP187" si="210">SUM(AO187,1)</f>
        <v>39</v>
      </c>
      <c r="AQ187" s="229">
        <f t="shared" ref="AQ187" si="211">SUM(AP187,1)</f>
        <v>40</v>
      </c>
      <c r="AR187" s="229">
        <f t="shared" ref="AR187" si="212">SUM(AQ187,1)</f>
        <v>41</v>
      </c>
      <c r="AS187" s="229">
        <f t="shared" ref="AS187" si="213">SUM(AR187,1)</f>
        <v>42</v>
      </c>
      <c r="AT187" s="229">
        <f t="shared" ref="AT187" si="214">SUM(AS187,1)</f>
        <v>43</v>
      </c>
      <c r="AU187" s="229">
        <f t="shared" ref="AU187" si="215">SUM(AT187,1)</f>
        <v>44</v>
      </c>
      <c r="AV187" s="229">
        <f t="shared" ref="AV187" si="216">SUM(AU187,1)</f>
        <v>45</v>
      </c>
      <c r="AW187" s="229">
        <f t="shared" ref="AW187" si="217">SUM(AV187,1)</f>
        <v>46</v>
      </c>
      <c r="AX187" s="229">
        <f t="shared" ref="AX187" si="218">SUM(AW187,1)</f>
        <v>47</v>
      </c>
      <c r="AY187" s="229">
        <f t="shared" ref="AY187" si="219">SUM(AX187,1)</f>
        <v>48</v>
      </c>
      <c r="AZ187" s="229">
        <f t="shared" ref="AZ187" si="220">SUM(AY187,1)</f>
        <v>49</v>
      </c>
      <c r="BA187" s="229">
        <f t="shared" ref="BA187" si="221">SUM(AZ187,1)</f>
        <v>50</v>
      </c>
      <c r="BB187" s="229">
        <f t="shared" ref="BB187" si="222">SUM(BA187,1)</f>
        <v>51</v>
      </c>
      <c r="BC187" s="229">
        <f t="shared" ref="BC187" si="223">SUM(BB187,1)</f>
        <v>52</v>
      </c>
      <c r="BD187" s="229">
        <f t="shared" ref="BD187" si="224">SUM(BC187,1)</f>
        <v>53</v>
      </c>
      <c r="BE187" s="229">
        <f t="shared" ref="BE187" si="225">SUM(BD187,1)</f>
        <v>54</v>
      </c>
      <c r="BF187" s="229">
        <f t="shared" ref="BF187" si="226">SUM(BE187,1)</f>
        <v>55</v>
      </c>
      <c r="BG187" s="229">
        <f t="shared" ref="BG187" si="227">SUM(BF187,1)</f>
        <v>56</v>
      </c>
      <c r="BH187" s="229">
        <f t="shared" ref="BH187" si="228">SUM(BG187,1)</f>
        <v>57</v>
      </c>
      <c r="BI187" s="229">
        <f t="shared" ref="BI187:BL187" si="229">SUM(BH187,1)</f>
        <v>58</v>
      </c>
      <c r="BJ187" s="229">
        <f t="shared" si="229"/>
        <v>59</v>
      </c>
      <c r="BK187" s="229">
        <f t="shared" si="229"/>
        <v>60</v>
      </c>
      <c r="BL187" s="229">
        <f t="shared" si="229"/>
        <v>61</v>
      </c>
    </row>
    <row r="188" spans="2:64">
      <c r="B188" s="492"/>
      <c r="C188" s="507"/>
      <c r="D188" s="227">
        <f t="shared" ref="D188:AI188" si="230">D125</f>
        <v>46204</v>
      </c>
      <c r="E188" s="227">
        <f t="shared" si="230"/>
        <v>46296</v>
      </c>
      <c r="F188" s="227">
        <f t="shared" si="230"/>
        <v>46388</v>
      </c>
      <c r="G188" s="227">
        <f t="shared" si="230"/>
        <v>46478</v>
      </c>
      <c r="H188" s="227">
        <f t="shared" si="230"/>
        <v>46569</v>
      </c>
      <c r="I188" s="227">
        <f t="shared" si="230"/>
        <v>46661</v>
      </c>
      <c r="J188" s="227">
        <f t="shared" si="230"/>
        <v>46753</v>
      </c>
      <c r="K188" s="227">
        <f t="shared" si="230"/>
        <v>46844</v>
      </c>
      <c r="L188" s="227">
        <f t="shared" si="230"/>
        <v>46935</v>
      </c>
      <c r="M188" s="227">
        <f t="shared" si="230"/>
        <v>47027</v>
      </c>
      <c r="N188" s="227">
        <f t="shared" si="230"/>
        <v>47119</v>
      </c>
      <c r="O188" s="227">
        <f t="shared" si="230"/>
        <v>47209</v>
      </c>
      <c r="P188" s="227">
        <f t="shared" si="230"/>
        <v>47300</v>
      </c>
      <c r="Q188" s="227">
        <f t="shared" si="230"/>
        <v>47392</v>
      </c>
      <c r="R188" s="227">
        <f t="shared" si="230"/>
        <v>47484</v>
      </c>
      <c r="S188" s="227">
        <f t="shared" si="230"/>
        <v>47574</v>
      </c>
      <c r="T188" s="227">
        <f t="shared" si="230"/>
        <v>47665</v>
      </c>
      <c r="U188" s="227">
        <f t="shared" si="230"/>
        <v>47757</v>
      </c>
      <c r="V188" s="227">
        <f t="shared" si="230"/>
        <v>47849</v>
      </c>
      <c r="W188" s="227">
        <f t="shared" si="230"/>
        <v>47939</v>
      </c>
      <c r="X188" s="227">
        <f t="shared" si="230"/>
        <v>48030</v>
      </c>
      <c r="Y188" s="227">
        <f t="shared" si="230"/>
        <v>48122</v>
      </c>
      <c r="Z188" s="227">
        <f t="shared" si="230"/>
        <v>48214</v>
      </c>
      <c r="AA188" s="227">
        <f t="shared" si="230"/>
        <v>48305</v>
      </c>
      <c r="AB188" s="227">
        <f t="shared" si="230"/>
        <v>48396</v>
      </c>
      <c r="AC188" s="227">
        <f t="shared" si="230"/>
        <v>48488</v>
      </c>
      <c r="AD188" s="227">
        <f t="shared" si="230"/>
        <v>48580</v>
      </c>
      <c r="AE188" s="227">
        <f t="shared" si="230"/>
        <v>48670</v>
      </c>
      <c r="AF188" s="227">
        <f t="shared" si="230"/>
        <v>48761</v>
      </c>
      <c r="AG188" s="227">
        <f t="shared" si="230"/>
        <v>48853</v>
      </c>
      <c r="AH188" s="227">
        <f t="shared" si="230"/>
        <v>48945</v>
      </c>
      <c r="AI188" s="227">
        <f t="shared" si="230"/>
        <v>49035</v>
      </c>
      <c r="AJ188" s="227">
        <f t="shared" ref="AJ188:BL188" si="231">AJ125</f>
        <v>49126</v>
      </c>
      <c r="AK188" s="227">
        <f t="shared" si="231"/>
        <v>49218</v>
      </c>
      <c r="AL188" s="227">
        <f t="shared" si="231"/>
        <v>49310</v>
      </c>
      <c r="AM188" s="227">
        <f t="shared" si="231"/>
        <v>49400</v>
      </c>
      <c r="AN188" s="227">
        <f t="shared" si="231"/>
        <v>49491</v>
      </c>
      <c r="AO188" s="227">
        <f t="shared" si="231"/>
        <v>49583</v>
      </c>
      <c r="AP188" s="227">
        <f t="shared" si="231"/>
        <v>49675</v>
      </c>
      <c r="AQ188" s="227">
        <f t="shared" si="231"/>
        <v>49766</v>
      </c>
      <c r="AR188" s="227">
        <f t="shared" si="231"/>
        <v>49857</v>
      </c>
      <c r="AS188" s="227">
        <f t="shared" si="231"/>
        <v>49949</v>
      </c>
      <c r="AT188" s="227">
        <f t="shared" si="231"/>
        <v>50041</v>
      </c>
      <c r="AU188" s="227">
        <f t="shared" si="231"/>
        <v>50131</v>
      </c>
      <c r="AV188" s="227">
        <f t="shared" si="231"/>
        <v>50222</v>
      </c>
      <c r="AW188" s="227">
        <f t="shared" si="231"/>
        <v>50314</v>
      </c>
      <c r="AX188" s="227">
        <f t="shared" si="231"/>
        <v>50406</v>
      </c>
      <c r="AY188" s="227">
        <f t="shared" si="231"/>
        <v>50496</v>
      </c>
      <c r="AZ188" s="227">
        <f t="shared" si="231"/>
        <v>50587</v>
      </c>
      <c r="BA188" s="227">
        <f t="shared" si="231"/>
        <v>50679</v>
      </c>
      <c r="BB188" s="227">
        <f t="shared" si="231"/>
        <v>50771</v>
      </c>
      <c r="BC188" s="227">
        <f t="shared" si="231"/>
        <v>50861</v>
      </c>
      <c r="BD188" s="227">
        <f t="shared" si="231"/>
        <v>50952</v>
      </c>
      <c r="BE188" s="227">
        <f t="shared" si="231"/>
        <v>51044</v>
      </c>
      <c r="BF188" s="227">
        <f t="shared" si="231"/>
        <v>51136</v>
      </c>
      <c r="BG188" s="227">
        <f t="shared" si="231"/>
        <v>51227</v>
      </c>
      <c r="BH188" s="227">
        <f t="shared" si="231"/>
        <v>51318</v>
      </c>
      <c r="BI188" s="227">
        <f t="shared" si="231"/>
        <v>51410</v>
      </c>
      <c r="BJ188" s="227">
        <f t="shared" si="231"/>
        <v>51502</v>
      </c>
      <c r="BK188" s="227">
        <f t="shared" si="231"/>
        <v>51592</v>
      </c>
      <c r="BL188" s="227">
        <f t="shared" si="231"/>
        <v>51683</v>
      </c>
    </row>
    <row r="189" spans="2:64">
      <c r="B189" s="493"/>
      <c r="C189" s="508"/>
      <c r="D189" s="227">
        <f t="shared" ref="D189:AI189" si="232">D126</f>
        <v>46295</v>
      </c>
      <c r="E189" s="227">
        <f t="shared" si="232"/>
        <v>46387</v>
      </c>
      <c r="F189" s="227">
        <f t="shared" si="232"/>
        <v>46477</v>
      </c>
      <c r="G189" s="227">
        <f t="shared" si="232"/>
        <v>46568</v>
      </c>
      <c r="H189" s="227">
        <f t="shared" si="232"/>
        <v>46660</v>
      </c>
      <c r="I189" s="227">
        <f t="shared" si="232"/>
        <v>46752</v>
      </c>
      <c r="J189" s="227">
        <f t="shared" si="232"/>
        <v>46843</v>
      </c>
      <c r="K189" s="227">
        <f t="shared" si="232"/>
        <v>46934</v>
      </c>
      <c r="L189" s="227">
        <f t="shared" si="232"/>
        <v>47026</v>
      </c>
      <c r="M189" s="227">
        <f t="shared" si="232"/>
        <v>47118</v>
      </c>
      <c r="N189" s="227">
        <f t="shared" si="232"/>
        <v>47208</v>
      </c>
      <c r="O189" s="227">
        <f t="shared" si="232"/>
        <v>47299</v>
      </c>
      <c r="P189" s="227">
        <f t="shared" si="232"/>
        <v>47391</v>
      </c>
      <c r="Q189" s="227">
        <f t="shared" si="232"/>
        <v>47483</v>
      </c>
      <c r="R189" s="227">
        <f t="shared" si="232"/>
        <v>47573</v>
      </c>
      <c r="S189" s="227">
        <f t="shared" si="232"/>
        <v>47664</v>
      </c>
      <c r="T189" s="227">
        <f t="shared" si="232"/>
        <v>47756</v>
      </c>
      <c r="U189" s="227">
        <f t="shared" si="232"/>
        <v>47848</v>
      </c>
      <c r="V189" s="227">
        <f t="shared" si="232"/>
        <v>47938</v>
      </c>
      <c r="W189" s="227">
        <f t="shared" si="232"/>
        <v>48029</v>
      </c>
      <c r="X189" s="227">
        <f t="shared" si="232"/>
        <v>48121</v>
      </c>
      <c r="Y189" s="227">
        <f t="shared" si="232"/>
        <v>48213</v>
      </c>
      <c r="Z189" s="227">
        <f t="shared" si="232"/>
        <v>48304</v>
      </c>
      <c r="AA189" s="227">
        <f t="shared" si="232"/>
        <v>48395</v>
      </c>
      <c r="AB189" s="227">
        <f t="shared" si="232"/>
        <v>48487</v>
      </c>
      <c r="AC189" s="227">
        <f t="shared" si="232"/>
        <v>48579</v>
      </c>
      <c r="AD189" s="227">
        <f t="shared" si="232"/>
        <v>48669</v>
      </c>
      <c r="AE189" s="227">
        <f t="shared" si="232"/>
        <v>48760</v>
      </c>
      <c r="AF189" s="227">
        <f t="shared" si="232"/>
        <v>48852</v>
      </c>
      <c r="AG189" s="227">
        <f t="shared" si="232"/>
        <v>48944</v>
      </c>
      <c r="AH189" s="227">
        <f t="shared" si="232"/>
        <v>49034</v>
      </c>
      <c r="AI189" s="227">
        <f t="shared" si="232"/>
        <v>49125</v>
      </c>
      <c r="AJ189" s="227">
        <f t="shared" ref="AJ189:BL189" si="233">AJ126</f>
        <v>49217</v>
      </c>
      <c r="AK189" s="227">
        <f t="shared" si="233"/>
        <v>49309</v>
      </c>
      <c r="AL189" s="227">
        <f t="shared" si="233"/>
        <v>49399</v>
      </c>
      <c r="AM189" s="227">
        <f t="shared" si="233"/>
        <v>49490</v>
      </c>
      <c r="AN189" s="227">
        <f t="shared" si="233"/>
        <v>49582</v>
      </c>
      <c r="AO189" s="227">
        <f t="shared" si="233"/>
        <v>49674</v>
      </c>
      <c r="AP189" s="227">
        <f t="shared" si="233"/>
        <v>49765</v>
      </c>
      <c r="AQ189" s="227">
        <f t="shared" si="233"/>
        <v>49856</v>
      </c>
      <c r="AR189" s="227">
        <f t="shared" si="233"/>
        <v>49948</v>
      </c>
      <c r="AS189" s="227">
        <f t="shared" si="233"/>
        <v>50040</v>
      </c>
      <c r="AT189" s="227">
        <f t="shared" si="233"/>
        <v>50130</v>
      </c>
      <c r="AU189" s="227">
        <f t="shared" si="233"/>
        <v>50221</v>
      </c>
      <c r="AV189" s="227">
        <f t="shared" si="233"/>
        <v>50313</v>
      </c>
      <c r="AW189" s="227">
        <f t="shared" si="233"/>
        <v>50405</v>
      </c>
      <c r="AX189" s="227">
        <f t="shared" si="233"/>
        <v>50495</v>
      </c>
      <c r="AY189" s="227">
        <f t="shared" si="233"/>
        <v>50586</v>
      </c>
      <c r="AZ189" s="227">
        <f t="shared" si="233"/>
        <v>50678</v>
      </c>
      <c r="BA189" s="227">
        <f t="shared" si="233"/>
        <v>50770</v>
      </c>
      <c r="BB189" s="227">
        <f t="shared" si="233"/>
        <v>50860</v>
      </c>
      <c r="BC189" s="227">
        <f t="shared" si="233"/>
        <v>50951</v>
      </c>
      <c r="BD189" s="227">
        <f t="shared" si="233"/>
        <v>51043</v>
      </c>
      <c r="BE189" s="227">
        <f t="shared" si="233"/>
        <v>51135</v>
      </c>
      <c r="BF189" s="227">
        <f t="shared" si="233"/>
        <v>51226</v>
      </c>
      <c r="BG189" s="227">
        <f t="shared" si="233"/>
        <v>51317</v>
      </c>
      <c r="BH189" s="227">
        <f t="shared" si="233"/>
        <v>51409</v>
      </c>
      <c r="BI189" s="227">
        <f t="shared" si="233"/>
        <v>51501</v>
      </c>
      <c r="BJ189" s="227">
        <f t="shared" si="233"/>
        <v>51591</v>
      </c>
      <c r="BK189" s="227">
        <f t="shared" si="233"/>
        <v>51682</v>
      </c>
      <c r="BL189" s="227">
        <f t="shared" si="233"/>
        <v>51774</v>
      </c>
    </row>
    <row r="190" spans="2:64">
      <c r="B190" s="69" t="s">
        <v>413</v>
      </c>
      <c r="C190" s="250">
        <f>SUM(D190:BL190)</f>
        <v>0</v>
      </c>
      <c r="D190" s="288"/>
      <c r="E190" s="288"/>
      <c r="F190" s="288"/>
      <c r="G190" s="288"/>
      <c r="H190" s="288"/>
      <c r="I190" s="288"/>
      <c r="J190" s="288"/>
      <c r="K190" s="288"/>
      <c r="L190" s="288"/>
      <c r="M190" s="288"/>
      <c r="N190" s="288"/>
      <c r="O190" s="288"/>
      <c r="P190" s="288"/>
      <c r="Q190" s="288"/>
      <c r="R190" s="288"/>
      <c r="S190" s="288"/>
      <c r="T190" s="288"/>
      <c r="U190" s="288"/>
      <c r="V190" s="288"/>
      <c r="W190" s="288"/>
      <c r="X190" s="288"/>
      <c r="Y190" s="288"/>
      <c r="Z190" s="288"/>
      <c r="AA190" s="288"/>
      <c r="AB190" s="288"/>
      <c r="AC190" s="288"/>
      <c r="AD190" s="288"/>
      <c r="AE190" s="288"/>
      <c r="AF190" s="288"/>
      <c r="AG190" s="288"/>
      <c r="AH190" s="288"/>
      <c r="AI190" s="288"/>
      <c r="AJ190" s="288"/>
      <c r="AK190" s="288"/>
      <c r="AL190" s="288"/>
      <c r="AM190" s="288"/>
      <c r="AN190" s="288"/>
      <c r="AO190" s="288"/>
      <c r="AP190" s="288"/>
      <c r="AQ190" s="288"/>
      <c r="AR190" s="288"/>
      <c r="AS190" s="288"/>
      <c r="AT190" s="288"/>
      <c r="AU190" s="288"/>
      <c r="AV190" s="288"/>
      <c r="AW190" s="288"/>
      <c r="AX190" s="288"/>
      <c r="AY190" s="288"/>
      <c r="AZ190" s="288"/>
      <c r="BA190" s="288"/>
      <c r="BB190" s="288"/>
      <c r="BC190" s="288"/>
      <c r="BD190" s="288"/>
      <c r="BE190" s="288"/>
      <c r="BF190" s="288"/>
      <c r="BG190" s="288"/>
      <c r="BH190" s="288"/>
      <c r="BI190" s="288"/>
      <c r="BJ190" s="288"/>
      <c r="BK190" s="288"/>
      <c r="BL190" s="288"/>
    </row>
    <row r="191" spans="2:64" ht="15" customHeight="1"/>
    <row r="192" spans="2:64" ht="15.75">
      <c r="B192" s="22" t="s">
        <v>256</v>
      </c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  <c r="AC192" s="5"/>
      <c r="AD192" s="5"/>
      <c r="AE192" s="5"/>
      <c r="AF192" s="5"/>
      <c r="AG192" s="5"/>
      <c r="AH192" s="5"/>
      <c r="AI192" s="5"/>
      <c r="AJ192" s="5"/>
      <c r="AK192" s="5"/>
      <c r="AL192" s="5"/>
      <c r="AM192" s="5"/>
    </row>
    <row r="193" spans="1:64" ht="15" customHeight="1">
      <c r="B193" s="23" t="s">
        <v>54</v>
      </c>
    </row>
    <row r="194" spans="1:64" ht="15" customHeight="1">
      <c r="B194" s="26" t="s">
        <v>257</v>
      </c>
      <c r="C194" s="295"/>
    </row>
    <row r="195" spans="1:64" ht="15" customHeight="1">
      <c r="B195" s="26" t="s">
        <v>56</v>
      </c>
      <c r="C195" s="296"/>
    </row>
    <row r="196" spans="1:64" ht="15" customHeight="1">
      <c r="B196" s="26" t="str">
        <f>"Ранее привлечено в проект, "&amp;Единица_измерения</f>
        <v>Ранее привлечено в проект, тыс. руб.</v>
      </c>
      <c r="C196" s="294"/>
    </row>
    <row r="197" spans="1:64" ht="15" customHeight="1"/>
    <row r="198" spans="1:64">
      <c r="B198" s="23" t="str">
        <f>"График привлечения и погашения средств источника в проект, "&amp;Единица_измерения</f>
        <v>График привлечения и погашения средств источника в проект, тыс. руб.</v>
      </c>
      <c r="C198" s="18"/>
      <c r="D198" s="18"/>
      <c r="E198" s="18"/>
      <c r="F198" s="18"/>
      <c r="G198" s="18"/>
      <c r="H198" s="18"/>
      <c r="I198" s="18"/>
      <c r="J198" s="18"/>
      <c r="K198" s="18"/>
      <c r="L198" s="18"/>
      <c r="M198" s="18"/>
      <c r="N198" s="18"/>
      <c r="O198" s="18"/>
      <c r="P198" s="18"/>
      <c r="Q198" s="18"/>
      <c r="R198" s="18"/>
      <c r="S198" s="18"/>
      <c r="T198" s="18"/>
      <c r="U198" s="18"/>
      <c r="V198" s="18"/>
      <c r="W198" s="18"/>
      <c r="X198" s="18"/>
      <c r="Y198" s="18"/>
      <c r="Z198" s="18"/>
      <c r="AA198" s="18"/>
      <c r="AB198" s="18"/>
      <c r="AC198" s="18"/>
      <c r="AD198" s="18"/>
      <c r="AE198" s="18"/>
      <c r="AF198" s="18"/>
      <c r="AG198" s="5"/>
      <c r="AH198" s="5"/>
      <c r="AI198" s="5"/>
      <c r="AJ198" s="5"/>
      <c r="AK198" s="5"/>
      <c r="AL198" s="5"/>
      <c r="AM198" s="5"/>
    </row>
    <row r="199" spans="1:64" ht="15" customHeight="1">
      <c r="A199" s="19"/>
      <c r="B199" s="491" t="s">
        <v>62</v>
      </c>
      <c r="C199" s="491" t="s">
        <v>12</v>
      </c>
      <c r="D199" s="229">
        <f t="shared" ref="D199:W199" si="234">SUM(C199,1)</f>
        <v>1</v>
      </c>
      <c r="E199" s="229">
        <f t="shared" si="234"/>
        <v>2</v>
      </c>
      <c r="F199" s="229">
        <f t="shared" si="234"/>
        <v>3</v>
      </c>
      <c r="G199" s="229">
        <f t="shared" si="234"/>
        <v>4</v>
      </c>
      <c r="H199" s="229">
        <f t="shared" si="234"/>
        <v>5</v>
      </c>
      <c r="I199" s="229">
        <f t="shared" si="234"/>
        <v>6</v>
      </c>
      <c r="J199" s="229">
        <f t="shared" si="234"/>
        <v>7</v>
      </c>
      <c r="K199" s="229">
        <f t="shared" si="234"/>
        <v>8</v>
      </c>
      <c r="L199" s="229">
        <f t="shared" si="234"/>
        <v>9</v>
      </c>
      <c r="M199" s="229">
        <f t="shared" si="234"/>
        <v>10</v>
      </c>
      <c r="N199" s="229">
        <f t="shared" si="234"/>
        <v>11</v>
      </c>
      <c r="O199" s="229">
        <f t="shared" si="234"/>
        <v>12</v>
      </c>
      <c r="P199" s="229">
        <f t="shared" si="234"/>
        <v>13</v>
      </c>
      <c r="Q199" s="229">
        <f t="shared" si="234"/>
        <v>14</v>
      </c>
      <c r="R199" s="229">
        <f t="shared" si="234"/>
        <v>15</v>
      </c>
      <c r="S199" s="229">
        <f t="shared" si="234"/>
        <v>16</v>
      </c>
      <c r="T199" s="229">
        <f t="shared" si="234"/>
        <v>17</v>
      </c>
      <c r="U199" s="229">
        <f t="shared" si="234"/>
        <v>18</v>
      </c>
      <c r="V199" s="229">
        <f t="shared" si="234"/>
        <v>19</v>
      </c>
      <c r="W199" s="229">
        <f t="shared" si="234"/>
        <v>20</v>
      </c>
      <c r="X199" s="229">
        <f t="shared" ref="X199:AF199" si="235">SUM(W199,1)</f>
        <v>21</v>
      </c>
      <c r="Y199" s="229">
        <f t="shared" si="235"/>
        <v>22</v>
      </c>
      <c r="Z199" s="229">
        <f t="shared" si="235"/>
        <v>23</v>
      </c>
      <c r="AA199" s="229">
        <f t="shared" si="235"/>
        <v>24</v>
      </c>
      <c r="AB199" s="229">
        <f t="shared" si="235"/>
        <v>25</v>
      </c>
      <c r="AC199" s="229">
        <f t="shared" si="235"/>
        <v>26</v>
      </c>
      <c r="AD199" s="229">
        <f t="shared" si="235"/>
        <v>27</v>
      </c>
      <c r="AE199" s="229">
        <f t="shared" si="235"/>
        <v>28</v>
      </c>
      <c r="AF199" s="229">
        <f t="shared" si="235"/>
        <v>29</v>
      </c>
      <c r="AG199" s="229">
        <f t="shared" ref="AG199" si="236">SUM(AF199,1)</f>
        <v>30</v>
      </c>
      <c r="AH199" s="229">
        <f t="shared" ref="AH199" si="237">SUM(AG199,1)</f>
        <v>31</v>
      </c>
      <c r="AI199" s="229">
        <f t="shared" ref="AI199" si="238">SUM(AH199,1)</f>
        <v>32</v>
      </c>
      <c r="AJ199" s="229">
        <f t="shared" ref="AJ199" si="239">SUM(AI199,1)</f>
        <v>33</v>
      </c>
      <c r="AK199" s="229">
        <f t="shared" ref="AK199" si="240">SUM(AJ199,1)</f>
        <v>34</v>
      </c>
      <c r="AL199" s="229">
        <f t="shared" ref="AL199" si="241">SUM(AK199,1)</f>
        <v>35</v>
      </c>
      <c r="AM199" s="229">
        <f t="shared" ref="AM199" si="242">SUM(AL199,1)</f>
        <v>36</v>
      </c>
      <c r="AN199" s="229">
        <f t="shared" ref="AN199" si="243">SUM(AM199,1)</f>
        <v>37</v>
      </c>
      <c r="AO199" s="229">
        <f t="shared" ref="AO199" si="244">SUM(AN199,1)</f>
        <v>38</v>
      </c>
      <c r="AP199" s="229">
        <f t="shared" ref="AP199" si="245">SUM(AO199,1)</f>
        <v>39</v>
      </c>
      <c r="AQ199" s="229">
        <f t="shared" ref="AQ199" si="246">SUM(AP199,1)</f>
        <v>40</v>
      </c>
      <c r="AR199" s="229">
        <f t="shared" ref="AR199" si="247">SUM(AQ199,1)</f>
        <v>41</v>
      </c>
      <c r="AS199" s="229">
        <f t="shared" ref="AS199" si="248">SUM(AR199,1)</f>
        <v>42</v>
      </c>
      <c r="AT199" s="229">
        <f t="shared" ref="AT199" si="249">SUM(AS199,1)</f>
        <v>43</v>
      </c>
      <c r="AU199" s="229">
        <f t="shared" ref="AU199" si="250">SUM(AT199,1)</f>
        <v>44</v>
      </c>
      <c r="AV199" s="229">
        <f t="shared" ref="AV199" si="251">SUM(AU199,1)</f>
        <v>45</v>
      </c>
      <c r="AW199" s="229">
        <f t="shared" ref="AW199" si="252">SUM(AV199,1)</f>
        <v>46</v>
      </c>
      <c r="AX199" s="229">
        <f t="shared" ref="AX199" si="253">SUM(AW199,1)</f>
        <v>47</v>
      </c>
      <c r="AY199" s="229">
        <f t="shared" ref="AY199" si="254">SUM(AX199,1)</f>
        <v>48</v>
      </c>
      <c r="AZ199" s="229">
        <f t="shared" ref="AZ199" si="255">SUM(AY199,1)</f>
        <v>49</v>
      </c>
      <c r="BA199" s="229">
        <f t="shared" ref="BA199" si="256">SUM(AZ199,1)</f>
        <v>50</v>
      </c>
      <c r="BB199" s="229">
        <f t="shared" ref="BB199" si="257">SUM(BA199,1)</f>
        <v>51</v>
      </c>
      <c r="BC199" s="229">
        <f t="shared" ref="BC199" si="258">SUM(BB199,1)</f>
        <v>52</v>
      </c>
      <c r="BD199" s="229">
        <f t="shared" ref="BD199" si="259">SUM(BC199,1)</f>
        <v>53</v>
      </c>
      <c r="BE199" s="229">
        <f t="shared" ref="BE199" si="260">SUM(BD199,1)</f>
        <v>54</v>
      </c>
      <c r="BF199" s="229">
        <f t="shared" ref="BF199" si="261">SUM(BE199,1)</f>
        <v>55</v>
      </c>
      <c r="BG199" s="229">
        <f t="shared" ref="BG199" si="262">SUM(BF199,1)</f>
        <v>56</v>
      </c>
      <c r="BH199" s="229">
        <f t="shared" ref="BH199" si="263">SUM(BG199,1)</f>
        <v>57</v>
      </c>
      <c r="BI199" s="229">
        <f t="shared" ref="BI199:BL199" si="264">SUM(BH199,1)</f>
        <v>58</v>
      </c>
      <c r="BJ199" s="229">
        <f t="shared" si="264"/>
        <v>59</v>
      </c>
      <c r="BK199" s="229">
        <f t="shared" si="264"/>
        <v>60</v>
      </c>
      <c r="BL199" s="229">
        <f t="shared" si="264"/>
        <v>61</v>
      </c>
    </row>
    <row r="200" spans="1:64">
      <c r="A200" s="19"/>
      <c r="B200" s="492"/>
      <c r="C200" s="492"/>
      <c r="D200" s="227">
        <f t="shared" ref="D200:AF200" si="265">D188</f>
        <v>46204</v>
      </c>
      <c r="E200" s="227">
        <f t="shared" si="265"/>
        <v>46296</v>
      </c>
      <c r="F200" s="227">
        <f t="shared" si="265"/>
        <v>46388</v>
      </c>
      <c r="G200" s="227">
        <f t="shared" si="265"/>
        <v>46478</v>
      </c>
      <c r="H200" s="227">
        <f t="shared" si="265"/>
        <v>46569</v>
      </c>
      <c r="I200" s="227">
        <f t="shared" si="265"/>
        <v>46661</v>
      </c>
      <c r="J200" s="227">
        <f t="shared" si="265"/>
        <v>46753</v>
      </c>
      <c r="K200" s="227">
        <f t="shared" si="265"/>
        <v>46844</v>
      </c>
      <c r="L200" s="227">
        <f t="shared" si="265"/>
        <v>46935</v>
      </c>
      <c r="M200" s="227">
        <f t="shared" si="265"/>
        <v>47027</v>
      </c>
      <c r="N200" s="227">
        <f t="shared" si="265"/>
        <v>47119</v>
      </c>
      <c r="O200" s="227">
        <f t="shared" si="265"/>
        <v>47209</v>
      </c>
      <c r="P200" s="227">
        <f t="shared" si="265"/>
        <v>47300</v>
      </c>
      <c r="Q200" s="227">
        <f t="shared" si="265"/>
        <v>47392</v>
      </c>
      <c r="R200" s="227">
        <f t="shared" si="265"/>
        <v>47484</v>
      </c>
      <c r="S200" s="227">
        <f t="shared" si="265"/>
        <v>47574</v>
      </c>
      <c r="T200" s="227">
        <f t="shared" si="265"/>
        <v>47665</v>
      </c>
      <c r="U200" s="227">
        <f t="shared" si="265"/>
        <v>47757</v>
      </c>
      <c r="V200" s="227">
        <f t="shared" si="265"/>
        <v>47849</v>
      </c>
      <c r="W200" s="227">
        <f t="shared" si="265"/>
        <v>47939</v>
      </c>
      <c r="X200" s="227">
        <f t="shared" si="265"/>
        <v>48030</v>
      </c>
      <c r="Y200" s="227">
        <f t="shared" si="265"/>
        <v>48122</v>
      </c>
      <c r="Z200" s="227">
        <f t="shared" si="265"/>
        <v>48214</v>
      </c>
      <c r="AA200" s="227">
        <f t="shared" si="265"/>
        <v>48305</v>
      </c>
      <c r="AB200" s="227">
        <f t="shared" si="265"/>
        <v>48396</v>
      </c>
      <c r="AC200" s="227">
        <f t="shared" si="265"/>
        <v>48488</v>
      </c>
      <c r="AD200" s="227">
        <f t="shared" si="265"/>
        <v>48580</v>
      </c>
      <c r="AE200" s="227">
        <f t="shared" si="265"/>
        <v>48670</v>
      </c>
      <c r="AF200" s="227">
        <f t="shared" si="265"/>
        <v>48761</v>
      </c>
      <c r="AG200" s="227">
        <f t="shared" ref="AG200:BI200" si="266">AG188</f>
        <v>48853</v>
      </c>
      <c r="AH200" s="227">
        <f t="shared" si="266"/>
        <v>48945</v>
      </c>
      <c r="AI200" s="227">
        <f t="shared" si="266"/>
        <v>49035</v>
      </c>
      <c r="AJ200" s="227">
        <f t="shared" si="266"/>
        <v>49126</v>
      </c>
      <c r="AK200" s="227">
        <f t="shared" si="266"/>
        <v>49218</v>
      </c>
      <c r="AL200" s="227">
        <f t="shared" si="266"/>
        <v>49310</v>
      </c>
      <c r="AM200" s="227">
        <f t="shared" si="266"/>
        <v>49400</v>
      </c>
      <c r="AN200" s="227">
        <f t="shared" si="266"/>
        <v>49491</v>
      </c>
      <c r="AO200" s="227">
        <f t="shared" si="266"/>
        <v>49583</v>
      </c>
      <c r="AP200" s="227">
        <f t="shared" si="266"/>
        <v>49675</v>
      </c>
      <c r="AQ200" s="227">
        <f t="shared" si="266"/>
        <v>49766</v>
      </c>
      <c r="AR200" s="227">
        <f t="shared" si="266"/>
        <v>49857</v>
      </c>
      <c r="AS200" s="227">
        <f t="shared" si="266"/>
        <v>49949</v>
      </c>
      <c r="AT200" s="227">
        <f t="shared" si="266"/>
        <v>50041</v>
      </c>
      <c r="AU200" s="227">
        <f t="shared" si="266"/>
        <v>50131</v>
      </c>
      <c r="AV200" s="227">
        <f t="shared" si="266"/>
        <v>50222</v>
      </c>
      <c r="AW200" s="227">
        <f t="shared" si="266"/>
        <v>50314</v>
      </c>
      <c r="AX200" s="227">
        <f t="shared" si="266"/>
        <v>50406</v>
      </c>
      <c r="AY200" s="227">
        <f t="shared" si="266"/>
        <v>50496</v>
      </c>
      <c r="AZ200" s="227">
        <f t="shared" si="266"/>
        <v>50587</v>
      </c>
      <c r="BA200" s="227">
        <f t="shared" si="266"/>
        <v>50679</v>
      </c>
      <c r="BB200" s="227">
        <f t="shared" si="266"/>
        <v>50771</v>
      </c>
      <c r="BC200" s="227">
        <f t="shared" si="266"/>
        <v>50861</v>
      </c>
      <c r="BD200" s="227">
        <f t="shared" si="266"/>
        <v>50952</v>
      </c>
      <c r="BE200" s="227">
        <f t="shared" si="266"/>
        <v>51044</v>
      </c>
      <c r="BF200" s="227">
        <f t="shared" si="266"/>
        <v>51136</v>
      </c>
      <c r="BG200" s="227">
        <f t="shared" si="266"/>
        <v>51227</v>
      </c>
      <c r="BH200" s="227">
        <f t="shared" si="266"/>
        <v>51318</v>
      </c>
      <c r="BI200" s="227">
        <f t="shared" si="266"/>
        <v>51410</v>
      </c>
      <c r="BJ200" s="227">
        <f t="shared" ref="BJ200:BL200" si="267">BJ188</f>
        <v>51502</v>
      </c>
      <c r="BK200" s="227">
        <f t="shared" si="267"/>
        <v>51592</v>
      </c>
      <c r="BL200" s="227">
        <f t="shared" si="267"/>
        <v>51683</v>
      </c>
    </row>
    <row r="201" spans="1:64">
      <c r="A201" s="19"/>
      <c r="B201" s="493"/>
      <c r="C201" s="493"/>
      <c r="D201" s="227">
        <f t="shared" ref="D201:AF201" si="268">D189</f>
        <v>46295</v>
      </c>
      <c r="E201" s="227">
        <f t="shared" si="268"/>
        <v>46387</v>
      </c>
      <c r="F201" s="227">
        <f t="shared" si="268"/>
        <v>46477</v>
      </c>
      <c r="G201" s="227">
        <f t="shared" si="268"/>
        <v>46568</v>
      </c>
      <c r="H201" s="227">
        <f t="shared" si="268"/>
        <v>46660</v>
      </c>
      <c r="I201" s="227">
        <f t="shared" si="268"/>
        <v>46752</v>
      </c>
      <c r="J201" s="227">
        <f t="shared" si="268"/>
        <v>46843</v>
      </c>
      <c r="K201" s="227">
        <f t="shared" si="268"/>
        <v>46934</v>
      </c>
      <c r="L201" s="227">
        <f t="shared" si="268"/>
        <v>47026</v>
      </c>
      <c r="M201" s="227">
        <f t="shared" si="268"/>
        <v>47118</v>
      </c>
      <c r="N201" s="227">
        <f t="shared" si="268"/>
        <v>47208</v>
      </c>
      <c r="O201" s="227">
        <f t="shared" si="268"/>
        <v>47299</v>
      </c>
      <c r="P201" s="227">
        <f t="shared" si="268"/>
        <v>47391</v>
      </c>
      <c r="Q201" s="227">
        <f t="shared" si="268"/>
        <v>47483</v>
      </c>
      <c r="R201" s="227">
        <f t="shared" si="268"/>
        <v>47573</v>
      </c>
      <c r="S201" s="227">
        <f t="shared" si="268"/>
        <v>47664</v>
      </c>
      <c r="T201" s="227">
        <f t="shared" si="268"/>
        <v>47756</v>
      </c>
      <c r="U201" s="227">
        <f t="shared" si="268"/>
        <v>47848</v>
      </c>
      <c r="V201" s="227">
        <f t="shared" si="268"/>
        <v>47938</v>
      </c>
      <c r="W201" s="227">
        <f t="shared" si="268"/>
        <v>48029</v>
      </c>
      <c r="X201" s="227">
        <f t="shared" si="268"/>
        <v>48121</v>
      </c>
      <c r="Y201" s="227">
        <f t="shared" si="268"/>
        <v>48213</v>
      </c>
      <c r="Z201" s="227">
        <f t="shared" si="268"/>
        <v>48304</v>
      </c>
      <c r="AA201" s="227">
        <f t="shared" si="268"/>
        <v>48395</v>
      </c>
      <c r="AB201" s="227">
        <f t="shared" si="268"/>
        <v>48487</v>
      </c>
      <c r="AC201" s="227">
        <f t="shared" si="268"/>
        <v>48579</v>
      </c>
      <c r="AD201" s="227">
        <f t="shared" si="268"/>
        <v>48669</v>
      </c>
      <c r="AE201" s="227">
        <f t="shared" si="268"/>
        <v>48760</v>
      </c>
      <c r="AF201" s="227">
        <f t="shared" si="268"/>
        <v>48852</v>
      </c>
      <c r="AG201" s="227">
        <f t="shared" ref="AG201:BI201" si="269">AG189</f>
        <v>48944</v>
      </c>
      <c r="AH201" s="227">
        <f t="shared" si="269"/>
        <v>49034</v>
      </c>
      <c r="AI201" s="227">
        <f t="shared" si="269"/>
        <v>49125</v>
      </c>
      <c r="AJ201" s="227">
        <f t="shared" si="269"/>
        <v>49217</v>
      </c>
      <c r="AK201" s="227">
        <f t="shared" si="269"/>
        <v>49309</v>
      </c>
      <c r="AL201" s="227">
        <f t="shared" si="269"/>
        <v>49399</v>
      </c>
      <c r="AM201" s="227">
        <f t="shared" si="269"/>
        <v>49490</v>
      </c>
      <c r="AN201" s="227">
        <f t="shared" si="269"/>
        <v>49582</v>
      </c>
      <c r="AO201" s="227">
        <f t="shared" si="269"/>
        <v>49674</v>
      </c>
      <c r="AP201" s="227">
        <f t="shared" si="269"/>
        <v>49765</v>
      </c>
      <c r="AQ201" s="227">
        <f t="shared" si="269"/>
        <v>49856</v>
      </c>
      <c r="AR201" s="227">
        <f t="shared" si="269"/>
        <v>49948</v>
      </c>
      <c r="AS201" s="227">
        <f t="shared" si="269"/>
        <v>50040</v>
      </c>
      <c r="AT201" s="227">
        <f t="shared" si="269"/>
        <v>50130</v>
      </c>
      <c r="AU201" s="227">
        <f t="shared" si="269"/>
        <v>50221</v>
      </c>
      <c r="AV201" s="227">
        <f t="shared" si="269"/>
        <v>50313</v>
      </c>
      <c r="AW201" s="227">
        <f t="shared" si="269"/>
        <v>50405</v>
      </c>
      <c r="AX201" s="227">
        <f t="shared" si="269"/>
        <v>50495</v>
      </c>
      <c r="AY201" s="227">
        <f t="shared" si="269"/>
        <v>50586</v>
      </c>
      <c r="AZ201" s="227">
        <f t="shared" si="269"/>
        <v>50678</v>
      </c>
      <c r="BA201" s="227">
        <f t="shared" si="269"/>
        <v>50770</v>
      </c>
      <c r="BB201" s="227">
        <f t="shared" si="269"/>
        <v>50860</v>
      </c>
      <c r="BC201" s="227">
        <f t="shared" si="269"/>
        <v>50951</v>
      </c>
      <c r="BD201" s="227">
        <f t="shared" si="269"/>
        <v>51043</v>
      </c>
      <c r="BE201" s="227">
        <f t="shared" si="269"/>
        <v>51135</v>
      </c>
      <c r="BF201" s="227">
        <f t="shared" si="269"/>
        <v>51226</v>
      </c>
      <c r="BG201" s="227">
        <f t="shared" si="269"/>
        <v>51317</v>
      </c>
      <c r="BH201" s="227">
        <f t="shared" si="269"/>
        <v>51409</v>
      </c>
      <c r="BI201" s="227">
        <f t="shared" si="269"/>
        <v>51501</v>
      </c>
      <c r="BJ201" s="227">
        <f t="shared" ref="BJ201:BL201" si="270">BJ189</f>
        <v>51591</v>
      </c>
      <c r="BK201" s="227">
        <f t="shared" si="270"/>
        <v>51682</v>
      </c>
      <c r="BL201" s="227">
        <f t="shared" si="270"/>
        <v>51774</v>
      </c>
    </row>
    <row r="202" spans="1:64">
      <c r="B202" s="47" t="s">
        <v>15</v>
      </c>
      <c r="C202" s="250">
        <f>SUM(D202:BL202)</f>
        <v>0</v>
      </c>
      <c r="D202" s="293"/>
      <c r="E202" s="293"/>
      <c r="F202" s="293"/>
      <c r="G202" s="293"/>
      <c r="H202" s="293"/>
      <c r="I202" s="293"/>
      <c r="J202" s="293"/>
      <c r="K202" s="293"/>
      <c r="L202" s="293"/>
      <c r="M202" s="293"/>
      <c r="N202" s="293"/>
      <c r="O202" s="293"/>
      <c r="P202" s="293"/>
      <c r="Q202" s="293"/>
      <c r="R202" s="293"/>
      <c r="S202" s="293"/>
      <c r="T202" s="293"/>
      <c r="U202" s="293"/>
      <c r="V202" s="293"/>
      <c r="W202" s="293"/>
      <c r="X202" s="293"/>
      <c r="Y202" s="293"/>
      <c r="Z202" s="293"/>
      <c r="AA202" s="293"/>
      <c r="AB202" s="293"/>
      <c r="AC202" s="293"/>
      <c r="AD202" s="293"/>
      <c r="AE202" s="293"/>
      <c r="AF202" s="293"/>
      <c r="AG202" s="293"/>
      <c r="AH202" s="293"/>
      <c r="AI202" s="293"/>
      <c r="AJ202" s="293"/>
      <c r="AK202" s="293"/>
      <c r="AL202" s="293"/>
      <c r="AM202" s="293"/>
      <c r="AN202" s="293"/>
      <c r="AO202" s="293"/>
      <c r="AP202" s="293"/>
      <c r="AQ202" s="293"/>
      <c r="AR202" s="293"/>
      <c r="AS202" s="293"/>
      <c r="AT202" s="293"/>
      <c r="AU202" s="293"/>
      <c r="AV202" s="293"/>
      <c r="AW202" s="293"/>
      <c r="AX202" s="293"/>
      <c r="AY202" s="293"/>
      <c r="AZ202" s="293"/>
      <c r="BA202" s="293"/>
      <c r="BB202" s="293"/>
      <c r="BC202" s="293"/>
      <c r="BD202" s="293"/>
      <c r="BE202" s="293"/>
      <c r="BF202" s="293"/>
      <c r="BG202" s="293"/>
      <c r="BH202" s="293"/>
      <c r="BI202" s="293"/>
      <c r="BJ202" s="293"/>
      <c r="BK202" s="293"/>
      <c r="BL202" s="293"/>
    </row>
    <row r="203" spans="1:64" ht="15" customHeight="1">
      <c r="B203" s="15" t="s">
        <v>16</v>
      </c>
      <c r="C203" s="251">
        <f>SUM(D203:BL203)</f>
        <v>0</v>
      </c>
      <c r="D203" s="294"/>
      <c r="E203" s="294"/>
      <c r="F203" s="294"/>
      <c r="G203" s="294"/>
      <c r="H203" s="294"/>
      <c r="I203" s="294"/>
      <c r="J203" s="294"/>
      <c r="K203" s="294"/>
      <c r="L203" s="294"/>
      <c r="M203" s="294"/>
      <c r="N203" s="294"/>
      <c r="O203" s="294"/>
      <c r="P203" s="294"/>
      <c r="Q203" s="294"/>
      <c r="R203" s="294"/>
      <c r="S203" s="294"/>
      <c r="T203" s="294"/>
      <c r="U203" s="294"/>
      <c r="V203" s="294"/>
      <c r="W203" s="294"/>
      <c r="X203" s="294"/>
      <c r="Y203" s="294"/>
      <c r="Z203" s="294"/>
      <c r="AA203" s="294"/>
      <c r="AB203" s="294"/>
      <c r="AC203" s="294"/>
      <c r="AD203" s="294"/>
      <c r="AE203" s="294"/>
      <c r="AF203" s="294"/>
      <c r="AG203" s="294"/>
      <c r="AH203" s="294"/>
      <c r="AI203" s="294"/>
      <c r="AJ203" s="294"/>
      <c r="AK203" s="294"/>
      <c r="AL203" s="294"/>
      <c r="AM203" s="294"/>
      <c r="AN203" s="294"/>
      <c r="AO203" s="294"/>
      <c r="AP203" s="294"/>
      <c r="AQ203" s="294"/>
      <c r="AR203" s="294"/>
      <c r="AS203" s="294"/>
      <c r="AT203" s="294"/>
      <c r="AU203" s="294"/>
      <c r="AV203" s="294"/>
      <c r="AW203" s="294"/>
      <c r="AX203" s="294"/>
      <c r="AY203" s="294"/>
      <c r="AZ203" s="294"/>
      <c r="BA203" s="294"/>
      <c r="BB203" s="294"/>
      <c r="BC203" s="294"/>
      <c r="BD203" s="294"/>
      <c r="BE203" s="294"/>
      <c r="BF203" s="294"/>
      <c r="BG203" s="294"/>
      <c r="BH203" s="294"/>
      <c r="BI203" s="294"/>
      <c r="BJ203" s="294"/>
      <c r="BK203" s="294"/>
      <c r="BL203" s="294"/>
    </row>
    <row r="204" spans="1:64" ht="15" customHeight="1">
      <c r="C204" s="37"/>
    </row>
    <row r="205" spans="1:64" ht="15" customHeight="1">
      <c r="B205" s="51" t="s">
        <v>350</v>
      </c>
      <c r="C205" s="119" t="str">
        <f>IFERROR(IF(C203&gt;SUM(C202,C196),"Q","R"),"Q")</f>
        <v>R</v>
      </c>
    </row>
    <row r="206" spans="1:64" ht="15" customHeight="1"/>
    <row r="207" spans="1:64" ht="15.75">
      <c r="B207" s="22" t="s">
        <v>402</v>
      </c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5"/>
      <c r="AE207" s="5"/>
      <c r="AF207" s="5"/>
      <c r="AG207" s="5"/>
      <c r="AH207" s="5"/>
      <c r="AI207" s="5"/>
      <c r="AJ207" s="5"/>
      <c r="AK207" s="5"/>
      <c r="AL207" s="5"/>
      <c r="AM207" s="5"/>
    </row>
    <row r="208" spans="1:64" ht="15" customHeight="1">
      <c r="B208" s="23" t="s">
        <v>54</v>
      </c>
    </row>
    <row r="209" spans="1:64" ht="15" customHeight="1">
      <c r="B209" s="16" t="s">
        <v>55</v>
      </c>
      <c r="C209" s="264"/>
    </row>
    <row r="210" spans="1:64" ht="15" customHeight="1">
      <c r="B210" s="16" t="s">
        <v>56</v>
      </c>
      <c r="C210" s="296"/>
    </row>
    <row r="211" spans="1:64" ht="15" customHeight="1">
      <c r="B211" s="26" t="str">
        <f>"Ранее привлечено в проект, "&amp;Единица_измерения</f>
        <v>Ранее привлечено в проект, тыс. руб.</v>
      </c>
      <c r="C211" s="294"/>
    </row>
    <row r="212" spans="1:64" ht="15" customHeight="1"/>
    <row r="213" spans="1:64">
      <c r="B213" s="23" t="str">
        <f>"График привлечения и погашения средств источника в проект, "&amp;Единица_измерения</f>
        <v>График привлечения и погашения средств источника в проект, тыс. руб.</v>
      </c>
      <c r="C213" s="18"/>
      <c r="D213" s="18"/>
      <c r="E213" s="18"/>
      <c r="F213" s="18"/>
      <c r="G213" s="18"/>
      <c r="H213" s="18"/>
      <c r="I213" s="18"/>
      <c r="J213" s="18"/>
      <c r="K213" s="18"/>
      <c r="L213" s="18"/>
      <c r="M213" s="18"/>
      <c r="N213" s="18"/>
      <c r="O213" s="18"/>
      <c r="P213" s="18"/>
      <c r="Q213" s="18"/>
      <c r="R213" s="18"/>
      <c r="S213" s="18"/>
      <c r="T213" s="18"/>
      <c r="U213" s="18"/>
      <c r="V213" s="18"/>
      <c r="W213" s="18"/>
      <c r="X213" s="18"/>
      <c r="Y213" s="18"/>
      <c r="Z213" s="18"/>
      <c r="AA213" s="18"/>
      <c r="AB213" s="18"/>
      <c r="AC213" s="18"/>
      <c r="AD213" s="18"/>
      <c r="AE213" s="18"/>
      <c r="AF213" s="18"/>
      <c r="AG213" s="5"/>
      <c r="AH213" s="5"/>
      <c r="AI213" s="5"/>
      <c r="AJ213" s="5"/>
      <c r="AK213" s="5"/>
      <c r="AL213" s="5"/>
      <c r="AM213" s="5"/>
    </row>
    <row r="214" spans="1:64" ht="15" customHeight="1">
      <c r="A214" s="19"/>
      <c r="B214" s="491" t="s">
        <v>62</v>
      </c>
      <c r="C214" s="491" t="s">
        <v>12</v>
      </c>
      <c r="D214" s="229">
        <f>SUM(C214,1)</f>
        <v>1</v>
      </c>
      <c r="E214" s="229">
        <f t="shared" ref="E214:W214" si="271">SUM(D214,1)</f>
        <v>2</v>
      </c>
      <c r="F214" s="229">
        <f t="shared" si="271"/>
        <v>3</v>
      </c>
      <c r="G214" s="229">
        <f t="shared" si="271"/>
        <v>4</v>
      </c>
      <c r="H214" s="229">
        <f t="shared" si="271"/>
        <v>5</v>
      </c>
      <c r="I214" s="229">
        <f t="shared" si="271"/>
        <v>6</v>
      </c>
      <c r="J214" s="229">
        <f t="shared" si="271"/>
        <v>7</v>
      </c>
      <c r="K214" s="229">
        <f t="shared" si="271"/>
        <v>8</v>
      </c>
      <c r="L214" s="229">
        <f t="shared" si="271"/>
        <v>9</v>
      </c>
      <c r="M214" s="229">
        <f t="shared" si="271"/>
        <v>10</v>
      </c>
      <c r="N214" s="229">
        <f t="shared" si="271"/>
        <v>11</v>
      </c>
      <c r="O214" s="229">
        <f t="shared" si="271"/>
        <v>12</v>
      </c>
      <c r="P214" s="229">
        <f t="shared" si="271"/>
        <v>13</v>
      </c>
      <c r="Q214" s="229">
        <f t="shared" si="271"/>
        <v>14</v>
      </c>
      <c r="R214" s="229">
        <f t="shared" si="271"/>
        <v>15</v>
      </c>
      <c r="S214" s="229">
        <f t="shared" si="271"/>
        <v>16</v>
      </c>
      <c r="T214" s="229">
        <f t="shared" si="271"/>
        <v>17</v>
      </c>
      <c r="U214" s="229">
        <f t="shared" si="271"/>
        <v>18</v>
      </c>
      <c r="V214" s="229">
        <f t="shared" si="271"/>
        <v>19</v>
      </c>
      <c r="W214" s="229">
        <f t="shared" si="271"/>
        <v>20</v>
      </c>
      <c r="X214" s="229">
        <f t="shared" ref="X214:AF214" si="272">SUM(W214,1)</f>
        <v>21</v>
      </c>
      <c r="Y214" s="229">
        <f t="shared" si="272"/>
        <v>22</v>
      </c>
      <c r="Z214" s="229">
        <f t="shared" si="272"/>
        <v>23</v>
      </c>
      <c r="AA214" s="229">
        <f t="shared" si="272"/>
        <v>24</v>
      </c>
      <c r="AB214" s="229">
        <f t="shared" si="272"/>
        <v>25</v>
      </c>
      <c r="AC214" s="229">
        <f t="shared" si="272"/>
        <v>26</v>
      </c>
      <c r="AD214" s="229">
        <f t="shared" si="272"/>
        <v>27</v>
      </c>
      <c r="AE214" s="229">
        <f t="shared" si="272"/>
        <v>28</v>
      </c>
      <c r="AF214" s="229">
        <f t="shared" si="272"/>
        <v>29</v>
      </c>
      <c r="AG214" s="229">
        <f t="shared" ref="AG214" si="273">SUM(AF214,1)</f>
        <v>30</v>
      </c>
      <c r="AH214" s="229">
        <f t="shared" ref="AH214" si="274">SUM(AG214,1)</f>
        <v>31</v>
      </c>
      <c r="AI214" s="229">
        <f t="shared" ref="AI214" si="275">SUM(AH214,1)</f>
        <v>32</v>
      </c>
      <c r="AJ214" s="229">
        <f t="shared" ref="AJ214" si="276">SUM(AI214,1)</f>
        <v>33</v>
      </c>
      <c r="AK214" s="229">
        <f t="shared" ref="AK214" si="277">SUM(AJ214,1)</f>
        <v>34</v>
      </c>
      <c r="AL214" s="229">
        <f t="shared" ref="AL214" si="278">SUM(AK214,1)</f>
        <v>35</v>
      </c>
      <c r="AM214" s="229">
        <f t="shared" ref="AM214" si="279">SUM(AL214,1)</f>
        <v>36</v>
      </c>
      <c r="AN214" s="229">
        <f t="shared" ref="AN214" si="280">SUM(AM214,1)</f>
        <v>37</v>
      </c>
      <c r="AO214" s="229">
        <f t="shared" ref="AO214" si="281">SUM(AN214,1)</f>
        <v>38</v>
      </c>
      <c r="AP214" s="229">
        <f t="shared" ref="AP214" si="282">SUM(AO214,1)</f>
        <v>39</v>
      </c>
      <c r="AQ214" s="229">
        <f t="shared" ref="AQ214" si="283">SUM(AP214,1)</f>
        <v>40</v>
      </c>
      <c r="AR214" s="229">
        <f t="shared" ref="AR214" si="284">SUM(AQ214,1)</f>
        <v>41</v>
      </c>
      <c r="AS214" s="229">
        <f t="shared" ref="AS214" si="285">SUM(AR214,1)</f>
        <v>42</v>
      </c>
      <c r="AT214" s="229">
        <f t="shared" ref="AT214" si="286">SUM(AS214,1)</f>
        <v>43</v>
      </c>
      <c r="AU214" s="229">
        <f t="shared" ref="AU214" si="287">SUM(AT214,1)</f>
        <v>44</v>
      </c>
      <c r="AV214" s="229">
        <f t="shared" ref="AV214" si="288">SUM(AU214,1)</f>
        <v>45</v>
      </c>
      <c r="AW214" s="229">
        <f t="shared" ref="AW214" si="289">SUM(AV214,1)</f>
        <v>46</v>
      </c>
      <c r="AX214" s="229">
        <f t="shared" ref="AX214" si="290">SUM(AW214,1)</f>
        <v>47</v>
      </c>
      <c r="AY214" s="229">
        <f t="shared" ref="AY214" si="291">SUM(AX214,1)</f>
        <v>48</v>
      </c>
      <c r="AZ214" s="229">
        <f t="shared" ref="AZ214" si="292">SUM(AY214,1)</f>
        <v>49</v>
      </c>
      <c r="BA214" s="229">
        <f t="shared" ref="BA214" si="293">SUM(AZ214,1)</f>
        <v>50</v>
      </c>
      <c r="BB214" s="229">
        <f t="shared" ref="BB214" si="294">SUM(BA214,1)</f>
        <v>51</v>
      </c>
      <c r="BC214" s="229">
        <f t="shared" ref="BC214" si="295">SUM(BB214,1)</f>
        <v>52</v>
      </c>
      <c r="BD214" s="229">
        <f t="shared" ref="BD214" si="296">SUM(BC214,1)</f>
        <v>53</v>
      </c>
      <c r="BE214" s="229">
        <f t="shared" ref="BE214" si="297">SUM(BD214,1)</f>
        <v>54</v>
      </c>
      <c r="BF214" s="229">
        <f t="shared" ref="BF214" si="298">SUM(BE214,1)</f>
        <v>55</v>
      </c>
      <c r="BG214" s="229">
        <f t="shared" ref="BG214" si="299">SUM(BF214,1)</f>
        <v>56</v>
      </c>
      <c r="BH214" s="229">
        <f t="shared" ref="BH214" si="300">SUM(BG214,1)</f>
        <v>57</v>
      </c>
      <c r="BI214" s="229">
        <f t="shared" ref="BI214:BL214" si="301">SUM(BH214,1)</f>
        <v>58</v>
      </c>
      <c r="BJ214" s="229">
        <f t="shared" si="301"/>
        <v>59</v>
      </c>
      <c r="BK214" s="229">
        <f t="shared" si="301"/>
        <v>60</v>
      </c>
      <c r="BL214" s="229">
        <f t="shared" si="301"/>
        <v>61</v>
      </c>
    </row>
    <row r="215" spans="1:64">
      <c r="A215" s="19"/>
      <c r="B215" s="492"/>
      <c r="C215" s="492"/>
      <c r="D215" s="227">
        <f t="shared" ref="D215:AF215" si="302">D239</f>
        <v>46204</v>
      </c>
      <c r="E215" s="227">
        <f t="shared" si="302"/>
        <v>46296</v>
      </c>
      <c r="F215" s="227">
        <f t="shared" si="302"/>
        <v>46388</v>
      </c>
      <c r="G215" s="227">
        <f t="shared" si="302"/>
        <v>46478</v>
      </c>
      <c r="H215" s="227">
        <f t="shared" si="302"/>
        <v>46569</v>
      </c>
      <c r="I215" s="227">
        <f t="shared" si="302"/>
        <v>46661</v>
      </c>
      <c r="J215" s="227">
        <f t="shared" si="302"/>
        <v>46753</v>
      </c>
      <c r="K215" s="227">
        <f t="shared" si="302"/>
        <v>46844</v>
      </c>
      <c r="L215" s="227">
        <f t="shared" si="302"/>
        <v>46935</v>
      </c>
      <c r="M215" s="227">
        <f t="shared" si="302"/>
        <v>47027</v>
      </c>
      <c r="N215" s="227">
        <f t="shared" si="302"/>
        <v>47119</v>
      </c>
      <c r="O215" s="227">
        <f t="shared" si="302"/>
        <v>47209</v>
      </c>
      <c r="P215" s="227">
        <f t="shared" si="302"/>
        <v>47300</v>
      </c>
      <c r="Q215" s="227">
        <f t="shared" si="302"/>
        <v>47392</v>
      </c>
      <c r="R215" s="227">
        <f t="shared" si="302"/>
        <v>47484</v>
      </c>
      <c r="S215" s="227">
        <f t="shared" si="302"/>
        <v>47574</v>
      </c>
      <c r="T215" s="227">
        <f t="shared" si="302"/>
        <v>47665</v>
      </c>
      <c r="U215" s="227">
        <f t="shared" si="302"/>
        <v>47757</v>
      </c>
      <c r="V215" s="227">
        <f t="shared" si="302"/>
        <v>47849</v>
      </c>
      <c r="W215" s="227">
        <f t="shared" si="302"/>
        <v>47939</v>
      </c>
      <c r="X215" s="227">
        <f t="shared" si="302"/>
        <v>48030</v>
      </c>
      <c r="Y215" s="227">
        <f t="shared" si="302"/>
        <v>48122</v>
      </c>
      <c r="Z215" s="227">
        <f t="shared" si="302"/>
        <v>48214</v>
      </c>
      <c r="AA215" s="227">
        <f t="shared" si="302"/>
        <v>48305</v>
      </c>
      <c r="AB215" s="227">
        <f t="shared" si="302"/>
        <v>48396</v>
      </c>
      <c r="AC215" s="227">
        <f t="shared" si="302"/>
        <v>48488</v>
      </c>
      <c r="AD215" s="227">
        <f t="shared" si="302"/>
        <v>48580</v>
      </c>
      <c r="AE215" s="227">
        <f t="shared" si="302"/>
        <v>48670</v>
      </c>
      <c r="AF215" s="227">
        <f t="shared" si="302"/>
        <v>48761</v>
      </c>
      <c r="AG215" s="227">
        <f t="shared" ref="AG215:BI215" si="303">AG239</f>
        <v>48853</v>
      </c>
      <c r="AH215" s="227">
        <f t="shared" si="303"/>
        <v>48945</v>
      </c>
      <c r="AI215" s="227">
        <f t="shared" si="303"/>
        <v>49035</v>
      </c>
      <c r="AJ215" s="227">
        <f t="shared" si="303"/>
        <v>49126</v>
      </c>
      <c r="AK215" s="227">
        <f t="shared" si="303"/>
        <v>49218</v>
      </c>
      <c r="AL215" s="227">
        <f t="shared" si="303"/>
        <v>49310</v>
      </c>
      <c r="AM215" s="227">
        <f t="shared" si="303"/>
        <v>49400</v>
      </c>
      <c r="AN215" s="227">
        <f t="shared" si="303"/>
        <v>49491</v>
      </c>
      <c r="AO215" s="227">
        <f t="shared" si="303"/>
        <v>49583</v>
      </c>
      <c r="AP215" s="227">
        <f t="shared" si="303"/>
        <v>49675</v>
      </c>
      <c r="AQ215" s="227">
        <f t="shared" si="303"/>
        <v>49766</v>
      </c>
      <c r="AR215" s="227">
        <f t="shared" si="303"/>
        <v>49857</v>
      </c>
      <c r="AS215" s="227">
        <f t="shared" si="303"/>
        <v>49949</v>
      </c>
      <c r="AT215" s="227">
        <f t="shared" si="303"/>
        <v>50041</v>
      </c>
      <c r="AU215" s="227">
        <f t="shared" si="303"/>
        <v>50131</v>
      </c>
      <c r="AV215" s="227">
        <f t="shared" si="303"/>
        <v>50222</v>
      </c>
      <c r="AW215" s="227">
        <f t="shared" si="303"/>
        <v>50314</v>
      </c>
      <c r="AX215" s="227">
        <f t="shared" si="303"/>
        <v>50406</v>
      </c>
      <c r="AY215" s="227">
        <f t="shared" si="303"/>
        <v>50496</v>
      </c>
      <c r="AZ215" s="227">
        <f t="shared" si="303"/>
        <v>50587</v>
      </c>
      <c r="BA215" s="227">
        <f t="shared" si="303"/>
        <v>50679</v>
      </c>
      <c r="BB215" s="227">
        <f t="shared" si="303"/>
        <v>50771</v>
      </c>
      <c r="BC215" s="227">
        <f t="shared" si="303"/>
        <v>50861</v>
      </c>
      <c r="BD215" s="227">
        <f t="shared" si="303"/>
        <v>50952</v>
      </c>
      <c r="BE215" s="227">
        <f t="shared" si="303"/>
        <v>51044</v>
      </c>
      <c r="BF215" s="227">
        <f t="shared" si="303"/>
        <v>51136</v>
      </c>
      <c r="BG215" s="227">
        <f t="shared" si="303"/>
        <v>51227</v>
      </c>
      <c r="BH215" s="227">
        <f t="shared" si="303"/>
        <v>51318</v>
      </c>
      <c r="BI215" s="227">
        <f t="shared" si="303"/>
        <v>51410</v>
      </c>
      <c r="BJ215" s="227">
        <f t="shared" ref="BJ215:BL215" si="304">BJ239</f>
        <v>51502</v>
      </c>
      <c r="BK215" s="227">
        <f t="shared" si="304"/>
        <v>51592</v>
      </c>
      <c r="BL215" s="227">
        <f t="shared" si="304"/>
        <v>51683</v>
      </c>
    </row>
    <row r="216" spans="1:64">
      <c r="A216" s="19"/>
      <c r="B216" s="493"/>
      <c r="C216" s="493"/>
      <c r="D216" s="227">
        <f t="shared" ref="D216:AF216" si="305">D240</f>
        <v>46295</v>
      </c>
      <c r="E216" s="227">
        <f t="shared" si="305"/>
        <v>46387</v>
      </c>
      <c r="F216" s="227">
        <f t="shared" si="305"/>
        <v>46477</v>
      </c>
      <c r="G216" s="227">
        <f t="shared" si="305"/>
        <v>46568</v>
      </c>
      <c r="H216" s="227">
        <f t="shared" si="305"/>
        <v>46660</v>
      </c>
      <c r="I216" s="227">
        <f t="shared" si="305"/>
        <v>46752</v>
      </c>
      <c r="J216" s="227">
        <f t="shared" si="305"/>
        <v>46843</v>
      </c>
      <c r="K216" s="227">
        <f t="shared" si="305"/>
        <v>46934</v>
      </c>
      <c r="L216" s="227">
        <f t="shared" si="305"/>
        <v>47026</v>
      </c>
      <c r="M216" s="227">
        <f t="shared" si="305"/>
        <v>47118</v>
      </c>
      <c r="N216" s="227">
        <f t="shared" si="305"/>
        <v>47208</v>
      </c>
      <c r="O216" s="227">
        <f t="shared" si="305"/>
        <v>47299</v>
      </c>
      <c r="P216" s="227">
        <f t="shared" si="305"/>
        <v>47391</v>
      </c>
      <c r="Q216" s="227">
        <f t="shared" si="305"/>
        <v>47483</v>
      </c>
      <c r="R216" s="227">
        <f t="shared" si="305"/>
        <v>47573</v>
      </c>
      <c r="S216" s="227">
        <f t="shared" si="305"/>
        <v>47664</v>
      </c>
      <c r="T216" s="227">
        <f t="shared" si="305"/>
        <v>47756</v>
      </c>
      <c r="U216" s="227">
        <f t="shared" si="305"/>
        <v>47848</v>
      </c>
      <c r="V216" s="227">
        <f t="shared" si="305"/>
        <v>47938</v>
      </c>
      <c r="W216" s="227">
        <f t="shared" si="305"/>
        <v>48029</v>
      </c>
      <c r="X216" s="227">
        <f t="shared" si="305"/>
        <v>48121</v>
      </c>
      <c r="Y216" s="227">
        <f t="shared" si="305"/>
        <v>48213</v>
      </c>
      <c r="Z216" s="227">
        <f t="shared" si="305"/>
        <v>48304</v>
      </c>
      <c r="AA216" s="227">
        <f t="shared" si="305"/>
        <v>48395</v>
      </c>
      <c r="AB216" s="227">
        <f t="shared" si="305"/>
        <v>48487</v>
      </c>
      <c r="AC216" s="227">
        <f t="shared" si="305"/>
        <v>48579</v>
      </c>
      <c r="AD216" s="227">
        <f t="shared" si="305"/>
        <v>48669</v>
      </c>
      <c r="AE216" s="227">
        <f t="shared" si="305"/>
        <v>48760</v>
      </c>
      <c r="AF216" s="227">
        <f t="shared" si="305"/>
        <v>48852</v>
      </c>
      <c r="AG216" s="227">
        <f t="shared" ref="AG216:BI216" si="306">AG240</f>
        <v>48944</v>
      </c>
      <c r="AH216" s="227">
        <f t="shared" si="306"/>
        <v>49034</v>
      </c>
      <c r="AI216" s="227">
        <f t="shared" si="306"/>
        <v>49125</v>
      </c>
      <c r="AJ216" s="227">
        <f t="shared" si="306"/>
        <v>49217</v>
      </c>
      <c r="AK216" s="227">
        <f t="shared" si="306"/>
        <v>49309</v>
      </c>
      <c r="AL216" s="227">
        <f t="shared" si="306"/>
        <v>49399</v>
      </c>
      <c r="AM216" s="227">
        <f t="shared" si="306"/>
        <v>49490</v>
      </c>
      <c r="AN216" s="227">
        <f t="shared" si="306"/>
        <v>49582</v>
      </c>
      <c r="AO216" s="227">
        <f t="shared" si="306"/>
        <v>49674</v>
      </c>
      <c r="AP216" s="227">
        <f t="shared" si="306"/>
        <v>49765</v>
      </c>
      <c r="AQ216" s="227">
        <f t="shared" si="306"/>
        <v>49856</v>
      </c>
      <c r="AR216" s="227">
        <f t="shared" si="306"/>
        <v>49948</v>
      </c>
      <c r="AS216" s="227">
        <f t="shared" si="306"/>
        <v>50040</v>
      </c>
      <c r="AT216" s="227">
        <f t="shared" si="306"/>
        <v>50130</v>
      </c>
      <c r="AU216" s="227">
        <f t="shared" si="306"/>
        <v>50221</v>
      </c>
      <c r="AV216" s="227">
        <f t="shared" si="306"/>
        <v>50313</v>
      </c>
      <c r="AW216" s="227">
        <f t="shared" si="306"/>
        <v>50405</v>
      </c>
      <c r="AX216" s="227">
        <f t="shared" si="306"/>
        <v>50495</v>
      </c>
      <c r="AY216" s="227">
        <f t="shared" si="306"/>
        <v>50586</v>
      </c>
      <c r="AZ216" s="227">
        <f t="shared" si="306"/>
        <v>50678</v>
      </c>
      <c r="BA216" s="227">
        <f t="shared" si="306"/>
        <v>50770</v>
      </c>
      <c r="BB216" s="227">
        <f t="shared" si="306"/>
        <v>50860</v>
      </c>
      <c r="BC216" s="227">
        <f t="shared" si="306"/>
        <v>50951</v>
      </c>
      <c r="BD216" s="227">
        <f t="shared" si="306"/>
        <v>51043</v>
      </c>
      <c r="BE216" s="227">
        <f t="shared" si="306"/>
        <v>51135</v>
      </c>
      <c r="BF216" s="227">
        <f t="shared" si="306"/>
        <v>51226</v>
      </c>
      <c r="BG216" s="227">
        <f t="shared" si="306"/>
        <v>51317</v>
      </c>
      <c r="BH216" s="227">
        <f t="shared" si="306"/>
        <v>51409</v>
      </c>
      <c r="BI216" s="227">
        <f t="shared" si="306"/>
        <v>51501</v>
      </c>
      <c r="BJ216" s="227">
        <f t="shared" ref="BJ216:BL216" si="307">BJ240</f>
        <v>51591</v>
      </c>
      <c r="BK216" s="227">
        <f t="shared" si="307"/>
        <v>51682</v>
      </c>
      <c r="BL216" s="227">
        <f t="shared" si="307"/>
        <v>51774</v>
      </c>
    </row>
    <row r="217" spans="1:64">
      <c r="B217" s="25" t="s">
        <v>57</v>
      </c>
      <c r="C217" s="252">
        <f>SUM(D217:BL217)</f>
        <v>0</v>
      </c>
      <c r="D217" s="297"/>
      <c r="E217" s="297"/>
      <c r="F217" s="297"/>
      <c r="G217" s="297"/>
      <c r="H217" s="297"/>
      <c r="I217" s="297"/>
      <c r="J217" s="257"/>
      <c r="K217" s="257"/>
      <c r="L217" s="257"/>
      <c r="M217" s="257"/>
      <c r="N217" s="257"/>
      <c r="O217" s="257"/>
      <c r="P217" s="257"/>
      <c r="Q217" s="257"/>
      <c r="R217" s="257"/>
      <c r="S217" s="257"/>
      <c r="T217" s="257"/>
      <c r="U217" s="257"/>
      <c r="V217" s="257"/>
      <c r="W217" s="257"/>
      <c r="X217" s="257"/>
      <c r="Y217" s="257"/>
      <c r="Z217" s="257"/>
      <c r="AA217" s="257"/>
      <c r="AB217" s="257"/>
      <c r="AC217" s="257"/>
      <c r="AD217" s="257"/>
      <c r="AE217" s="257"/>
      <c r="AF217" s="257"/>
      <c r="AG217" s="257"/>
      <c r="AH217" s="257"/>
      <c r="AI217" s="257"/>
      <c r="AJ217" s="257"/>
      <c r="AK217" s="257"/>
      <c r="AL217" s="257"/>
      <c r="AM217" s="257"/>
      <c r="AN217" s="257"/>
      <c r="AO217" s="257"/>
      <c r="AP217" s="257"/>
      <c r="AQ217" s="257"/>
      <c r="AR217" s="257"/>
      <c r="AS217" s="257"/>
      <c r="AT217" s="257"/>
      <c r="AU217" s="257"/>
      <c r="AV217" s="257"/>
      <c r="AW217" s="257"/>
      <c r="AX217" s="257"/>
      <c r="AY217" s="257"/>
      <c r="AZ217" s="257"/>
      <c r="BA217" s="257"/>
      <c r="BB217" s="257"/>
      <c r="BC217" s="257"/>
      <c r="BD217" s="257"/>
      <c r="BE217" s="257"/>
      <c r="BF217" s="257"/>
      <c r="BG217" s="257"/>
      <c r="BH217" s="257"/>
      <c r="BI217" s="257"/>
      <c r="BJ217" s="257"/>
      <c r="BK217" s="257"/>
      <c r="BL217" s="257"/>
    </row>
    <row r="218" spans="1:64" ht="15" customHeight="1">
      <c r="B218" s="15" t="s">
        <v>58</v>
      </c>
      <c r="C218" s="252">
        <f>SUM(D218:BL218)</f>
        <v>0</v>
      </c>
      <c r="D218" s="297"/>
      <c r="E218" s="297"/>
      <c r="F218" s="297"/>
      <c r="G218" s="297"/>
      <c r="H218" s="297"/>
      <c r="I218" s="297"/>
      <c r="J218" s="297"/>
      <c r="K218" s="297"/>
      <c r="L218" s="297"/>
      <c r="M218" s="297"/>
      <c r="N218" s="297"/>
      <c r="O218" s="297"/>
      <c r="P218" s="257"/>
      <c r="Q218" s="257"/>
      <c r="R218" s="257"/>
      <c r="S218" s="257"/>
      <c r="T218" s="257"/>
      <c r="U218" s="257"/>
      <c r="V218" s="257"/>
      <c r="W218" s="257"/>
      <c r="X218" s="257"/>
      <c r="Y218" s="257"/>
      <c r="Z218" s="257"/>
      <c r="AA218" s="257"/>
      <c r="AB218" s="257"/>
      <c r="AC218" s="257"/>
      <c r="AD218" s="257"/>
      <c r="AE218" s="257"/>
      <c r="AF218" s="297"/>
      <c r="AG218" s="297"/>
      <c r="AH218" s="297"/>
      <c r="AI218" s="297"/>
      <c r="AJ218" s="297"/>
      <c r="AK218" s="297"/>
      <c r="AL218" s="297"/>
      <c r="AM218" s="297"/>
      <c r="AN218" s="297"/>
      <c r="AO218" s="297"/>
      <c r="AP218" s="297"/>
      <c r="AQ218" s="297"/>
      <c r="AR218" s="297"/>
      <c r="AS218" s="297"/>
      <c r="AT218" s="297"/>
      <c r="AU218" s="297"/>
      <c r="AV218" s="297"/>
      <c r="AW218" s="297"/>
      <c r="AX218" s="297"/>
      <c r="AY218" s="297"/>
      <c r="AZ218" s="297"/>
      <c r="BA218" s="297"/>
      <c r="BB218" s="297"/>
      <c r="BC218" s="297"/>
      <c r="BD218" s="297"/>
      <c r="BE218" s="297"/>
      <c r="BF218" s="297"/>
      <c r="BG218" s="297"/>
      <c r="BH218" s="297"/>
      <c r="BI218" s="297"/>
      <c r="BJ218" s="297"/>
      <c r="BK218" s="297"/>
      <c r="BL218" s="297"/>
    </row>
    <row r="219" spans="1:64" ht="15" customHeight="1">
      <c r="C219" s="37"/>
    </row>
    <row r="220" spans="1:64" ht="15" customHeight="1">
      <c r="B220" s="51" t="s">
        <v>350</v>
      </c>
      <c r="C220" s="119" t="str">
        <f>IFERROR(IF(C218&gt;SUM(C217,C211),"Q","R"),"Q")</f>
        <v>R</v>
      </c>
    </row>
    <row r="221" spans="1:64" ht="15" customHeight="1"/>
    <row r="222" spans="1:64" ht="15.75">
      <c r="B222" s="22" t="s">
        <v>547</v>
      </c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  <c r="AE222" s="5"/>
      <c r="AF222" s="5"/>
      <c r="AG222" s="5"/>
      <c r="AH222" s="5"/>
      <c r="AI222" s="5"/>
      <c r="AJ222" s="5"/>
      <c r="AK222" s="5"/>
      <c r="AL222" s="5"/>
      <c r="AM222" s="5"/>
    </row>
    <row r="223" spans="1:64" ht="15" customHeight="1">
      <c r="B223" s="23" t="s">
        <v>54</v>
      </c>
    </row>
    <row r="224" spans="1:64" ht="15" customHeight="1">
      <c r="B224" s="26" t="s">
        <v>548</v>
      </c>
      <c r="C224" s="360"/>
    </row>
    <row r="225" spans="1:64" ht="15" customHeight="1">
      <c r="B225" s="26" t="s">
        <v>553</v>
      </c>
      <c r="C225" s="302"/>
      <c r="D225" s="317" t="str">
        <f>IF(C225&lt;MAX('Параметры займа'!$B$19:$B$80),"*Срок займа Фонда не может превышать срок договора лизинга","")</f>
        <v>*Срок займа Фонда не может превышать срок договора лизинга</v>
      </c>
    </row>
    <row r="226" spans="1:64" ht="15" customHeight="1"/>
    <row r="227" spans="1:64">
      <c r="B227" s="23" t="str">
        <f>"График лизинговых платежей по проекту, "&amp;Единица_измерения</f>
        <v>График лизинговых платежей по проекту, тыс. руб.</v>
      </c>
      <c r="C227" s="18"/>
      <c r="D227" s="18"/>
      <c r="E227" s="18"/>
      <c r="F227" s="18"/>
      <c r="G227" s="18"/>
      <c r="H227" s="18"/>
      <c r="I227" s="18"/>
      <c r="J227" s="18"/>
      <c r="K227" s="18"/>
      <c r="L227" s="18"/>
      <c r="M227" s="18"/>
      <c r="N227" s="18"/>
      <c r="O227" s="18"/>
      <c r="P227" s="18"/>
      <c r="Q227" s="18"/>
      <c r="R227" s="18"/>
      <c r="S227" s="18"/>
      <c r="T227" s="18"/>
      <c r="U227" s="18"/>
      <c r="V227" s="18"/>
      <c r="W227" s="18"/>
      <c r="X227" s="18"/>
      <c r="Y227" s="18"/>
      <c r="Z227" s="18"/>
      <c r="AA227" s="18"/>
      <c r="AB227" s="18"/>
      <c r="AC227" s="18"/>
      <c r="AD227" s="18"/>
      <c r="AE227" s="18"/>
      <c r="AF227" s="18"/>
      <c r="AG227" s="5"/>
      <c r="AH227" s="5"/>
      <c r="AI227" s="5"/>
      <c r="AJ227" s="5"/>
      <c r="AK227" s="5"/>
      <c r="AL227" s="5"/>
      <c r="AM227" s="5"/>
    </row>
    <row r="228" spans="1:64" ht="15" customHeight="1">
      <c r="A228" s="19"/>
      <c r="B228" s="491" t="s">
        <v>62</v>
      </c>
      <c r="C228" s="491" t="s">
        <v>12</v>
      </c>
      <c r="D228" s="307">
        <f>SUM(C228,1)</f>
        <v>1</v>
      </c>
      <c r="E228" s="307">
        <f t="shared" ref="E228" si="308">SUM(D228,1)</f>
        <v>2</v>
      </c>
      <c r="F228" s="307">
        <f t="shared" ref="F228" si="309">SUM(E228,1)</f>
        <v>3</v>
      </c>
      <c r="G228" s="307">
        <f t="shared" ref="G228" si="310">SUM(F228,1)</f>
        <v>4</v>
      </c>
      <c r="H228" s="307">
        <f t="shared" ref="H228" si="311">SUM(G228,1)</f>
        <v>5</v>
      </c>
      <c r="I228" s="307">
        <f t="shared" ref="I228" si="312">SUM(H228,1)</f>
        <v>6</v>
      </c>
      <c r="J228" s="307">
        <f t="shared" ref="J228" si="313">SUM(I228,1)</f>
        <v>7</v>
      </c>
      <c r="K228" s="307">
        <f t="shared" ref="K228" si="314">SUM(J228,1)</f>
        <v>8</v>
      </c>
      <c r="L228" s="307">
        <f t="shared" ref="L228" si="315">SUM(K228,1)</f>
        <v>9</v>
      </c>
      <c r="M228" s="307">
        <f t="shared" ref="M228" si="316">SUM(L228,1)</f>
        <v>10</v>
      </c>
      <c r="N228" s="307">
        <f t="shared" ref="N228" si="317">SUM(M228,1)</f>
        <v>11</v>
      </c>
      <c r="O228" s="307">
        <f t="shared" ref="O228" si="318">SUM(N228,1)</f>
        <v>12</v>
      </c>
      <c r="P228" s="307">
        <f t="shared" ref="P228" si="319">SUM(O228,1)</f>
        <v>13</v>
      </c>
      <c r="Q228" s="307">
        <f t="shared" ref="Q228" si="320">SUM(P228,1)</f>
        <v>14</v>
      </c>
      <c r="R228" s="307">
        <f t="shared" ref="R228" si="321">SUM(Q228,1)</f>
        <v>15</v>
      </c>
      <c r="S228" s="307">
        <f t="shared" ref="S228" si="322">SUM(R228,1)</f>
        <v>16</v>
      </c>
      <c r="T228" s="307">
        <f t="shared" ref="T228" si="323">SUM(S228,1)</f>
        <v>17</v>
      </c>
      <c r="U228" s="307">
        <f t="shared" ref="U228" si="324">SUM(T228,1)</f>
        <v>18</v>
      </c>
      <c r="V228" s="307">
        <f t="shared" ref="V228" si="325">SUM(U228,1)</f>
        <v>19</v>
      </c>
      <c r="W228" s="307">
        <f t="shared" ref="W228" si="326">SUM(V228,1)</f>
        <v>20</v>
      </c>
      <c r="X228" s="307">
        <f t="shared" ref="X228" si="327">SUM(W228,1)</f>
        <v>21</v>
      </c>
      <c r="Y228" s="307">
        <f t="shared" ref="Y228" si="328">SUM(X228,1)</f>
        <v>22</v>
      </c>
      <c r="Z228" s="307">
        <f t="shared" ref="Z228" si="329">SUM(Y228,1)</f>
        <v>23</v>
      </c>
      <c r="AA228" s="307">
        <f t="shared" ref="AA228" si="330">SUM(Z228,1)</f>
        <v>24</v>
      </c>
      <c r="AB228" s="307">
        <f t="shared" ref="AB228" si="331">SUM(AA228,1)</f>
        <v>25</v>
      </c>
      <c r="AC228" s="307">
        <f t="shared" ref="AC228" si="332">SUM(AB228,1)</f>
        <v>26</v>
      </c>
      <c r="AD228" s="307">
        <f t="shared" ref="AD228" si="333">SUM(AC228,1)</f>
        <v>27</v>
      </c>
      <c r="AE228" s="307">
        <f t="shared" ref="AE228" si="334">SUM(AD228,1)</f>
        <v>28</v>
      </c>
      <c r="AF228" s="307">
        <f t="shared" ref="AF228" si="335">SUM(AE228,1)</f>
        <v>29</v>
      </c>
      <c r="AG228" s="307">
        <f t="shared" ref="AG228" si="336">SUM(AF228,1)</f>
        <v>30</v>
      </c>
      <c r="AH228" s="307">
        <f t="shared" ref="AH228" si="337">SUM(AG228,1)</f>
        <v>31</v>
      </c>
      <c r="AI228" s="307">
        <f t="shared" ref="AI228" si="338">SUM(AH228,1)</f>
        <v>32</v>
      </c>
      <c r="AJ228" s="307">
        <f t="shared" ref="AJ228" si="339">SUM(AI228,1)</f>
        <v>33</v>
      </c>
      <c r="AK228" s="307">
        <f t="shared" ref="AK228" si="340">SUM(AJ228,1)</f>
        <v>34</v>
      </c>
      <c r="AL228" s="307">
        <f t="shared" ref="AL228" si="341">SUM(AK228,1)</f>
        <v>35</v>
      </c>
      <c r="AM228" s="307">
        <f t="shared" ref="AM228" si="342">SUM(AL228,1)</f>
        <v>36</v>
      </c>
      <c r="AN228" s="307">
        <f t="shared" ref="AN228" si="343">SUM(AM228,1)</f>
        <v>37</v>
      </c>
      <c r="AO228" s="307">
        <f t="shared" ref="AO228" si="344">SUM(AN228,1)</f>
        <v>38</v>
      </c>
      <c r="AP228" s="307">
        <f t="shared" ref="AP228" si="345">SUM(AO228,1)</f>
        <v>39</v>
      </c>
      <c r="AQ228" s="307">
        <f t="shared" ref="AQ228" si="346">SUM(AP228,1)</f>
        <v>40</v>
      </c>
      <c r="AR228" s="307">
        <f t="shared" ref="AR228" si="347">SUM(AQ228,1)</f>
        <v>41</v>
      </c>
      <c r="AS228" s="307">
        <f t="shared" ref="AS228" si="348">SUM(AR228,1)</f>
        <v>42</v>
      </c>
      <c r="AT228" s="307">
        <f t="shared" ref="AT228" si="349">SUM(AS228,1)</f>
        <v>43</v>
      </c>
      <c r="AU228" s="307">
        <f t="shared" ref="AU228" si="350">SUM(AT228,1)</f>
        <v>44</v>
      </c>
      <c r="AV228" s="307">
        <f t="shared" ref="AV228" si="351">SUM(AU228,1)</f>
        <v>45</v>
      </c>
      <c r="AW228" s="307">
        <f t="shared" ref="AW228" si="352">SUM(AV228,1)</f>
        <v>46</v>
      </c>
      <c r="AX228" s="307">
        <f t="shared" ref="AX228" si="353">SUM(AW228,1)</f>
        <v>47</v>
      </c>
      <c r="AY228" s="307">
        <f t="shared" ref="AY228" si="354">SUM(AX228,1)</f>
        <v>48</v>
      </c>
      <c r="AZ228" s="307">
        <f t="shared" ref="AZ228" si="355">SUM(AY228,1)</f>
        <v>49</v>
      </c>
      <c r="BA228" s="307">
        <f t="shared" ref="BA228" si="356">SUM(AZ228,1)</f>
        <v>50</v>
      </c>
      <c r="BB228" s="307">
        <f t="shared" ref="BB228" si="357">SUM(BA228,1)</f>
        <v>51</v>
      </c>
      <c r="BC228" s="307">
        <f t="shared" ref="BC228" si="358">SUM(BB228,1)</f>
        <v>52</v>
      </c>
      <c r="BD228" s="307">
        <f t="shared" ref="BD228" si="359">SUM(BC228,1)</f>
        <v>53</v>
      </c>
      <c r="BE228" s="307">
        <f t="shared" ref="BE228" si="360">SUM(BD228,1)</f>
        <v>54</v>
      </c>
      <c r="BF228" s="307">
        <f t="shared" ref="BF228" si="361">SUM(BE228,1)</f>
        <v>55</v>
      </c>
      <c r="BG228" s="307">
        <f t="shared" ref="BG228" si="362">SUM(BF228,1)</f>
        <v>56</v>
      </c>
      <c r="BH228" s="307">
        <f t="shared" ref="BH228" si="363">SUM(BG228,1)</f>
        <v>57</v>
      </c>
      <c r="BI228" s="307">
        <f t="shared" ref="BI228" si="364">SUM(BH228,1)</f>
        <v>58</v>
      </c>
      <c r="BJ228" s="307">
        <f t="shared" ref="BJ228" si="365">SUM(BI228,1)</f>
        <v>59</v>
      </c>
      <c r="BK228" s="307">
        <f t="shared" ref="BK228" si="366">SUM(BJ228,1)</f>
        <v>60</v>
      </c>
      <c r="BL228" s="307">
        <f t="shared" ref="BL228" si="367">SUM(BK228,1)</f>
        <v>61</v>
      </c>
    </row>
    <row r="229" spans="1:64">
      <c r="A229" s="19"/>
      <c r="B229" s="492"/>
      <c r="C229" s="492"/>
      <c r="D229" s="227">
        <f>D215</f>
        <v>46204</v>
      </c>
      <c r="E229" s="227">
        <f t="shared" ref="E229:BL229" si="368">E215</f>
        <v>46296</v>
      </c>
      <c r="F229" s="227">
        <f t="shared" si="368"/>
        <v>46388</v>
      </c>
      <c r="G229" s="227">
        <f t="shared" si="368"/>
        <v>46478</v>
      </c>
      <c r="H229" s="227">
        <f t="shared" si="368"/>
        <v>46569</v>
      </c>
      <c r="I229" s="227">
        <f t="shared" si="368"/>
        <v>46661</v>
      </c>
      <c r="J229" s="227">
        <f t="shared" si="368"/>
        <v>46753</v>
      </c>
      <c r="K229" s="227">
        <f t="shared" si="368"/>
        <v>46844</v>
      </c>
      <c r="L229" s="227">
        <f t="shared" si="368"/>
        <v>46935</v>
      </c>
      <c r="M229" s="227">
        <f t="shared" si="368"/>
        <v>47027</v>
      </c>
      <c r="N229" s="227">
        <f t="shared" si="368"/>
        <v>47119</v>
      </c>
      <c r="O229" s="227">
        <f t="shared" si="368"/>
        <v>47209</v>
      </c>
      <c r="P229" s="227">
        <f t="shared" si="368"/>
        <v>47300</v>
      </c>
      <c r="Q229" s="227">
        <f t="shared" si="368"/>
        <v>47392</v>
      </c>
      <c r="R229" s="227">
        <f t="shared" si="368"/>
        <v>47484</v>
      </c>
      <c r="S229" s="227">
        <f t="shared" si="368"/>
        <v>47574</v>
      </c>
      <c r="T229" s="227">
        <f t="shared" si="368"/>
        <v>47665</v>
      </c>
      <c r="U229" s="227">
        <f t="shared" si="368"/>
        <v>47757</v>
      </c>
      <c r="V229" s="227">
        <f t="shared" si="368"/>
        <v>47849</v>
      </c>
      <c r="W229" s="227">
        <f t="shared" si="368"/>
        <v>47939</v>
      </c>
      <c r="X229" s="227">
        <f t="shared" si="368"/>
        <v>48030</v>
      </c>
      <c r="Y229" s="227">
        <f t="shared" si="368"/>
        <v>48122</v>
      </c>
      <c r="Z229" s="227">
        <f t="shared" si="368"/>
        <v>48214</v>
      </c>
      <c r="AA229" s="227">
        <f t="shared" si="368"/>
        <v>48305</v>
      </c>
      <c r="AB229" s="227">
        <f t="shared" si="368"/>
        <v>48396</v>
      </c>
      <c r="AC229" s="227">
        <f t="shared" si="368"/>
        <v>48488</v>
      </c>
      <c r="AD229" s="227">
        <f t="shared" si="368"/>
        <v>48580</v>
      </c>
      <c r="AE229" s="227">
        <f t="shared" si="368"/>
        <v>48670</v>
      </c>
      <c r="AF229" s="227">
        <f t="shared" si="368"/>
        <v>48761</v>
      </c>
      <c r="AG229" s="227">
        <f t="shared" si="368"/>
        <v>48853</v>
      </c>
      <c r="AH229" s="227">
        <f t="shared" si="368"/>
        <v>48945</v>
      </c>
      <c r="AI229" s="227">
        <f t="shared" si="368"/>
        <v>49035</v>
      </c>
      <c r="AJ229" s="227">
        <f t="shared" si="368"/>
        <v>49126</v>
      </c>
      <c r="AK229" s="227">
        <f t="shared" si="368"/>
        <v>49218</v>
      </c>
      <c r="AL229" s="227">
        <f t="shared" si="368"/>
        <v>49310</v>
      </c>
      <c r="AM229" s="227">
        <f t="shared" si="368"/>
        <v>49400</v>
      </c>
      <c r="AN229" s="227">
        <f t="shared" si="368"/>
        <v>49491</v>
      </c>
      <c r="AO229" s="227">
        <f t="shared" si="368"/>
        <v>49583</v>
      </c>
      <c r="AP229" s="227">
        <f t="shared" si="368"/>
        <v>49675</v>
      </c>
      <c r="AQ229" s="227">
        <f t="shared" si="368"/>
        <v>49766</v>
      </c>
      <c r="AR229" s="227">
        <f t="shared" si="368"/>
        <v>49857</v>
      </c>
      <c r="AS229" s="227">
        <f t="shared" si="368"/>
        <v>49949</v>
      </c>
      <c r="AT229" s="227">
        <f t="shared" si="368"/>
        <v>50041</v>
      </c>
      <c r="AU229" s="227">
        <f t="shared" si="368"/>
        <v>50131</v>
      </c>
      <c r="AV229" s="227">
        <f t="shared" si="368"/>
        <v>50222</v>
      </c>
      <c r="AW229" s="227">
        <f t="shared" si="368"/>
        <v>50314</v>
      </c>
      <c r="AX229" s="227">
        <f t="shared" si="368"/>
        <v>50406</v>
      </c>
      <c r="AY229" s="227">
        <f t="shared" si="368"/>
        <v>50496</v>
      </c>
      <c r="AZ229" s="227">
        <f t="shared" si="368"/>
        <v>50587</v>
      </c>
      <c r="BA229" s="227">
        <f t="shared" si="368"/>
        <v>50679</v>
      </c>
      <c r="BB229" s="227">
        <f t="shared" si="368"/>
        <v>50771</v>
      </c>
      <c r="BC229" s="227">
        <f t="shared" si="368"/>
        <v>50861</v>
      </c>
      <c r="BD229" s="227">
        <f t="shared" si="368"/>
        <v>50952</v>
      </c>
      <c r="BE229" s="227">
        <f t="shared" si="368"/>
        <v>51044</v>
      </c>
      <c r="BF229" s="227">
        <f t="shared" si="368"/>
        <v>51136</v>
      </c>
      <c r="BG229" s="227">
        <f t="shared" si="368"/>
        <v>51227</v>
      </c>
      <c r="BH229" s="227">
        <f t="shared" si="368"/>
        <v>51318</v>
      </c>
      <c r="BI229" s="227">
        <f t="shared" si="368"/>
        <v>51410</v>
      </c>
      <c r="BJ229" s="227">
        <f t="shared" si="368"/>
        <v>51502</v>
      </c>
      <c r="BK229" s="227">
        <f t="shared" si="368"/>
        <v>51592</v>
      </c>
      <c r="BL229" s="227">
        <f t="shared" si="368"/>
        <v>51683</v>
      </c>
    </row>
    <row r="230" spans="1:64">
      <c r="A230" s="19"/>
      <c r="B230" s="493"/>
      <c r="C230" s="493"/>
      <c r="D230" s="227">
        <f>D216</f>
        <v>46295</v>
      </c>
      <c r="E230" s="227">
        <f t="shared" ref="E230:BL230" si="369">E216</f>
        <v>46387</v>
      </c>
      <c r="F230" s="227">
        <f t="shared" si="369"/>
        <v>46477</v>
      </c>
      <c r="G230" s="227">
        <f t="shared" si="369"/>
        <v>46568</v>
      </c>
      <c r="H230" s="227">
        <f t="shared" si="369"/>
        <v>46660</v>
      </c>
      <c r="I230" s="227">
        <f t="shared" si="369"/>
        <v>46752</v>
      </c>
      <c r="J230" s="227">
        <f t="shared" si="369"/>
        <v>46843</v>
      </c>
      <c r="K230" s="227">
        <f t="shared" si="369"/>
        <v>46934</v>
      </c>
      <c r="L230" s="227">
        <f t="shared" si="369"/>
        <v>47026</v>
      </c>
      <c r="M230" s="227">
        <f t="shared" si="369"/>
        <v>47118</v>
      </c>
      <c r="N230" s="227">
        <f t="shared" si="369"/>
        <v>47208</v>
      </c>
      <c r="O230" s="227">
        <f t="shared" si="369"/>
        <v>47299</v>
      </c>
      <c r="P230" s="227">
        <f t="shared" si="369"/>
        <v>47391</v>
      </c>
      <c r="Q230" s="227">
        <f t="shared" si="369"/>
        <v>47483</v>
      </c>
      <c r="R230" s="227">
        <f t="shared" si="369"/>
        <v>47573</v>
      </c>
      <c r="S230" s="227">
        <f t="shared" si="369"/>
        <v>47664</v>
      </c>
      <c r="T230" s="227">
        <f t="shared" si="369"/>
        <v>47756</v>
      </c>
      <c r="U230" s="227">
        <f t="shared" si="369"/>
        <v>47848</v>
      </c>
      <c r="V230" s="227">
        <f t="shared" si="369"/>
        <v>47938</v>
      </c>
      <c r="W230" s="227">
        <f t="shared" si="369"/>
        <v>48029</v>
      </c>
      <c r="X230" s="227">
        <f t="shared" si="369"/>
        <v>48121</v>
      </c>
      <c r="Y230" s="227">
        <f t="shared" si="369"/>
        <v>48213</v>
      </c>
      <c r="Z230" s="227">
        <f t="shared" si="369"/>
        <v>48304</v>
      </c>
      <c r="AA230" s="227">
        <f t="shared" si="369"/>
        <v>48395</v>
      </c>
      <c r="AB230" s="227">
        <f t="shared" si="369"/>
        <v>48487</v>
      </c>
      <c r="AC230" s="227">
        <f t="shared" si="369"/>
        <v>48579</v>
      </c>
      <c r="AD230" s="227">
        <f t="shared" si="369"/>
        <v>48669</v>
      </c>
      <c r="AE230" s="227">
        <f t="shared" si="369"/>
        <v>48760</v>
      </c>
      <c r="AF230" s="227">
        <f t="shared" si="369"/>
        <v>48852</v>
      </c>
      <c r="AG230" s="227">
        <f t="shared" si="369"/>
        <v>48944</v>
      </c>
      <c r="AH230" s="227">
        <f t="shared" si="369"/>
        <v>49034</v>
      </c>
      <c r="AI230" s="227">
        <f t="shared" si="369"/>
        <v>49125</v>
      </c>
      <c r="AJ230" s="227">
        <f t="shared" si="369"/>
        <v>49217</v>
      </c>
      <c r="AK230" s="227">
        <f t="shared" si="369"/>
        <v>49309</v>
      </c>
      <c r="AL230" s="227">
        <f t="shared" si="369"/>
        <v>49399</v>
      </c>
      <c r="AM230" s="227">
        <f t="shared" si="369"/>
        <v>49490</v>
      </c>
      <c r="AN230" s="227">
        <f t="shared" si="369"/>
        <v>49582</v>
      </c>
      <c r="AO230" s="227">
        <f t="shared" si="369"/>
        <v>49674</v>
      </c>
      <c r="AP230" s="227">
        <f t="shared" si="369"/>
        <v>49765</v>
      </c>
      <c r="AQ230" s="227">
        <f t="shared" si="369"/>
        <v>49856</v>
      </c>
      <c r="AR230" s="227">
        <f t="shared" si="369"/>
        <v>49948</v>
      </c>
      <c r="AS230" s="227">
        <f t="shared" si="369"/>
        <v>50040</v>
      </c>
      <c r="AT230" s="227">
        <f t="shared" si="369"/>
        <v>50130</v>
      </c>
      <c r="AU230" s="227">
        <f t="shared" si="369"/>
        <v>50221</v>
      </c>
      <c r="AV230" s="227">
        <f t="shared" si="369"/>
        <v>50313</v>
      </c>
      <c r="AW230" s="227">
        <f t="shared" si="369"/>
        <v>50405</v>
      </c>
      <c r="AX230" s="227">
        <f t="shared" si="369"/>
        <v>50495</v>
      </c>
      <c r="AY230" s="227">
        <f t="shared" si="369"/>
        <v>50586</v>
      </c>
      <c r="AZ230" s="227">
        <f t="shared" si="369"/>
        <v>50678</v>
      </c>
      <c r="BA230" s="227">
        <f t="shared" si="369"/>
        <v>50770</v>
      </c>
      <c r="BB230" s="227">
        <f t="shared" si="369"/>
        <v>50860</v>
      </c>
      <c r="BC230" s="227">
        <f t="shared" si="369"/>
        <v>50951</v>
      </c>
      <c r="BD230" s="227">
        <f t="shared" si="369"/>
        <v>51043</v>
      </c>
      <c r="BE230" s="227">
        <f t="shared" si="369"/>
        <v>51135</v>
      </c>
      <c r="BF230" s="227">
        <f t="shared" si="369"/>
        <v>51226</v>
      </c>
      <c r="BG230" s="227">
        <f t="shared" si="369"/>
        <v>51317</v>
      </c>
      <c r="BH230" s="227">
        <f t="shared" si="369"/>
        <v>51409</v>
      </c>
      <c r="BI230" s="227">
        <f t="shared" si="369"/>
        <v>51501</v>
      </c>
      <c r="BJ230" s="227">
        <f t="shared" si="369"/>
        <v>51591</v>
      </c>
      <c r="BK230" s="227">
        <f t="shared" si="369"/>
        <v>51682</v>
      </c>
      <c r="BL230" s="227">
        <f t="shared" si="369"/>
        <v>51774</v>
      </c>
    </row>
    <row r="231" spans="1:64">
      <c r="B231" s="69" t="s">
        <v>550</v>
      </c>
      <c r="C231" s="252">
        <f>SUM(D231:BL231)</f>
        <v>0</v>
      </c>
      <c r="D231" s="297"/>
      <c r="E231" s="297"/>
      <c r="F231" s="297"/>
      <c r="G231" s="297"/>
      <c r="H231" s="297"/>
      <c r="I231" s="297"/>
      <c r="J231" s="257"/>
      <c r="K231" s="257"/>
      <c r="L231" s="257"/>
      <c r="M231" s="257"/>
      <c r="N231" s="257"/>
      <c r="O231" s="257"/>
      <c r="P231" s="257"/>
      <c r="Q231" s="257"/>
      <c r="R231" s="257"/>
      <c r="S231" s="257"/>
      <c r="T231" s="257"/>
      <c r="U231" s="257"/>
      <c r="V231" s="257"/>
      <c r="W231" s="257"/>
      <c r="X231" s="257"/>
      <c r="Y231" s="257"/>
      <c r="Z231" s="257"/>
      <c r="AA231" s="257"/>
      <c r="AB231" s="257"/>
      <c r="AC231" s="257"/>
      <c r="AD231" s="257"/>
      <c r="AE231" s="257"/>
      <c r="AF231" s="257"/>
      <c r="AG231" s="257"/>
      <c r="AH231" s="257"/>
      <c r="AI231" s="257"/>
      <c r="AJ231" s="257"/>
      <c r="AK231" s="257"/>
      <c r="AL231" s="257"/>
      <c r="AM231" s="257"/>
      <c r="AN231" s="257"/>
      <c r="AO231" s="257"/>
      <c r="AP231" s="257"/>
      <c r="AQ231" s="257"/>
      <c r="AR231" s="257"/>
      <c r="AS231" s="257"/>
      <c r="AT231" s="257"/>
      <c r="AU231" s="257"/>
      <c r="AV231" s="257"/>
      <c r="AW231" s="257"/>
      <c r="AX231" s="257"/>
      <c r="AY231" s="257"/>
      <c r="AZ231" s="257"/>
      <c r="BA231" s="257"/>
      <c r="BB231" s="257"/>
      <c r="BC231" s="257"/>
      <c r="BD231" s="257"/>
      <c r="BE231" s="257"/>
      <c r="BF231" s="257"/>
      <c r="BG231" s="257"/>
      <c r="BH231" s="257"/>
      <c r="BI231" s="257"/>
      <c r="BJ231" s="257"/>
      <c r="BK231" s="257"/>
      <c r="BL231" s="257"/>
    </row>
    <row r="232" spans="1:64" ht="29.25" customHeight="1">
      <c r="B232" s="15" t="s">
        <v>795</v>
      </c>
      <c r="C232" s="365">
        <f>SUM(D232:BL232)</f>
        <v>0</v>
      </c>
      <c r="D232" s="297"/>
      <c r="E232" s="297"/>
      <c r="F232" s="297"/>
      <c r="G232" s="297"/>
      <c r="H232" s="297"/>
      <c r="I232" s="297"/>
      <c r="J232" s="297"/>
      <c r="K232" s="297"/>
      <c r="L232" s="297"/>
      <c r="M232" s="297"/>
      <c r="N232" s="297"/>
      <c r="O232" s="297"/>
      <c r="P232" s="297"/>
      <c r="Q232" s="297"/>
      <c r="R232" s="297"/>
      <c r="S232" s="297"/>
      <c r="T232" s="297"/>
      <c r="U232" s="297"/>
      <c r="V232" s="297"/>
      <c r="W232" s="297"/>
      <c r="X232" s="257"/>
      <c r="Y232" s="257"/>
      <c r="Z232" s="257"/>
      <c r="AA232" s="257"/>
      <c r="AB232" s="257"/>
      <c r="AC232" s="257"/>
      <c r="AD232" s="257"/>
      <c r="AE232" s="257"/>
      <c r="AF232" s="297"/>
      <c r="AG232" s="297"/>
      <c r="AH232" s="297"/>
      <c r="AI232" s="297"/>
      <c r="AJ232" s="297"/>
      <c r="AK232" s="297"/>
      <c r="AL232" s="297"/>
      <c r="AM232" s="297"/>
      <c r="AN232" s="297"/>
      <c r="AO232" s="297"/>
      <c r="AP232" s="297"/>
      <c r="AQ232" s="297"/>
      <c r="AR232" s="297"/>
      <c r="AS232" s="297"/>
      <c r="AT232" s="297"/>
      <c r="AU232" s="297"/>
      <c r="AV232" s="297"/>
      <c r="AW232" s="297"/>
      <c r="AX232" s="297"/>
      <c r="AY232" s="297"/>
      <c r="AZ232" s="297"/>
      <c r="BA232" s="297"/>
      <c r="BB232" s="297"/>
      <c r="BC232" s="297"/>
      <c r="BD232" s="297"/>
      <c r="BE232" s="297"/>
      <c r="BF232" s="297"/>
      <c r="BG232" s="297"/>
      <c r="BH232" s="297"/>
      <c r="BI232" s="297"/>
      <c r="BJ232" s="297"/>
      <c r="BK232" s="297"/>
      <c r="BL232" s="297"/>
    </row>
    <row r="233" spans="1:64" ht="15" customHeight="1">
      <c r="C233" s="37"/>
    </row>
    <row r="234" spans="1:64" ht="15" customHeight="1">
      <c r="B234" s="314" t="s">
        <v>551</v>
      </c>
      <c r="C234" s="119" t="str">
        <f ca="1">IF(Программа="Лизинг",IFERROR(IF(C231/D253&gt;50%,"Q","R"),"Q"),"")</f>
        <v>Q</v>
      </c>
    </row>
    <row r="235" spans="1:64" ht="15" customHeight="1"/>
    <row r="236" spans="1:64" ht="15.75">
      <c r="B236" s="22" t="str">
        <f>"Заёмное финансирование: заём "&amp;IF(ISNUMBER(SEARCH("РФРП",Программа)),"ФРП и РФРП","ФРП")</f>
        <v>Заёмное финансирование: заём ФРП</v>
      </c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  <c r="AE236" s="5"/>
      <c r="AF236" s="5"/>
      <c r="AG236" s="5"/>
      <c r="AH236" s="5"/>
      <c r="AI236" s="5"/>
      <c r="AJ236" s="5"/>
      <c r="AK236" s="5"/>
      <c r="AL236" s="5"/>
      <c r="AM236" s="5"/>
    </row>
    <row r="237" spans="1:64">
      <c r="B237" s="80" t="str">
        <f>"График привлечения и погашения средств "&amp;IF(ISNUMBER(SEARCH("РФРП",Программа)),"ФРП и РФРП","ФРП")&amp;" в проект, "&amp;Единица_измерения</f>
        <v>График привлечения и погашения средств ФРП в проект, тыс. руб.</v>
      </c>
      <c r="C237" s="18"/>
      <c r="D237" s="18"/>
      <c r="E237" s="18"/>
      <c r="F237" s="18"/>
      <c r="G237" s="18"/>
      <c r="H237" s="18"/>
      <c r="I237" s="18"/>
      <c r="J237" s="18"/>
      <c r="K237" s="18"/>
      <c r="L237" s="18"/>
      <c r="M237" s="18"/>
      <c r="N237" s="18"/>
      <c r="O237" s="18"/>
      <c r="P237" s="18"/>
      <c r="Q237" s="18"/>
      <c r="R237" s="18"/>
      <c r="S237" s="18"/>
      <c r="T237" s="18"/>
      <c r="U237" s="18"/>
      <c r="V237" s="18"/>
      <c r="W237" s="18"/>
      <c r="X237" s="18"/>
      <c r="Y237" s="18"/>
      <c r="Z237" s="18"/>
      <c r="AA237" s="18"/>
      <c r="AB237" s="18"/>
      <c r="AC237" s="18"/>
      <c r="AD237" s="18"/>
      <c r="AE237" s="18"/>
      <c r="AF237" s="18"/>
      <c r="AG237" s="5"/>
      <c r="AH237" s="5"/>
      <c r="AI237" s="5"/>
      <c r="AJ237" s="5"/>
      <c r="AK237" s="5"/>
      <c r="AL237" s="5"/>
      <c r="AM237" s="5"/>
    </row>
    <row r="238" spans="1:64" ht="15" customHeight="1">
      <c r="A238" s="19"/>
      <c r="B238" s="491" t="s">
        <v>62</v>
      </c>
      <c r="C238" s="491" t="s">
        <v>12</v>
      </c>
      <c r="D238" s="229">
        <f t="shared" ref="D238:AF238" si="370">SUM(C238,1)</f>
        <v>1</v>
      </c>
      <c r="E238" s="229">
        <f t="shared" si="370"/>
        <v>2</v>
      </c>
      <c r="F238" s="229">
        <f t="shared" si="370"/>
        <v>3</v>
      </c>
      <c r="G238" s="229">
        <f t="shared" si="370"/>
        <v>4</v>
      </c>
      <c r="H238" s="229">
        <f t="shared" si="370"/>
        <v>5</v>
      </c>
      <c r="I238" s="229">
        <f t="shared" si="370"/>
        <v>6</v>
      </c>
      <c r="J238" s="229">
        <f t="shared" si="370"/>
        <v>7</v>
      </c>
      <c r="K238" s="229">
        <f t="shared" si="370"/>
        <v>8</v>
      </c>
      <c r="L238" s="229">
        <f t="shared" si="370"/>
        <v>9</v>
      </c>
      <c r="M238" s="229">
        <f t="shared" si="370"/>
        <v>10</v>
      </c>
      <c r="N238" s="229">
        <f t="shared" si="370"/>
        <v>11</v>
      </c>
      <c r="O238" s="229">
        <f t="shared" si="370"/>
        <v>12</v>
      </c>
      <c r="P238" s="229">
        <f t="shared" si="370"/>
        <v>13</v>
      </c>
      <c r="Q238" s="229">
        <f t="shared" si="370"/>
        <v>14</v>
      </c>
      <c r="R238" s="229">
        <f t="shared" si="370"/>
        <v>15</v>
      </c>
      <c r="S238" s="229">
        <f t="shared" si="370"/>
        <v>16</v>
      </c>
      <c r="T238" s="229">
        <f t="shared" si="370"/>
        <v>17</v>
      </c>
      <c r="U238" s="229">
        <f t="shared" si="370"/>
        <v>18</v>
      </c>
      <c r="V238" s="229">
        <f t="shared" si="370"/>
        <v>19</v>
      </c>
      <c r="W238" s="229">
        <f t="shared" si="370"/>
        <v>20</v>
      </c>
      <c r="X238" s="229">
        <f t="shared" si="370"/>
        <v>21</v>
      </c>
      <c r="Y238" s="229">
        <f t="shared" si="370"/>
        <v>22</v>
      </c>
      <c r="Z238" s="229">
        <f t="shared" si="370"/>
        <v>23</v>
      </c>
      <c r="AA238" s="229">
        <f t="shared" si="370"/>
        <v>24</v>
      </c>
      <c r="AB238" s="229">
        <f t="shared" si="370"/>
        <v>25</v>
      </c>
      <c r="AC238" s="229">
        <f t="shared" si="370"/>
        <v>26</v>
      </c>
      <c r="AD238" s="229">
        <f t="shared" si="370"/>
        <v>27</v>
      </c>
      <c r="AE238" s="229">
        <f t="shared" si="370"/>
        <v>28</v>
      </c>
      <c r="AF238" s="229">
        <f t="shared" si="370"/>
        <v>29</v>
      </c>
      <c r="AG238" s="229">
        <f t="shared" ref="AG238" si="371">SUM(AF238,1)</f>
        <v>30</v>
      </c>
      <c r="AH238" s="229">
        <f t="shared" ref="AH238" si="372">SUM(AG238,1)</f>
        <v>31</v>
      </c>
      <c r="AI238" s="229">
        <f t="shared" ref="AI238" si="373">SUM(AH238,1)</f>
        <v>32</v>
      </c>
      <c r="AJ238" s="229">
        <f t="shared" ref="AJ238" si="374">SUM(AI238,1)</f>
        <v>33</v>
      </c>
      <c r="AK238" s="229">
        <f t="shared" ref="AK238" si="375">SUM(AJ238,1)</f>
        <v>34</v>
      </c>
      <c r="AL238" s="229">
        <f t="shared" ref="AL238" si="376">SUM(AK238,1)</f>
        <v>35</v>
      </c>
      <c r="AM238" s="229">
        <f t="shared" ref="AM238" si="377">SUM(AL238,1)</f>
        <v>36</v>
      </c>
      <c r="AN238" s="229">
        <f t="shared" ref="AN238" si="378">SUM(AM238,1)</f>
        <v>37</v>
      </c>
      <c r="AO238" s="229">
        <f t="shared" ref="AO238" si="379">SUM(AN238,1)</f>
        <v>38</v>
      </c>
      <c r="AP238" s="229">
        <f t="shared" ref="AP238" si="380">SUM(AO238,1)</f>
        <v>39</v>
      </c>
      <c r="AQ238" s="229">
        <f t="shared" ref="AQ238" si="381">SUM(AP238,1)</f>
        <v>40</v>
      </c>
      <c r="AR238" s="229">
        <f t="shared" ref="AR238" si="382">SUM(AQ238,1)</f>
        <v>41</v>
      </c>
      <c r="AS238" s="229">
        <f t="shared" ref="AS238" si="383">SUM(AR238,1)</f>
        <v>42</v>
      </c>
      <c r="AT238" s="229">
        <f t="shared" ref="AT238" si="384">SUM(AS238,1)</f>
        <v>43</v>
      </c>
      <c r="AU238" s="229">
        <f t="shared" ref="AU238" si="385">SUM(AT238,1)</f>
        <v>44</v>
      </c>
      <c r="AV238" s="229">
        <f t="shared" ref="AV238" si="386">SUM(AU238,1)</f>
        <v>45</v>
      </c>
      <c r="AW238" s="229">
        <f t="shared" ref="AW238" si="387">SUM(AV238,1)</f>
        <v>46</v>
      </c>
      <c r="AX238" s="229">
        <f t="shared" ref="AX238" si="388">SUM(AW238,1)</f>
        <v>47</v>
      </c>
      <c r="AY238" s="229">
        <f t="shared" ref="AY238" si="389">SUM(AX238,1)</f>
        <v>48</v>
      </c>
      <c r="AZ238" s="229">
        <f t="shared" ref="AZ238" si="390">SUM(AY238,1)</f>
        <v>49</v>
      </c>
      <c r="BA238" s="229">
        <f t="shared" ref="BA238" si="391">SUM(AZ238,1)</f>
        <v>50</v>
      </c>
      <c r="BB238" s="229">
        <f t="shared" ref="BB238" si="392">SUM(BA238,1)</f>
        <v>51</v>
      </c>
      <c r="BC238" s="229">
        <f t="shared" ref="BC238" si="393">SUM(BB238,1)</f>
        <v>52</v>
      </c>
      <c r="BD238" s="229">
        <f t="shared" ref="BD238" si="394">SUM(BC238,1)</f>
        <v>53</v>
      </c>
      <c r="BE238" s="229">
        <f t="shared" ref="BE238" si="395">SUM(BD238,1)</f>
        <v>54</v>
      </c>
      <c r="BF238" s="229">
        <f t="shared" ref="BF238" si="396">SUM(BE238,1)</f>
        <v>55</v>
      </c>
      <c r="BG238" s="229">
        <f t="shared" ref="BG238" si="397">SUM(BF238,1)</f>
        <v>56</v>
      </c>
      <c r="BH238" s="229">
        <f t="shared" ref="BH238" si="398">SUM(BG238,1)</f>
        <v>57</v>
      </c>
      <c r="BI238" s="229">
        <f t="shared" ref="BI238:BL238" si="399">SUM(BH238,1)</f>
        <v>58</v>
      </c>
      <c r="BJ238" s="229">
        <f t="shared" si="399"/>
        <v>59</v>
      </c>
      <c r="BK238" s="229">
        <f t="shared" si="399"/>
        <v>60</v>
      </c>
      <c r="BL238" s="229">
        <f t="shared" si="399"/>
        <v>61</v>
      </c>
    </row>
    <row r="239" spans="1:64">
      <c r="A239" s="19"/>
      <c r="B239" s="492"/>
      <c r="C239" s="492"/>
      <c r="D239" s="227">
        <f t="shared" ref="D239:AI239" si="400">D188</f>
        <v>46204</v>
      </c>
      <c r="E239" s="227">
        <f t="shared" si="400"/>
        <v>46296</v>
      </c>
      <c r="F239" s="227">
        <f t="shared" si="400"/>
        <v>46388</v>
      </c>
      <c r="G239" s="227">
        <f t="shared" si="400"/>
        <v>46478</v>
      </c>
      <c r="H239" s="227">
        <f t="shared" si="400"/>
        <v>46569</v>
      </c>
      <c r="I239" s="227">
        <f t="shared" si="400"/>
        <v>46661</v>
      </c>
      <c r="J239" s="227">
        <f t="shared" si="400"/>
        <v>46753</v>
      </c>
      <c r="K239" s="227">
        <f t="shared" si="400"/>
        <v>46844</v>
      </c>
      <c r="L239" s="227">
        <f t="shared" si="400"/>
        <v>46935</v>
      </c>
      <c r="M239" s="227">
        <f t="shared" si="400"/>
        <v>47027</v>
      </c>
      <c r="N239" s="227">
        <f t="shared" si="400"/>
        <v>47119</v>
      </c>
      <c r="O239" s="227">
        <f t="shared" si="400"/>
        <v>47209</v>
      </c>
      <c r="P239" s="227">
        <f t="shared" si="400"/>
        <v>47300</v>
      </c>
      <c r="Q239" s="227">
        <f t="shared" si="400"/>
        <v>47392</v>
      </c>
      <c r="R239" s="227">
        <f t="shared" si="400"/>
        <v>47484</v>
      </c>
      <c r="S239" s="227">
        <f t="shared" si="400"/>
        <v>47574</v>
      </c>
      <c r="T239" s="227">
        <f t="shared" si="400"/>
        <v>47665</v>
      </c>
      <c r="U239" s="227">
        <f t="shared" si="400"/>
        <v>47757</v>
      </c>
      <c r="V239" s="227">
        <f t="shared" si="400"/>
        <v>47849</v>
      </c>
      <c r="W239" s="227">
        <f t="shared" si="400"/>
        <v>47939</v>
      </c>
      <c r="X239" s="227">
        <f t="shared" si="400"/>
        <v>48030</v>
      </c>
      <c r="Y239" s="227">
        <f t="shared" si="400"/>
        <v>48122</v>
      </c>
      <c r="Z239" s="227">
        <f t="shared" si="400"/>
        <v>48214</v>
      </c>
      <c r="AA239" s="227">
        <f t="shared" si="400"/>
        <v>48305</v>
      </c>
      <c r="AB239" s="227">
        <f t="shared" si="400"/>
        <v>48396</v>
      </c>
      <c r="AC239" s="227">
        <f t="shared" si="400"/>
        <v>48488</v>
      </c>
      <c r="AD239" s="227">
        <f t="shared" si="400"/>
        <v>48580</v>
      </c>
      <c r="AE239" s="227">
        <f t="shared" si="400"/>
        <v>48670</v>
      </c>
      <c r="AF239" s="227">
        <f t="shared" si="400"/>
        <v>48761</v>
      </c>
      <c r="AG239" s="227">
        <f t="shared" si="400"/>
        <v>48853</v>
      </c>
      <c r="AH239" s="227">
        <f t="shared" si="400"/>
        <v>48945</v>
      </c>
      <c r="AI239" s="227">
        <f t="shared" si="400"/>
        <v>49035</v>
      </c>
      <c r="AJ239" s="227">
        <f t="shared" ref="AJ239:BL239" si="401">AJ188</f>
        <v>49126</v>
      </c>
      <c r="AK239" s="227">
        <f t="shared" si="401"/>
        <v>49218</v>
      </c>
      <c r="AL239" s="227">
        <f t="shared" si="401"/>
        <v>49310</v>
      </c>
      <c r="AM239" s="227">
        <f t="shared" si="401"/>
        <v>49400</v>
      </c>
      <c r="AN239" s="227">
        <f t="shared" si="401"/>
        <v>49491</v>
      </c>
      <c r="AO239" s="227">
        <f t="shared" si="401"/>
        <v>49583</v>
      </c>
      <c r="AP239" s="227">
        <f t="shared" si="401"/>
        <v>49675</v>
      </c>
      <c r="AQ239" s="227">
        <f t="shared" si="401"/>
        <v>49766</v>
      </c>
      <c r="AR239" s="227">
        <f t="shared" si="401"/>
        <v>49857</v>
      </c>
      <c r="AS239" s="227">
        <f t="shared" si="401"/>
        <v>49949</v>
      </c>
      <c r="AT239" s="227">
        <f t="shared" si="401"/>
        <v>50041</v>
      </c>
      <c r="AU239" s="227">
        <f t="shared" si="401"/>
        <v>50131</v>
      </c>
      <c r="AV239" s="227">
        <f t="shared" si="401"/>
        <v>50222</v>
      </c>
      <c r="AW239" s="227">
        <f t="shared" si="401"/>
        <v>50314</v>
      </c>
      <c r="AX239" s="227">
        <f t="shared" si="401"/>
        <v>50406</v>
      </c>
      <c r="AY239" s="227">
        <f t="shared" si="401"/>
        <v>50496</v>
      </c>
      <c r="AZ239" s="227">
        <f t="shared" si="401"/>
        <v>50587</v>
      </c>
      <c r="BA239" s="227">
        <f t="shared" si="401"/>
        <v>50679</v>
      </c>
      <c r="BB239" s="227">
        <f t="shared" si="401"/>
        <v>50771</v>
      </c>
      <c r="BC239" s="227">
        <f t="shared" si="401"/>
        <v>50861</v>
      </c>
      <c r="BD239" s="227">
        <f t="shared" si="401"/>
        <v>50952</v>
      </c>
      <c r="BE239" s="227">
        <f t="shared" si="401"/>
        <v>51044</v>
      </c>
      <c r="BF239" s="227">
        <f t="shared" si="401"/>
        <v>51136</v>
      </c>
      <c r="BG239" s="227">
        <f t="shared" si="401"/>
        <v>51227</v>
      </c>
      <c r="BH239" s="227">
        <f t="shared" si="401"/>
        <v>51318</v>
      </c>
      <c r="BI239" s="227">
        <f t="shared" si="401"/>
        <v>51410</v>
      </c>
      <c r="BJ239" s="227">
        <f t="shared" si="401"/>
        <v>51502</v>
      </c>
      <c r="BK239" s="227">
        <f t="shared" si="401"/>
        <v>51592</v>
      </c>
      <c r="BL239" s="227">
        <f t="shared" si="401"/>
        <v>51683</v>
      </c>
    </row>
    <row r="240" spans="1:64">
      <c r="A240" s="19"/>
      <c r="B240" s="493"/>
      <c r="C240" s="493"/>
      <c r="D240" s="227">
        <f t="shared" ref="D240:AI240" si="402">D189</f>
        <v>46295</v>
      </c>
      <c r="E240" s="227">
        <f t="shared" si="402"/>
        <v>46387</v>
      </c>
      <c r="F240" s="227">
        <f t="shared" si="402"/>
        <v>46477</v>
      </c>
      <c r="G240" s="227">
        <f t="shared" si="402"/>
        <v>46568</v>
      </c>
      <c r="H240" s="227">
        <f t="shared" si="402"/>
        <v>46660</v>
      </c>
      <c r="I240" s="227">
        <f t="shared" si="402"/>
        <v>46752</v>
      </c>
      <c r="J240" s="227">
        <f t="shared" si="402"/>
        <v>46843</v>
      </c>
      <c r="K240" s="227">
        <f t="shared" si="402"/>
        <v>46934</v>
      </c>
      <c r="L240" s="227">
        <f t="shared" si="402"/>
        <v>47026</v>
      </c>
      <c r="M240" s="227">
        <f t="shared" si="402"/>
        <v>47118</v>
      </c>
      <c r="N240" s="227">
        <f t="shared" si="402"/>
        <v>47208</v>
      </c>
      <c r="O240" s="227">
        <f t="shared" si="402"/>
        <v>47299</v>
      </c>
      <c r="P240" s="227">
        <f t="shared" si="402"/>
        <v>47391</v>
      </c>
      <c r="Q240" s="227">
        <f t="shared" si="402"/>
        <v>47483</v>
      </c>
      <c r="R240" s="227">
        <f t="shared" si="402"/>
        <v>47573</v>
      </c>
      <c r="S240" s="227">
        <f t="shared" si="402"/>
        <v>47664</v>
      </c>
      <c r="T240" s="227">
        <f t="shared" si="402"/>
        <v>47756</v>
      </c>
      <c r="U240" s="227">
        <f t="shared" si="402"/>
        <v>47848</v>
      </c>
      <c r="V240" s="227">
        <f t="shared" si="402"/>
        <v>47938</v>
      </c>
      <c r="W240" s="227">
        <f t="shared" si="402"/>
        <v>48029</v>
      </c>
      <c r="X240" s="227">
        <f t="shared" si="402"/>
        <v>48121</v>
      </c>
      <c r="Y240" s="227">
        <f t="shared" si="402"/>
        <v>48213</v>
      </c>
      <c r="Z240" s="227">
        <f t="shared" si="402"/>
        <v>48304</v>
      </c>
      <c r="AA240" s="227">
        <f t="shared" si="402"/>
        <v>48395</v>
      </c>
      <c r="AB240" s="227">
        <f t="shared" si="402"/>
        <v>48487</v>
      </c>
      <c r="AC240" s="227">
        <f t="shared" si="402"/>
        <v>48579</v>
      </c>
      <c r="AD240" s="227">
        <f t="shared" si="402"/>
        <v>48669</v>
      </c>
      <c r="AE240" s="227">
        <f t="shared" si="402"/>
        <v>48760</v>
      </c>
      <c r="AF240" s="227">
        <f t="shared" si="402"/>
        <v>48852</v>
      </c>
      <c r="AG240" s="227">
        <f t="shared" si="402"/>
        <v>48944</v>
      </c>
      <c r="AH240" s="227">
        <f t="shared" si="402"/>
        <v>49034</v>
      </c>
      <c r="AI240" s="227">
        <f t="shared" si="402"/>
        <v>49125</v>
      </c>
      <c r="AJ240" s="227">
        <f t="shared" ref="AJ240:BL240" si="403">AJ189</f>
        <v>49217</v>
      </c>
      <c r="AK240" s="227">
        <f t="shared" si="403"/>
        <v>49309</v>
      </c>
      <c r="AL240" s="227">
        <f t="shared" si="403"/>
        <v>49399</v>
      </c>
      <c r="AM240" s="227">
        <f t="shared" si="403"/>
        <v>49490</v>
      </c>
      <c r="AN240" s="227">
        <f t="shared" si="403"/>
        <v>49582</v>
      </c>
      <c r="AO240" s="227">
        <f t="shared" si="403"/>
        <v>49674</v>
      </c>
      <c r="AP240" s="227">
        <f t="shared" si="403"/>
        <v>49765</v>
      </c>
      <c r="AQ240" s="227">
        <f t="shared" si="403"/>
        <v>49856</v>
      </c>
      <c r="AR240" s="227">
        <f t="shared" si="403"/>
        <v>49948</v>
      </c>
      <c r="AS240" s="227">
        <f t="shared" si="403"/>
        <v>50040</v>
      </c>
      <c r="AT240" s="227">
        <f t="shared" si="403"/>
        <v>50130</v>
      </c>
      <c r="AU240" s="227">
        <f t="shared" si="403"/>
        <v>50221</v>
      </c>
      <c r="AV240" s="227">
        <f t="shared" si="403"/>
        <v>50313</v>
      </c>
      <c r="AW240" s="227">
        <f t="shared" si="403"/>
        <v>50405</v>
      </c>
      <c r="AX240" s="227">
        <f t="shared" si="403"/>
        <v>50495</v>
      </c>
      <c r="AY240" s="227">
        <f t="shared" si="403"/>
        <v>50586</v>
      </c>
      <c r="AZ240" s="227">
        <f t="shared" si="403"/>
        <v>50678</v>
      </c>
      <c r="BA240" s="227">
        <f t="shared" si="403"/>
        <v>50770</v>
      </c>
      <c r="BB240" s="227">
        <f t="shared" si="403"/>
        <v>50860</v>
      </c>
      <c r="BC240" s="227">
        <f t="shared" si="403"/>
        <v>50951</v>
      </c>
      <c r="BD240" s="227">
        <f t="shared" si="403"/>
        <v>51043</v>
      </c>
      <c r="BE240" s="227">
        <f t="shared" si="403"/>
        <v>51135</v>
      </c>
      <c r="BF240" s="227">
        <f t="shared" si="403"/>
        <v>51226</v>
      </c>
      <c r="BG240" s="227">
        <f t="shared" si="403"/>
        <v>51317</v>
      </c>
      <c r="BH240" s="227">
        <f t="shared" si="403"/>
        <v>51409</v>
      </c>
      <c r="BI240" s="227">
        <f t="shared" si="403"/>
        <v>51501</v>
      </c>
      <c r="BJ240" s="227">
        <f t="shared" si="403"/>
        <v>51591</v>
      </c>
      <c r="BK240" s="227">
        <f t="shared" si="403"/>
        <v>51682</v>
      </c>
      <c r="BL240" s="227">
        <f t="shared" si="403"/>
        <v>51774</v>
      </c>
    </row>
    <row r="241" spans="2:64">
      <c r="B241" s="17" t="s">
        <v>15</v>
      </c>
      <c r="C241" s="250">
        <f>SUM(D241:BL241)</f>
        <v>100000</v>
      </c>
      <c r="D241" s="148">
        <f>IF(AND('Параметры займа'!$E$10&gt;=D239,'Параметры займа'!$E$10&lt;=D240),'Параметры займа'!$E$8,0)</f>
        <v>100000</v>
      </c>
      <c r="E241" s="148">
        <f>IF(AND('Параметры займа'!$E$10&gt;=E239,'Параметры займа'!$E$10&lt;=E240),'Параметры займа'!$E$8,0)</f>
        <v>0</v>
      </c>
      <c r="F241" s="148">
        <f>IF(AND('Параметры займа'!$E$10&gt;=F239,'Параметры займа'!$E$10&lt;=F240),'Параметры займа'!$E$8,0)</f>
        <v>0</v>
      </c>
      <c r="G241" s="148">
        <f>IF(AND('Параметры займа'!$E$10&gt;=G239,'Параметры займа'!$E$10&lt;=G240),'Параметры займа'!$E$8,0)</f>
        <v>0</v>
      </c>
      <c r="H241" s="148">
        <f>IF(AND('Параметры займа'!$E$10&gt;=H239,'Параметры займа'!$E$10&lt;=H240),'Параметры займа'!$E$8,0)</f>
        <v>0</v>
      </c>
      <c r="I241" s="148">
        <f>IF(AND('Параметры займа'!$E$10&gt;=I239,'Параметры займа'!$E$10&lt;=I240),'Параметры займа'!$E$8,0)</f>
        <v>0</v>
      </c>
      <c r="J241" s="148">
        <f>IF(AND('Параметры займа'!$E$10&gt;=J239,'Параметры займа'!$E$10&lt;=J240),'Параметры займа'!$E$8,0)</f>
        <v>0</v>
      </c>
      <c r="K241" s="148">
        <f>IF(AND('Параметры займа'!$E$10&gt;=K239,'Параметры займа'!$E$10&lt;=K240),'Параметры займа'!$E$8,0)</f>
        <v>0</v>
      </c>
      <c r="L241" s="148">
        <f>IF(AND('Параметры займа'!$E$10&gt;=L239,'Параметры займа'!$E$10&lt;=L240),'Параметры займа'!$E$8,0)</f>
        <v>0</v>
      </c>
      <c r="M241" s="148">
        <f>IF(AND('Параметры займа'!$E$10&gt;=M239,'Параметры займа'!$E$10&lt;=M240),'Параметры займа'!$E$8,0)</f>
        <v>0</v>
      </c>
      <c r="N241" s="148">
        <f>IF(AND('Параметры займа'!$E$10&gt;=N239,'Параметры займа'!$E$10&lt;=N240),'Параметры займа'!$E$8,0)</f>
        <v>0</v>
      </c>
      <c r="O241" s="148">
        <f>IF(AND('Параметры займа'!$E$10&gt;=O239,'Параметры займа'!$E$10&lt;=O240),'Параметры займа'!$E$8,0)</f>
        <v>0</v>
      </c>
      <c r="P241" s="148">
        <f>IF(AND('Параметры займа'!$E$10&gt;=P239,'Параметры займа'!$E$10&lt;=P240),'Параметры займа'!$E$8,0)</f>
        <v>0</v>
      </c>
      <c r="Q241" s="148">
        <f>IF(AND('Параметры займа'!$E$10&gt;=Q239,'Параметры займа'!$E$10&lt;=Q240),'Параметры займа'!$E$8,0)</f>
        <v>0</v>
      </c>
      <c r="R241" s="148">
        <f>IF(AND('Параметры займа'!$E$10&gt;=R239,'Параметры займа'!$E$10&lt;=R240),'Параметры займа'!$E$8,0)</f>
        <v>0</v>
      </c>
      <c r="S241" s="148">
        <f>IF(AND('Параметры займа'!$E$10&gt;=S239,'Параметры займа'!$E$10&lt;=S240),'Параметры займа'!$E$8,0)</f>
        <v>0</v>
      </c>
      <c r="T241" s="148">
        <f>IF(AND('Параметры займа'!$E$10&gt;=T239,'Параметры займа'!$E$10&lt;=T240),'Параметры займа'!$E$8,0)</f>
        <v>0</v>
      </c>
      <c r="U241" s="148">
        <f>IF(AND('Параметры займа'!$E$10&gt;=U239,'Параметры займа'!$E$10&lt;=U240),'Параметры займа'!$E$8,0)</f>
        <v>0</v>
      </c>
      <c r="V241" s="148">
        <f>IF(AND('Параметры займа'!$E$10&gt;=V239,'Параметры займа'!$E$10&lt;=V240),'Параметры займа'!$E$8,0)</f>
        <v>0</v>
      </c>
      <c r="W241" s="148">
        <f>IF(AND('Параметры займа'!$E$10&gt;=W239,'Параметры займа'!$E$10&lt;=W240),'Параметры займа'!$E$8,0)</f>
        <v>0</v>
      </c>
      <c r="X241" s="148">
        <f>IF(AND('Параметры займа'!$E$10&gt;=X239,'Параметры займа'!$E$10&lt;=X240),'Параметры займа'!$E$8,0)</f>
        <v>0</v>
      </c>
      <c r="Y241" s="148">
        <f>IF(AND('Параметры займа'!$E$10&gt;=Y239,'Параметры займа'!$E$10&lt;=Y240),'Параметры займа'!$E$8,0)</f>
        <v>0</v>
      </c>
      <c r="Z241" s="148">
        <f>IF(AND('Параметры займа'!$E$10&gt;=Z239,'Параметры займа'!$E$10&lt;=Z240),'Параметры займа'!$E$8,0)</f>
        <v>0</v>
      </c>
      <c r="AA241" s="148">
        <f>IF(AND('Параметры займа'!$E$10&gt;=AA239,'Параметры займа'!$E$10&lt;=AA240),'Параметры займа'!$E$8,0)</f>
        <v>0</v>
      </c>
      <c r="AB241" s="148">
        <f>IF(AND('Параметры займа'!$E$10&gt;=AB239,'Параметры займа'!$E$10&lt;=AB240),'Параметры займа'!$E$8,0)</f>
        <v>0</v>
      </c>
      <c r="AC241" s="148">
        <f>IF(AND('Параметры займа'!$E$10&gt;=AC239,'Параметры займа'!$E$10&lt;=AC240),'Параметры займа'!$E$8,0)</f>
        <v>0</v>
      </c>
      <c r="AD241" s="148">
        <f>IF(AND('Параметры займа'!$E$10&gt;=AD239,'Параметры займа'!$E$10&lt;=AD240),'Параметры займа'!$E$8,0)</f>
        <v>0</v>
      </c>
      <c r="AE241" s="148">
        <f>IF(AND('Параметры займа'!$E$10&gt;=AE239,'Параметры займа'!$E$10&lt;=AE240),'Параметры займа'!$E$8,0)</f>
        <v>0</v>
      </c>
      <c r="AF241" s="148">
        <f>IF(AND('Параметры займа'!$E$10&gt;=AF239,'Параметры займа'!$E$10&lt;=AF240),'Параметры займа'!$E$8,0)</f>
        <v>0</v>
      </c>
      <c r="AG241" s="148">
        <f>IF(AND('Параметры займа'!$E$10&gt;=AG239,'Параметры займа'!$E$10&lt;=AG240),'Параметры займа'!$E$8,0)</f>
        <v>0</v>
      </c>
      <c r="AH241" s="148">
        <f>IF(AND('Параметры займа'!$E$10&gt;=AH239,'Параметры займа'!$E$10&lt;=AH240),'Параметры займа'!$E$8,0)</f>
        <v>0</v>
      </c>
      <c r="AI241" s="148">
        <f>IF(AND('Параметры займа'!$E$10&gt;=AI239,'Параметры займа'!$E$10&lt;=AI240),'Параметры займа'!$E$8,0)</f>
        <v>0</v>
      </c>
      <c r="AJ241" s="148">
        <f>IF(AND('Параметры займа'!$E$10&gt;=AJ239,'Параметры займа'!$E$10&lt;=AJ240),'Параметры займа'!$E$8,0)</f>
        <v>0</v>
      </c>
      <c r="AK241" s="148">
        <f>IF(AND('Параметры займа'!$E$10&gt;=AK239,'Параметры займа'!$E$10&lt;=AK240),'Параметры займа'!$E$8,0)</f>
        <v>0</v>
      </c>
      <c r="AL241" s="148">
        <f>IF(AND('Параметры займа'!$E$10&gt;=AL239,'Параметры займа'!$E$10&lt;=AL240),'Параметры займа'!$E$8,0)</f>
        <v>0</v>
      </c>
      <c r="AM241" s="148">
        <f>IF(AND('Параметры займа'!$E$10&gt;=AM239,'Параметры займа'!$E$10&lt;=AM240),'Параметры займа'!$E$8,0)</f>
        <v>0</v>
      </c>
      <c r="AN241" s="148">
        <f>IF(AND('Параметры займа'!$E$10&gt;=AN239,'Параметры займа'!$E$10&lt;=AN240),'Параметры займа'!$E$8,0)</f>
        <v>0</v>
      </c>
      <c r="AO241" s="148">
        <f>IF(AND('Параметры займа'!$E$10&gt;=AO239,'Параметры займа'!$E$10&lt;=AO240),'Параметры займа'!$E$8,0)</f>
        <v>0</v>
      </c>
      <c r="AP241" s="148">
        <f>IF(AND('Параметры займа'!$E$10&gt;=AP239,'Параметры займа'!$E$10&lt;=AP240),'Параметры займа'!$E$8,0)</f>
        <v>0</v>
      </c>
      <c r="AQ241" s="148">
        <f>IF(AND('Параметры займа'!$E$10&gt;=AQ239,'Параметры займа'!$E$10&lt;=AQ240),'Параметры займа'!$E$8,0)</f>
        <v>0</v>
      </c>
      <c r="AR241" s="148">
        <f>IF(AND('Параметры займа'!$E$10&gt;=AR239,'Параметры займа'!$E$10&lt;=AR240),'Параметры займа'!$E$8,0)</f>
        <v>0</v>
      </c>
      <c r="AS241" s="148">
        <f>IF(AND('Параметры займа'!$E$10&gt;=AS239,'Параметры займа'!$E$10&lt;=AS240),'Параметры займа'!$E$8,0)</f>
        <v>0</v>
      </c>
      <c r="AT241" s="148">
        <f>IF(AND('Параметры займа'!$E$10&gt;=AT239,'Параметры займа'!$E$10&lt;=AT240),'Параметры займа'!$E$8,0)</f>
        <v>0</v>
      </c>
      <c r="AU241" s="148">
        <f>IF(AND('Параметры займа'!$E$10&gt;=AU239,'Параметры займа'!$E$10&lt;=AU240),'Параметры займа'!$E$8,0)</f>
        <v>0</v>
      </c>
      <c r="AV241" s="148">
        <f>IF(AND('Параметры займа'!$E$10&gt;=AV239,'Параметры займа'!$E$10&lt;=AV240),'Параметры займа'!$E$8,0)</f>
        <v>0</v>
      </c>
      <c r="AW241" s="148">
        <f>IF(AND('Параметры займа'!$E$10&gt;=AW239,'Параметры займа'!$E$10&lt;=AW240),'Параметры займа'!$E$8,0)</f>
        <v>0</v>
      </c>
      <c r="AX241" s="148">
        <f>IF(AND('Параметры займа'!$E$10&gt;=AX239,'Параметры займа'!$E$10&lt;=AX240),'Параметры займа'!$E$8,0)</f>
        <v>0</v>
      </c>
      <c r="AY241" s="148">
        <f>IF(AND('Параметры займа'!$E$10&gt;=AY239,'Параметры займа'!$E$10&lt;=AY240),'Параметры займа'!$E$8,0)</f>
        <v>0</v>
      </c>
      <c r="AZ241" s="148">
        <f>IF(AND('Параметры займа'!$E$10&gt;=AZ239,'Параметры займа'!$E$10&lt;=AZ240),'Параметры займа'!$E$8,0)</f>
        <v>0</v>
      </c>
      <c r="BA241" s="148">
        <f>IF(AND('Параметры займа'!$E$10&gt;=BA239,'Параметры займа'!$E$10&lt;=BA240),'Параметры займа'!$E$8,0)</f>
        <v>0</v>
      </c>
      <c r="BB241" s="148">
        <f>IF(AND('Параметры займа'!$E$10&gt;=BB239,'Параметры займа'!$E$10&lt;=BB240),'Параметры займа'!$E$8,0)</f>
        <v>0</v>
      </c>
      <c r="BC241" s="148">
        <f>IF(AND('Параметры займа'!$E$10&gt;=BC239,'Параметры займа'!$E$10&lt;=BC240),'Параметры займа'!$E$8,0)</f>
        <v>0</v>
      </c>
      <c r="BD241" s="148">
        <f>IF(AND('Параметры займа'!$E$10&gt;=BD239,'Параметры займа'!$E$10&lt;=BD240),'Параметры займа'!$E$8,0)</f>
        <v>0</v>
      </c>
      <c r="BE241" s="148">
        <f>IF(AND('Параметры займа'!$E$10&gt;=BE239,'Параметры займа'!$E$10&lt;=BE240),'Параметры займа'!$E$8,0)</f>
        <v>0</v>
      </c>
      <c r="BF241" s="148">
        <f>IF(AND('Параметры займа'!$E$10&gt;=BF239,'Параметры займа'!$E$10&lt;=BF240),'Параметры займа'!$E$8,0)</f>
        <v>0</v>
      </c>
      <c r="BG241" s="148">
        <f>IF(AND('Параметры займа'!$E$10&gt;=BG239,'Параметры займа'!$E$10&lt;=BG240),'Параметры займа'!$E$8,0)</f>
        <v>0</v>
      </c>
      <c r="BH241" s="148">
        <f>IF(AND('Параметры займа'!$E$10&gt;=BH239,'Параметры займа'!$E$10&lt;=BH240),'Параметры займа'!$E$8,0)</f>
        <v>0</v>
      </c>
      <c r="BI241" s="148">
        <f>IF(AND('Параметры займа'!$E$10&gt;=BI239,'Параметры займа'!$E$10&lt;=BI240),'Параметры займа'!$E$8,0)</f>
        <v>0</v>
      </c>
      <c r="BJ241" s="148">
        <f>IF(AND('Параметры займа'!$E$10&gt;=BJ239,'Параметры займа'!$E$10&lt;=BJ240),'Параметры займа'!$E$8,0)</f>
        <v>0</v>
      </c>
      <c r="BK241" s="148">
        <f>IF(AND('Параметры займа'!$E$10&gt;=BK239,'Параметры займа'!$E$10&lt;=BK240),'Параметры займа'!$E$8,0)</f>
        <v>0</v>
      </c>
      <c r="BL241" s="148">
        <f>IF(AND('Параметры займа'!$E$10&gt;=BL239,'Параметры займа'!$E$10&lt;=BL240),'Параметры займа'!$E$8,0)</f>
        <v>0</v>
      </c>
    </row>
    <row r="242" spans="2:64" ht="15" customHeight="1">
      <c r="B242" s="15" t="s">
        <v>16</v>
      </c>
      <c r="C242" s="251">
        <f>SUM(D242:BL242)</f>
        <v>100000</v>
      </c>
      <c r="D242" s="122">
        <f>SUMIFS('Параметры займа'!$E$19:$E$80,'Параметры займа'!$C$19:$C$80,YEAR(D240),'Параметры займа'!$D$19:$D$80,ROUNDUP(MONTH(D240)/Месяцев_в_квартале,0))</f>
        <v>0</v>
      </c>
      <c r="E242" s="122">
        <f>SUMIFS('Параметры займа'!$E$19:$E$80,'Параметры займа'!$C$19:$C$80,YEAR(E240),'Параметры займа'!$D$19:$D$80,ROUNDUP(MONTH(E240)/Месяцев_в_квартале,0))</f>
        <v>0</v>
      </c>
      <c r="F242" s="122">
        <f>SUMIFS('Параметры займа'!$E$19:$E$80,'Параметры займа'!$C$19:$C$80,YEAR(F240),'Параметры займа'!$D$19:$D$80,ROUNDUP(MONTH(F240)/Месяцев_в_квартале,0))</f>
        <v>0</v>
      </c>
      <c r="G242" s="122">
        <f>SUMIFS('Параметры займа'!$E$19:$E$80,'Параметры займа'!$C$19:$C$80,YEAR(G240),'Параметры займа'!$D$19:$D$80,ROUNDUP(MONTH(G240)/Месяцев_в_квартале,0))</f>
        <v>0</v>
      </c>
      <c r="H242" s="122">
        <f>SUMIFS('Параметры займа'!$E$19:$E$80,'Параметры займа'!$C$19:$C$80,YEAR(H240),'Параметры займа'!$D$19:$D$80,ROUNDUP(MONTH(H240)/Месяцев_в_квартале,0))</f>
        <v>0</v>
      </c>
      <c r="I242" s="122">
        <f>SUMIFS('Параметры займа'!$E$19:$E$80,'Параметры займа'!$C$19:$C$80,YEAR(I240),'Параметры займа'!$D$19:$D$80,ROUNDUP(MONTH(I240)/Месяцев_в_квартале,0))</f>
        <v>0</v>
      </c>
      <c r="J242" s="122">
        <f>SUMIFS('Параметры займа'!$E$19:$E$80,'Параметры займа'!$C$19:$C$80,YEAR(J240),'Параметры займа'!$D$19:$D$80,ROUNDUP(MONTH(J240)/Месяцев_в_квартале,0))</f>
        <v>0</v>
      </c>
      <c r="K242" s="122">
        <f>SUMIFS('Параметры займа'!$E$19:$E$80,'Параметры займа'!$C$19:$C$80,YEAR(K240),'Параметры займа'!$D$19:$D$80,ROUNDUP(MONTH(K240)/Месяцев_в_квартале,0))</f>
        <v>0</v>
      </c>
      <c r="L242" s="122">
        <f>SUMIFS('Параметры займа'!$E$19:$E$80,'Параметры займа'!$C$19:$C$80,YEAR(L240),'Параметры займа'!$D$19:$D$80,ROUNDUP(MONTH(L240)/Месяцев_в_квартале,0))</f>
        <v>0</v>
      </c>
      <c r="M242" s="122">
        <f>SUMIFS('Параметры займа'!$E$19:$E$80,'Параметры займа'!$C$19:$C$80,YEAR(M240),'Параметры займа'!$D$19:$D$80,ROUNDUP(MONTH(M240)/Месяцев_в_квартале,0))</f>
        <v>0</v>
      </c>
      <c r="N242" s="122">
        <f>SUMIFS('Параметры займа'!$E$19:$E$80,'Параметры займа'!$C$19:$C$80,YEAR(N240),'Параметры займа'!$D$19:$D$80,ROUNDUP(MONTH(N240)/Месяцев_в_квартале,0))</f>
        <v>0</v>
      </c>
      <c r="O242" s="122">
        <f>SUMIFS('Параметры займа'!$E$19:$E$80,'Параметры займа'!$C$19:$C$80,YEAR(O240),'Параметры займа'!$D$19:$D$80,ROUNDUP(MONTH(O240)/Месяцев_в_квартале,0))</f>
        <v>0</v>
      </c>
      <c r="P242" s="122">
        <f>SUMIFS('Параметры займа'!$E$19:$E$80,'Параметры займа'!$C$19:$C$80,YEAR(P240),'Параметры займа'!$D$19:$D$80,ROUNDUP(MONTH(P240)/Месяцев_в_квартале,0))</f>
        <v>0</v>
      </c>
      <c r="Q242" s="122">
        <f>SUMIFS('Параметры займа'!$E$19:$E$80,'Параметры займа'!$C$19:$C$80,YEAR(Q240),'Параметры займа'!$D$19:$D$80,ROUNDUP(MONTH(Q240)/Месяцев_в_квартале,0))</f>
        <v>0</v>
      </c>
      <c r="R242" s="122">
        <f>SUMIFS('Параметры займа'!$E$19:$E$80,'Параметры займа'!$C$19:$C$80,YEAR(R240),'Параметры займа'!$D$19:$D$80,ROUNDUP(MONTH(R240)/Месяцев_в_квартале,0))</f>
        <v>25000</v>
      </c>
      <c r="S242" s="122">
        <f>SUMIFS('Параметры займа'!$E$19:$E$80,'Параметры займа'!$C$19:$C$80,YEAR(S240),'Параметры займа'!$D$19:$D$80,ROUNDUP(MONTH(S240)/Месяцев_в_квартале,0))</f>
        <v>12500</v>
      </c>
      <c r="T242" s="122">
        <f>SUMIFS('Параметры займа'!$E$19:$E$80,'Параметры займа'!$C$19:$C$80,YEAR(T240),'Параметры займа'!$D$19:$D$80,ROUNDUP(MONTH(T240)/Месяцев_в_квартале,0))</f>
        <v>12500</v>
      </c>
      <c r="U242" s="122">
        <f>SUMIFS('Параметры займа'!$E$19:$E$80,'Параметры займа'!$C$19:$C$80,YEAR(U240),'Параметры займа'!$D$19:$D$80,ROUNDUP(MONTH(U240)/Месяцев_в_квартале,0))</f>
        <v>0</v>
      </c>
      <c r="V242" s="122">
        <f>SUMIFS('Параметры займа'!$E$19:$E$80,'Параметры займа'!$C$19:$C$80,YEAR(V240),'Параметры займа'!$D$19:$D$80,ROUNDUP(MONTH(V240)/Месяцев_в_квартале,0))</f>
        <v>25000</v>
      </c>
      <c r="W242" s="122">
        <f>SUMIFS('Параметры займа'!$E$19:$E$80,'Параметры займа'!$C$19:$C$80,YEAR(W240),'Параметры займа'!$D$19:$D$80,ROUNDUP(MONTH(W240)/Месяцев_в_квартале,0))</f>
        <v>12500</v>
      </c>
      <c r="X242" s="122">
        <f>SUMIFS('Параметры займа'!$E$19:$E$80,'Параметры займа'!$C$19:$C$80,YEAR(X240),'Параметры займа'!$D$19:$D$80,ROUNDUP(MONTH(X240)/Месяцев_в_квартале,0))</f>
        <v>12500</v>
      </c>
      <c r="Y242" s="122">
        <f>SUMIFS('Параметры займа'!$E$19:$E$80,'Параметры займа'!$C$19:$C$80,YEAR(Y240),'Параметры займа'!$D$19:$D$80,ROUNDUP(MONTH(Y240)/Месяцев_в_квартале,0))</f>
        <v>0</v>
      </c>
      <c r="Z242" s="122">
        <f>SUMIFS('Параметры займа'!$E$19:$E$80,'Параметры займа'!$C$19:$C$80,YEAR(Z240),'Параметры займа'!$D$19:$D$80,ROUNDUP(MONTH(Z240)/Месяцев_в_квартале,0))</f>
        <v>0</v>
      </c>
      <c r="AA242" s="122">
        <f>SUMIFS('Параметры займа'!$E$19:$E$80,'Параметры займа'!$C$19:$C$80,YEAR(AA240),'Параметры займа'!$D$19:$D$80,ROUNDUP(MONTH(AA240)/Месяцев_в_квартале,0))</f>
        <v>0</v>
      </c>
      <c r="AB242" s="122">
        <f>SUMIFS('Параметры займа'!$E$19:$E$80,'Параметры займа'!$C$19:$C$80,YEAR(AB240),'Параметры займа'!$D$19:$D$80,ROUNDUP(MONTH(AB240)/Месяцев_в_квартале,0))</f>
        <v>0</v>
      </c>
      <c r="AC242" s="122">
        <f>SUMIFS('Параметры займа'!$E$19:$E$80,'Параметры займа'!$C$19:$C$80,YEAR(AC240),'Параметры займа'!$D$19:$D$80,ROUNDUP(MONTH(AC240)/Месяцев_в_квартале,0))</f>
        <v>0</v>
      </c>
      <c r="AD242" s="122">
        <f>SUMIFS('Параметры займа'!$E$19:$E$80,'Параметры займа'!$C$19:$C$80,YEAR(AD240),'Параметры займа'!$D$19:$D$80,ROUNDUP(MONTH(AD240)/Месяцев_в_квартале,0))</f>
        <v>0</v>
      </c>
      <c r="AE242" s="122">
        <f>SUMIFS('Параметры займа'!$E$19:$E$80,'Параметры займа'!$C$19:$C$80,YEAR(AE240),'Параметры займа'!$D$19:$D$80,ROUNDUP(MONTH(AE240)/Месяцев_в_квартале,0))</f>
        <v>0</v>
      </c>
      <c r="AF242" s="122">
        <f>SUMIFS('Параметры займа'!$E$19:$E$80,'Параметры займа'!$C$19:$C$80,YEAR(AF240),'Параметры займа'!$D$19:$D$80,ROUNDUP(MONTH(AF240)/Месяцев_в_квартале,0))</f>
        <v>0</v>
      </c>
      <c r="AG242" s="122">
        <f>SUMIFS('Параметры займа'!$E$19:$E$80,'Параметры займа'!$C$19:$C$80,YEAR(AG240),'Параметры займа'!$D$19:$D$80,ROUNDUP(MONTH(AG240)/Месяцев_в_квартале,0))</f>
        <v>0</v>
      </c>
      <c r="AH242" s="122">
        <f>SUMIFS('Параметры займа'!$E$19:$E$80,'Параметры займа'!$C$19:$C$80,YEAR(AH240),'Параметры займа'!$D$19:$D$80,ROUNDUP(MONTH(AH240)/Месяцев_в_квартале,0))</f>
        <v>0</v>
      </c>
      <c r="AI242" s="122">
        <f>SUMIFS('Параметры займа'!$E$19:$E$80,'Параметры займа'!$C$19:$C$80,YEAR(AI240),'Параметры займа'!$D$19:$D$80,ROUNDUP(MONTH(AI240)/Месяцев_в_квартале,0))</f>
        <v>0</v>
      </c>
      <c r="AJ242" s="122">
        <f>SUMIFS('Параметры займа'!$E$19:$E$80,'Параметры займа'!$C$19:$C$80,YEAR(AJ240),'Параметры займа'!$D$19:$D$80,ROUNDUP(MONTH(AJ240)/Месяцев_в_квартале,0))</f>
        <v>0</v>
      </c>
      <c r="AK242" s="122">
        <f>SUMIFS('Параметры займа'!$E$19:$E$80,'Параметры займа'!$C$19:$C$80,YEAR(AK240),'Параметры займа'!$D$19:$D$80,ROUNDUP(MONTH(AK240)/Месяцев_в_квартале,0))</f>
        <v>0</v>
      </c>
      <c r="AL242" s="122">
        <f>SUMIFS('Параметры займа'!$E$19:$E$80,'Параметры займа'!$C$19:$C$80,YEAR(AL240),'Параметры займа'!$D$19:$D$80,ROUNDUP(MONTH(AL240)/Месяцев_в_квартале,0))</f>
        <v>0</v>
      </c>
      <c r="AM242" s="122">
        <f>SUMIFS('Параметры займа'!$E$19:$E$80,'Параметры займа'!$C$19:$C$80,YEAR(AM240),'Параметры займа'!$D$19:$D$80,ROUNDUP(MONTH(AM240)/Месяцев_в_квартале,0))</f>
        <v>0</v>
      </c>
      <c r="AN242" s="122">
        <f>SUMIFS('Параметры займа'!$E$19:$E$80,'Параметры займа'!$C$19:$C$80,YEAR(AN240),'Параметры займа'!$D$19:$D$80,ROUNDUP(MONTH(AN240)/Месяцев_в_квартале,0))</f>
        <v>0</v>
      </c>
      <c r="AO242" s="122">
        <f>SUMIFS('Параметры займа'!$E$19:$E$80,'Параметры займа'!$C$19:$C$80,YEAR(AO240),'Параметры займа'!$D$19:$D$80,ROUNDUP(MONTH(AO240)/Месяцев_в_квартале,0))</f>
        <v>0</v>
      </c>
      <c r="AP242" s="122">
        <f>SUMIFS('Параметры займа'!$E$19:$E$80,'Параметры займа'!$C$19:$C$80,YEAR(AP240),'Параметры займа'!$D$19:$D$80,ROUNDUP(MONTH(AP240)/Месяцев_в_квартале,0))</f>
        <v>0</v>
      </c>
      <c r="AQ242" s="122">
        <f>SUMIFS('Параметры займа'!$E$19:$E$80,'Параметры займа'!$C$19:$C$80,YEAR(AQ240),'Параметры займа'!$D$19:$D$80,ROUNDUP(MONTH(AQ240)/Месяцев_в_квартале,0))</f>
        <v>0</v>
      </c>
      <c r="AR242" s="122">
        <f>SUMIFS('Параметры займа'!$E$19:$E$80,'Параметры займа'!$C$19:$C$80,YEAR(AR240),'Параметры займа'!$D$19:$D$80,ROUNDUP(MONTH(AR240)/Месяцев_в_квартале,0))</f>
        <v>0</v>
      </c>
      <c r="AS242" s="122">
        <f>SUMIFS('Параметры займа'!$E$19:$E$80,'Параметры займа'!$C$19:$C$80,YEAR(AS240),'Параметры займа'!$D$19:$D$80,ROUNDUP(MONTH(AS240)/Месяцев_в_квартале,0))</f>
        <v>0</v>
      </c>
      <c r="AT242" s="122">
        <f>SUMIFS('Параметры займа'!$E$19:$E$80,'Параметры займа'!$C$19:$C$80,YEAR(AT240),'Параметры займа'!$D$19:$D$80,ROUNDUP(MONTH(AT240)/Месяцев_в_квартале,0))</f>
        <v>0</v>
      </c>
      <c r="AU242" s="122">
        <f>SUMIFS('Параметры займа'!$E$19:$E$80,'Параметры займа'!$C$19:$C$80,YEAR(AU240),'Параметры займа'!$D$19:$D$80,ROUNDUP(MONTH(AU240)/Месяцев_в_квартале,0))</f>
        <v>0</v>
      </c>
      <c r="AV242" s="122">
        <f>SUMIFS('Параметры займа'!$E$19:$E$80,'Параметры займа'!$C$19:$C$80,YEAR(AV240),'Параметры займа'!$D$19:$D$80,ROUNDUP(MONTH(AV240)/Месяцев_в_квартале,0))</f>
        <v>0</v>
      </c>
      <c r="AW242" s="122">
        <f>SUMIFS('Параметры займа'!$E$19:$E$80,'Параметры займа'!$C$19:$C$80,YEAR(AW240),'Параметры займа'!$D$19:$D$80,ROUNDUP(MONTH(AW240)/Месяцев_в_квартале,0))</f>
        <v>0</v>
      </c>
      <c r="AX242" s="122">
        <f>SUMIFS('Параметры займа'!$E$19:$E$80,'Параметры займа'!$C$19:$C$80,YEAR(AX240),'Параметры займа'!$D$19:$D$80,ROUNDUP(MONTH(AX240)/Месяцев_в_квартале,0))</f>
        <v>0</v>
      </c>
      <c r="AY242" s="122">
        <f>SUMIFS('Параметры займа'!$E$19:$E$80,'Параметры займа'!$C$19:$C$80,YEAR(AY240),'Параметры займа'!$D$19:$D$80,ROUNDUP(MONTH(AY240)/Месяцев_в_квартале,0))</f>
        <v>0</v>
      </c>
      <c r="AZ242" s="122">
        <f>SUMIFS('Параметры займа'!$E$19:$E$80,'Параметры займа'!$C$19:$C$80,YEAR(AZ240),'Параметры займа'!$D$19:$D$80,ROUNDUP(MONTH(AZ240)/Месяцев_в_квартале,0))</f>
        <v>0</v>
      </c>
      <c r="BA242" s="122">
        <f>SUMIFS('Параметры займа'!$E$19:$E$80,'Параметры займа'!$C$19:$C$80,YEAR(BA240),'Параметры займа'!$D$19:$D$80,ROUNDUP(MONTH(BA240)/Месяцев_в_квартале,0))</f>
        <v>0</v>
      </c>
      <c r="BB242" s="122">
        <f>SUMIFS('Параметры займа'!$E$19:$E$80,'Параметры займа'!$C$19:$C$80,YEAR(BB240),'Параметры займа'!$D$19:$D$80,ROUNDUP(MONTH(BB240)/Месяцев_в_квартале,0))</f>
        <v>0</v>
      </c>
      <c r="BC242" s="122">
        <f>SUMIFS('Параметры займа'!$E$19:$E$80,'Параметры займа'!$C$19:$C$80,YEAR(BC240),'Параметры займа'!$D$19:$D$80,ROUNDUP(MONTH(BC240)/Месяцев_в_квартале,0))</f>
        <v>0</v>
      </c>
      <c r="BD242" s="122">
        <f>SUMIFS('Параметры займа'!$E$19:$E$80,'Параметры займа'!$C$19:$C$80,YEAR(BD240),'Параметры займа'!$D$19:$D$80,ROUNDUP(MONTH(BD240)/Месяцев_в_квартале,0))</f>
        <v>0</v>
      </c>
      <c r="BE242" s="122">
        <f>SUMIFS('Параметры займа'!$E$19:$E$80,'Параметры займа'!$C$19:$C$80,YEAR(BE240),'Параметры займа'!$D$19:$D$80,ROUNDUP(MONTH(BE240)/Месяцев_в_квартале,0))</f>
        <v>0</v>
      </c>
      <c r="BF242" s="122">
        <f>SUMIFS('Параметры займа'!$E$19:$E$80,'Параметры займа'!$C$19:$C$80,YEAR(BF240),'Параметры займа'!$D$19:$D$80,ROUNDUP(MONTH(BF240)/Месяцев_в_квартале,0))</f>
        <v>0</v>
      </c>
      <c r="BG242" s="122">
        <f>SUMIFS('Параметры займа'!$E$19:$E$80,'Параметры займа'!$C$19:$C$80,YEAR(BG240),'Параметры займа'!$D$19:$D$80,ROUNDUP(MONTH(BG240)/Месяцев_в_квартале,0))</f>
        <v>0</v>
      </c>
      <c r="BH242" s="122">
        <f>SUMIFS('Параметры займа'!$E$19:$E$80,'Параметры займа'!$C$19:$C$80,YEAR(BH240),'Параметры займа'!$D$19:$D$80,ROUNDUP(MONTH(BH240)/Месяцев_в_квартале,0))</f>
        <v>0</v>
      </c>
      <c r="BI242" s="122">
        <f>SUMIFS('Параметры займа'!$E$19:$E$80,'Параметры займа'!$C$19:$C$80,YEAR(BI240),'Параметры займа'!$D$19:$D$80,ROUNDUP(MONTH(BI240)/Месяцев_в_квартале,0))</f>
        <v>0</v>
      </c>
      <c r="BJ242" s="122">
        <f>SUMIFS('Параметры займа'!$E$19:$E$80,'Параметры займа'!$C$19:$C$80,YEAR(BJ240),'Параметры займа'!$D$19:$D$80,ROUNDUP(MONTH(BJ240)/Месяцев_в_квартале,0))</f>
        <v>0</v>
      </c>
      <c r="BK242" s="122">
        <f>SUMIFS('Параметры займа'!$E$19:$E$80,'Параметры займа'!$C$19:$C$80,YEAR(BK240),'Параметры займа'!$D$19:$D$80,ROUNDUP(MONTH(BK240)/Месяцев_в_квартале,0))</f>
        <v>0</v>
      </c>
      <c r="BL242" s="122">
        <f>SUMIFS('Параметры займа'!$E$19:$E$80,'Параметры займа'!$C$19:$C$80,YEAR(BL240),'Параметры займа'!$D$19:$D$80,ROUNDUP(MONTH(BL240)/Месяцев_в_квартале,0))</f>
        <v>0</v>
      </c>
    </row>
    <row r="243" spans="2:64" ht="15" customHeight="1"/>
    <row r="244" spans="2:64" ht="15" customHeight="1">
      <c r="B244" s="22" t="s">
        <v>424</v>
      </c>
    </row>
    <row r="245" spans="2:64" ht="15" customHeight="1">
      <c r="B245" s="491" t="s">
        <v>14</v>
      </c>
      <c r="C245" s="488" t="s">
        <v>258</v>
      </c>
      <c r="D245" s="488" t="s">
        <v>259</v>
      </c>
      <c r="E245" s="491" t="s">
        <v>12</v>
      </c>
      <c r="F245" s="488" t="s">
        <v>27</v>
      </c>
    </row>
    <row r="246" spans="2:64" ht="15" customHeight="1">
      <c r="B246" s="492"/>
      <c r="C246" s="494"/>
      <c r="D246" s="494"/>
      <c r="E246" s="492"/>
      <c r="F246" s="494"/>
    </row>
    <row r="247" spans="2:64" ht="15" customHeight="1">
      <c r="B247" s="493"/>
      <c r="C247" s="490"/>
      <c r="D247" s="490"/>
      <c r="E247" s="493"/>
      <c r="F247" s="490"/>
    </row>
    <row r="248" spans="2:64" ht="15" customHeight="1">
      <c r="B248" s="72" t="s">
        <v>26</v>
      </c>
      <c r="C248" s="146">
        <f>SUM($C$182:$C$183)</f>
        <v>0</v>
      </c>
      <c r="D248" s="146">
        <f>$C$190</f>
        <v>0</v>
      </c>
      <c r="E248" s="250">
        <f>SUM(C248:D248)</f>
        <v>0</v>
      </c>
      <c r="F248" s="147" t="str">
        <f ca="1">IFERROR(E248/$E$253,"-")</f>
        <v>-</v>
      </c>
    </row>
    <row r="249" spans="2:64" ht="15" customHeight="1">
      <c r="B249" s="82" t="str">
        <f>IF(ISBLANK(C194),"Заём бенефициара/аффилированных лиц",C194)</f>
        <v>Заём бенефициара/аффилированных лиц</v>
      </c>
      <c r="C249" s="146">
        <f>$C$196</f>
        <v>0</v>
      </c>
      <c r="D249" s="146">
        <f>$C$202</f>
        <v>0</v>
      </c>
      <c r="E249" s="251">
        <f>SUM(C249:D249)</f>
        <v>0</v>
      </c>
      <c r="F249" s="147" t="str">
        <f ca="1">IFERROR(E249/$E$253,"-")</f>
        <v>-</v>
      </c>
    </row>
    <row r="250" spans="2:64" ht="15" customHeight="1">
      <c r="B250" s="82" t="str">
        <f>IF(ISBLANK(C209),"Кредит/заём (с графиком)",C209)</f>
        <v>Кредит/заём (с графиком)</v>
      </c>
      <c r="C250" s="146">
        <f>$C$211</f>
        <v>0</v>
      </c>
      <c r="D250" s="146">
        <f>$C$217</f>
        <v>0</v>
      </c>
      <c r="E250" s="251">
        <f>SUM(C250:D250)</f>
        <v>0</v>
      </c>
      <c r="F250" s="147" t="str">
        <f ca="1">IFERROR(E250/$E$253,"-")</f>
        <v>-</v>
      </c>
    </row>
    <row r="251" spans="2:64" ht="15" customHeight="1">
      <c r="B251" s="82" t="str">
        <f>IF(ISBLANK(C224),"Лизинговая компания",C224)</f>
        <v>Лизинговая компания</v>
      </c>
      <c r="C251" s="146">
        <v>0</v>
      </c>
      <c r="D251" s="146">
        <f ca="1">IF(Программа="Лизинг",SUM($F$31:$F$70)-D248-D249-D250-D252,0)</f>
        <v>-100000</v>
      </c>
      <c r="E251" s="251">
        <f ca="1">SUM(C251:D251)</f>
        <v>-100000</v>
      </c>
      <c r="F251" s="147" t="str">
        <f ca="1">IFERROR(E251/$E$253,"-")</f>
        <v>-</v>
      </c>
      <c r="G251" s="317"/>
    </row>
    <row r="252" spans="2:64" ht="15" customHeight="1">
      <c r="B252" s="82" t="str">
        <f>"Заём "&amp;IF(ISNUMBER(SEARCH("РФРП",Программа)),"ФРП и РФРП","ФРП")</f>
        <v>Заём ФРП</v>
      </c>
      <c r="C252" s="146">
        <v>0</v>
      </c>
      <c r="D252" s="146">
        <f>$C$241</f>
        <v>100000</v>
      </c>
      <c r="E252" s="251">
        <f>SUM(C252:D252)</f>
        <v>100000</v>
      </c>
      <c r="F252" s="147" t="str">
        <f ca="1">IFERROR(E252/$E$253,"-")</f>
        <v>-</v>
      </c>
      <c r="G252" s="317" t="str">
        <f ca="1">IF(AND(Программа="Лизинг",Предпосылки!F252&gt;45%),"*В программе Лизинговые проекты доля займа ФРП не может превышать 45% от бюджета проекта","")</f>
        <v>*В программе Лизинговые проекты доля займа ФРП не может превышать 45% от бюджета проекта</v>
      </c>
    </row>
    <row r="253" spans="2:64" ht="15" customHeight="1">
      <c r="B253" s="253" t="s">
        <v>12</v>
      </c>
      <c r="C253" s="251">
        <f>SUM(C248:C252)</f>
        <v>0</v>
      </c>
      <c r="D253" s="251">
        <f ca="1">SUM(D248:D252)</f>
        <v>0</v>
      </c>
      <c r="E253" s="255">
        <f ca="1">SUM(E248:E252)</f>
        <v>0</v>
      </c>
      <c r="F253" s="254">
        <f ca="1">SUM(F248:F252)</f>
        <v>0</v>
      </c>
    </row>
    <row r="254" spans="2:64" ht="15" customHeight="1"/>
    <row r="255" spans="2:64" ht="15" customHeight="1">
      <c r="B255" s="495" t="s">
        <v>425</v>
      </c>
      <c r="C255" s="496"/>
      <c r="D255" s="496"/>
      <c r="E255" s="497"/>
      <c r="F255" s="119" t="str">
        <f>IFERROR(IF(SUM(C31:C70)&gt;C253,"Q","R"),"Q")</f>
        <v>R</v>
      </c>
    </row>
    <row r="256" spans="2:64" ht="15" customHeight="1"/>
    <row r="257" spans="2:32" ht="15.75">
      <c r="B257" s="22" t="s">
        <v>260</v>
      </c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  <c r="AD257" s="5"/>
      <c r="AE257" s="5"/>
    </row>
    <row r="258" spans="2:32" ht="15" customHeight="1">
      <c r="B258" s="26" t="str">
        <f>"Остаток д/с в проекте на "&amp;TEXT($C$13,"ДД.ММ.ГГГГ")</f>
        <v>Остаток д/с в проекте на 01.07.2026</v>
      </c>
      <c r="C258" s="59">
        <f>MAX(0,C253-SUM(C31:C70))</f>
        <v>0</v>
      </c>
    </row>
    <row r="259" spans="2:32" ht="15" customHeight="1"/>
    <row r="260" spans="2:32" ht="21">
      <c r="B260" s="21" t="s">
        <v>60</v>
      </c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  <c r="AD260" s="5"/>
      <c r="AE260" s="5"/>
    </row>
    <row r="261" spans="2:32" ht="15" customHeight="1">
      <c r="B261" s="22" t="s">
        <v>158</v>
      </c>
    </row>
    <row r="262" spans="2:32">
      <c r="B262" s="230" t="s">
        <v>62</v>
      </c>
      <c r="C262" s="229">
        <f t="shared" ref="C262:J262" si="404">IF(ISNUMBER(B262)=FALSE,YEAR($C$13),B262+1)</f>
        <v>2026</v>
      </c>
      <c r="D262" s="229">
        <f t="shared" si="404"/>
        <v>2027</v>
      </c>
      <c r="E262" s="229">
        <f t="shared" si="404"/>
        <v>2028</v>
      </c>
      <c r="F262" s="229">
        <f t="shared" si="404"/>
        <v>2029</v>
      </c>
      <c r="G262" s="229">
        <f t="shared" si="404"/>
        <v>2030</v>
      </c>
      <c r="H262" s="229">
        <f t="shared" si="404"/>
        <v>2031</v>
      </c>
      <c r="I262" s="229">
        <f t="shared" si="404"/>
        <v>2032</v>
      </c>
      <c r="J262" s="229">
        <f t="shared" si="404"/>
        <v>2033</v>
      </c>
      <c r="K262" s="229">
        <f t="shared" ref="K262" si="405">IF(ISNUMBER(J262)=FALSE,YEAR($C$13),J262+1)</f>
        <v>2034</v>
      </c>
      <c r="L262" s="229">
        <f t="shared" ref="L262" si="406">IF(ISNUMBER(K262)=FALSE,YEAR($C$13),K262+1)</f>
        <v>2035</v>
      </c>
      <c r="M262" s="229">
        <f t="shared" ref="M262" si="407">IF(ISNUMBER(L262)=FALSE,YEAR($C$13),L262+1)</f>
        <v>2036</v>
      </c>
      <c r="N262" s="229">
        <f t="shared" ref="N262" si="408">IF(ISNUMBER(M262)=FALSE,YEAR($C$13),M262+1)</f>
        <v>2037</v>
      </c>
      <c r="O262" s="229">
        <f t="shared" ref="O262" si="409">IF(ISNUMBER(N262)=FALSE,YEAR($C$13),N262+1)</f>
        <v>2038</v>
      </c>
      <c r="P262" s="229">
        <f t="shared" ref="P262" si="410">IF(ISNUMBER(O262)=FALSE,YEAR($C$13),O262+1)</f>
        <v>2039</v>
      </c>
      <c r="Q262" s="229">
        <f t="shared" ref="Q262:R262" si="411">IF(ISNUMBER(P262)=FALSE,YEAR($C$13),P262+1)</f>
        <v>2040</v>
      </c>
      <c r="R262" s="229">
        <f t="shared" si="411"/>
        <v>2041</v>
      </c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5"/>
      <c r="AD262" s="5"/>
      <c r="AE262" s="5"/>
      <c r="AF262" s="5"/>
    </row>
    <row r="263" spans="2:32" ht="15" customHeight="1">
      <c r="B263" s="92" t="s">
        <v>573</v>
      </c>
      <c r="C263" s="336">
        <v>1</v>
      </c>
      <c r="D263" s="336">
        <f>C263</f>
        <v>1</v>
      </c>
      <c r="E263" s="336">
        <f t="shared" ref="E263:R266" si="412">D263</f>
        <v>1</v>
      </c>
      <c r="F263" s="336">
        <f t="shared" si="412"/>
        <v>1</v>
      </c>
      <c r="G263" s="336">
        <f t="shared" si="412"/>
        <v>1</v>
      </c>
      <c r="H263" s="336">
        <f t="shared" si="412"/>
        <v>1</v>
      </c>
      <c r="I263" s="336">
        <f t="shared" si="412"/>
        <v>1</v>
      </c>
      <c r="J263" s="336">
        <f t="shared" si="412"/>
        <v>1</v>
      </c>
      <c r="K263" s="336">
        <f t="shared" si="412"/>
        <v>1</v>
      </c>
      <c r="L263" s="336">
        <f t="shared" si="412"/>
        <v>1</v>
      </c>
      <c r="M263" s="336">
        <f t="shared" si="412"/>
        <v>1</v>
      </c>
      <c r="N263" s="336">
        <f t="shared" si="412"/>
        <v>1</v>
      </c>
      <c r="O263" s="336">
        <f t="shared" si="412"/>
        <v>1</v>
      </c>
      <c r="P263" s="336">
        <f t="shared" si="412"/>
        <v>1</v>
      </c>
      <c r="Q263" s="336">
        <f t="shared" si="412"/>
        <v>1</v>
      </c>
      <c r="R263" s="336">
        <f t="shared" si="412"/>
        <v>1</v>
      </c>
    </row>
    <row r="264" spans="2:32" ht="15" customHeight="1">
      <c r="B264" s="92" t="str">
        <f>"Курс "&amp;H14&amp;"/"&amp;$H$13</f>
        <v>Курс USD/RUB</v>
      </c>
      <c r="C264" s="293">
        <v>78.5</v>
      </c>
      <c r="D264" s="293">
        <f>C264</f>
        <v>78.5</v>
      </c>
      <c r="E264" s="293">
        <f t="shared" si="412"/>
        <v>78.5</v>
      </c>
      <c r="F264" s="293">
        <f t="shared" si="412"/>
        <v>78.5</v>
      </c>
      <c r="G264" s="293">
        <f t="shared" si="412"/>
        <v>78.5</v>
      </c>
      <c r="H264" s="293">
        <f t="shared" si="412"/>
        <v>78.5</v>
      </c>
      <c r="I264" s="293">
        <f t="shared" si="412"/>
        <v>78.5</v>
      </c>
      <c r="J264" s="293">
        <f t="shared" si="412"/>
        <v>78.5</v>
      </c>
      <c r="K264" s="293">
        <f t="shared" si="412"/>
        <v>78.5</v>
      </c>
      <c r="L264" s="293">
        <f t="shared" si="412"/>
        <v>78.5</v>
      </c>
      <c r="M264" s="293">
        <f t="shared" si="412"/>
        <v>78.5</v>
      </c>
      <c r="N264" s="293">
        <f t="shared" si="412"/>
        <v>78.5</v>
      </c>
      <c r="O264" s="293">
        <f t="shared" si="412"/>
        <v>78.5</v>
      </c>
      <c r="P264" s="293">
        <f t="shared" si="412"/>
        <v>78.5</v>
      </c>
      <c r="Q264" s="293">
        <f t="shared" si="412"/>
        <v>78.5</v>
      </c>
      <c r="R264" s="293">
        <f t="shared" si="412"/>
        <v>78.5</v>
      </c>
    </row>
    <row r="265" spans="2:32" ht="15" customHeight="1">
      <c r="B265" s="93" t="str">
        <f>"Курс "&amp;H15&amp;"/"&amp;$H$13</f>
        <v>Курс CNY/RUB</v>
      </c>
      <c r="C265" s="294">
        <v>11.7</v>
      </c>
      <c r="D265" s="294">
        <f>C265</f>
        <v>11.7</v>
      </c>
      <c r="E265" s="294">
        <f t="shared" si="412"/>
        <v>11.7</v>
      </c>
      <c r="F265" s="294">
        <f t="shared" si="412"/>
        <v>11.7</v>
      </c>
      <c r="G265" s="294">
        <f t="shared" si="412"/>
        <v>11.7</v>
      </c>
      <c r="H265" s="294">
        <f t="shared" si="412"/>
        <v>11.7</v>
      </c>
      <c r="I265" s="294">
        <f t="shared" si="412"/>
        <v>11.7</v>
      </c>
      <c r="J265" s="294">
        <f t="shared" si="412"/>
        <v>11.7</v>
      </c>
      <c r="K265" s="294">
        <f t="shared" si="412"/>
        <v>11.7</v>
      </c>
      <c r="L265" s="294">
        <f t="shared" si="412"/>
        <v>11.7</v>
      </c>
      <c r="M265" s="294">
        <f t="shared" si="412"/>
        <v>11.7</v>
      </c>
      <c r="N265" s="294">
        <f t="shared" si="412"/>
        <v>11.7</v>
      </c>
      <c r="O265" s="294">
        <f t="shared" si="412"/>
        <v>11.7</v>
      </c>
      <c r="P265" s="294">
        <f t="shared" si="412"/>
        <v>11.7</v>
      </c>
      <c r="Q265" s="294">
        <f t="shared" si="412"/>
        <v>11.7</v>
      </c>
      <c r="R265" s="294">
        <f t="shared" si="412"/>
        <v>11.7</v>
      </c>
    </row>
    <row r="266" spans="2:32" ht="15" customHeight="1">
      <c r="B266" s="93" t="str">
        <f>"Курс "&amp;H16&amp;"/"&amp;$H$13</f>
        <v>Курс EUR/RUB</v>
      </c>
      <c r="C266" s="294">
        <v>91.5</v>
      </c>
      <c r="D266" s="294">
        <f>C266</f>
        <v>91.5</v>
      </c>
      <c r="E266" s="294">
        <f t="shared" si="412"/>
        <v>91.5</v>
      </c>
      <c r="F266" s="294">
        <f t="shared" si="412"/>
        <v>91.5</v>
      </c>
      <c r="G266" s="294">
        <f t="shared" si="412"/>
        <v>91.5</v>
      </c>
      <c r="H266" s="294">
        <f t="shared" si="412"/>
        <v>91.5</v>
      </c>
      <c r="I266" s="294">
        <f t="shared" si="412"/>
        <v>91.5</v>
      </c>
      <c r="J266" s="294">
        <f t="shared" si="412"/>
        <v>91.5</v>
      </c>
      <c r="K266" s="294">
        <f t="shared" si="412"/>
        <v>91.5</v>
      </c>
      <c r="L266" s="294">
        <f t="shared" si="412"/>
        <v>91.5</v>
      </c>
      <c r="M266" s="294">
        <f t="shared" si="412"/>
        <v>91.5</v>
      </c>
      <c r="N266" s="294">
        <f t="shared" si="412"/>
        <v>91.5</v>
      </c>
      <c r="O266" s="294">
        <f t="shared" si="412"/>
        <v>91.5</v>
      </c>
      <c r="P266" s="294">
        <f t="shared" si="412"/>
        <v>91.5</v>
      </c>
      <c r="Q266" s="294">
        <f t="shared" si="412"/>
        <v>91.5</v>
      </c>
      <c r="R266" s="294">
        <f t="shared" si="412"/>
        <v>91.5</v>
      </c>
    </row>
    <row r="267" spans="2:32" ht="15" customHeight="1"/>
    <row r="268" spans="2:32">
      <c r="B268" s="348" t="s">
        <v>62</v>
      </c>
      <c r="C268" s="347">
        <f>IF(ISNUMBER(B262)=FALSE,YEAR($C$13),B262+1)</f>
        <v>2026</v>
      </c>
      <c r="D268" s="347">
        <f>IF(ISNUMBER(C262)=FALSE,YEAR($C$13),C262+1)</f>
        <v>2027</v>
      </c>
      <c r="E268" s="347">
        <f t="shared" ref="E268:R268" si="413">IF(ISNUMBER(D262)=FALSE,YEAR($C$13),D262+1)</f>
        <v>2028</v>
      </c>
      <c r="F268" s="347">
        <f t="shared" si="413"/>
        <v>2029</v>
      </c>
      <c r="G268" s="347">
        <f t="shared" si="413"/>
        <v>2030</v>
      </c>
      <c r="H268" s="347">
        <f t="shared" si="413"/>
        <v>2031</v>
      </c>
      <c r="I268" s="347">
        <f t="shared" si="413"/>
        <v>2032</v>
      </c>
      <c r="J268" s="347">
        <f t="shared" si="413"/>
        <v>2033</v>
      </c>
      <c r="K268" s="347">
        <f t="shared" si="413"/>
        <v>2034</v>
      </c>
      <c r="L268" s="347">
        <f t="shared" si="413"/>
        <v>2035</v>
      </c>
      <c r="M268" s="347">
        <f t="shared" si="413"/>
        <v>2036</v>
      </c>
      <c r="N268" s="347">
        <f t="shared" si="413"/>
        <v>2037</v>
      </c>
      <c r="O268" s="347">
        <f t="shared" si="413"/>
        <v>2038</v>
      </c>
      <c r="P268" s="347">
        <f t="shared" si="413"/>
        <v>2039</v>
      </c>
      <c r="Q268" s="347">
        <f t="shared" si="413"/>
        <v>2040</v>
      </c>
      <c r="R268" s="347">
        <f t="shared" si="413"/>
        <v>2041</v>
      </c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  <c r="AD268" s="5"/>
      <c r="AE268" s="5"/>
      <c r="AF268" s="5"/>
    </row>
    <row r="269" spans="2:32" ht="15" customHeight="1">
      <c r="B269" s="92" t="s">
        <v>784</v>
      </c>
      <c r="C269" s="566">
        <v>5.6000000000000001E-2</v>
      </c>
      <c r="D269" s="566">
        <v>4.4999999999999998E-2</v>
      </c>
      <c r="E269" s="566">
        <v>4.1000000000000002E-2</v>
      </c>
      <c r="F269" s="350">
        <f>E269</f>
        <v>4.1000000000000002E-2</v>
      </c>
      <c r="G269" s="350">
        <f t="shared" ref="G269:R269" si="414">F269</f>
        <v>4.1000000000000002E-2</v>
      </c>
      <c r="H269" s="350">
        <f t="shared" si="414"/>
        <v>4.1000000000000002E-2</v>
      </c>
      <c r="I269" s="350">
        <f t="shared" si="414"/>
        <v>4.1000000000000002E-2</v>
      </c>
      <c r="J269" s="350">
        <f t="shared" si="414"/>
        <v>4.1000000000000002E-2</v>
      </c>
      <c r="K269" s="350">
        <f t="shared" si="414"/>
        <v>4.1000000000000002E-2</v>
      </c>
      <c r="L269" s="350">
        <f t="shared" si="414"/>
        <v>4.1000000000000002E-2</v>
      </c>
      <c r="M269" s="350">
        <f t="shared" si="414"/>
        <v>4.1000000000000002E-2</v>
      </c>
      <c r="N269" s="350">
        <f t="shared" si="414"/>
        <v>4.1000000000000002E-2</v>
      </c>
      <c r="O269" s="350">
        <f t="shared" si="414"/>
        <v>4.1000000000000002E-2</v>
      </c>
      <c r="P269" s="350">
        <f t="shared" si="414"/>
        <v>4.1000000000000002E-2</v>
      </c>
      <c r="Q269" s="350">
        <f t="shared" si="414"/>
        <v>4.1000000000000002E-2</v>
      </c>
      <c r="R269" s="350">
        <f t="shared" si="414"/>
        <v>4.1000000000000002E-2</v>
      </c>
    </row>
    <row r="270" spans="2:32" ht="15" customHeight="1"/>
    <row r="271" spans="2:32" ht="21">
      <c r="B271" s="21" t="s">
        <v>230</v>
      </c>
    </row>
    <row r="272" spans="2:32" ht="28.15" customHeight="1">
      <c r="B272" s="23" t="s">
        <v>517</v>
      </c>
      <c r="H272" s="509"/>
      <c r="I272" s="510"/>
      <c r="J272" s="510"/>
    </row>
    <row r="273" spans="2:6" ht="15" customHeight="1">
      <c r="B273" s="492" t="s">
        <v>255</v>
      </c>
      <c r="C273" s="229">
        <v>1</v>
      </c>
      <c r="D273" s="229">
        <v>2</v>
      </c>
      <c r="E273" s="229">
        <v>3</v>
      </c>
      <c r="F273" s="229">
        <v>4</v>
      </c>
    </row>
    <row r="274" spans="2:6" ht="15" customHeight="1">
      <c r="B274" s="492"/>
      <c r="C274" s="231">
        <f>IF($C$13=1,"-",EDATE($C$13,(C273-5)*Месяцев_в_квартале))</f>
        <v>45839</v>
      </c>
      <c r="D274" s="231">
        <f>IF($C$13=1,"-",EDATE($C$13,(D273-5)*Месяцев_в_квартале))</f>
        <v>45931</v>
      </c>
      <c r="E274" s="231">
        <f>IF($C$13=1,"-",EDATE($C$13,(E273-5)*Месяцев_в_квартале))</f>
        <v>46023</v>
      </c>
      <c r="F274" s="231">
        <f>IF($C$13=1,"-",EDATE($C$13,(F273-5)*Месяцев_в_квартале))</f>
        <v>46113</v>
      </c>
    </row>
    <row r="275" spans="2:6" ht="15" customHeight="1">
      <c r="B275" s="493"/>
      <c r="C275" s="231">
        <f>IF($C$13=1,"-",EOMONTH(C274,Месяцев_в_квартале-1))</f>
        <v>45930</v>
      </c>
      <c r="D275" s="231">
        <f>IF($C$13=1,"-",EOMONTH(D274,Месяцев_в_квартале-1))</f>
        <v>46022</v>
      </c>
      <c r="E275" s="231">
        <f>IF($C$13=1,"-",EOMONTH(E274,Месяцев_в_квартале-1))</f>
        <v>46112</v>
      </c>
      <c r="F275" s="231">
        <f>IF($C$13=1,"-",EOMONTH(F274,Месяцев_в_квартале-1))</f>
        <v>46203</v>
      </c>
    </row>
    <row r="276" spans="2:6" ht="15" customHeight="1">
      <c r="B276" s="20" t="s">
        <v>87</v>
      </c>
      <c r="C276" s="257"/>
      <c r="D276" s="257"/>
      <c r="E276" s="257"/>
      <c r="F276" s="257"/>
    </row>
    <row r="277" spans="2:6" ht="15" customHeight="1">
      <c r="B277" s="20" t="s">
        <v>514</v>
      </c>
      <c r="C277" s="257"/>
      <c r="D277" s="257"/>
      <c r="E277" s="257"/>
      <c r="F277" s="257"/>
    </row>
    <row r="278" spans="2:6" ht="15" customHeight="1">
      <c r="B278" s="218" t="s">
        <v>518</v>
      </c>
      <c r="C278" s="248">
        <f>SUM(C276,C277)</f>
        <v>0</v>
      </c>
      <c r="D278" s="248">
        <f>SUM(D276,D277)</f>
        <v>0</v>
      </c>
      <c r="E278" s="248">
        <f>SUM(E276,E277)</f>
        <v>0</v>
      </c>
      <c r="F278" s="248">
        <f>SUM(F276,F277)</f>
        <v>0</v>
      </c>
    </row>
    <row r="279" spans="2:6" ht="15" customHeight="1">
      <c r="B279" s="12" t="s">
        <v>515</v>
      </c>
      <c r="C279" s="257"/>
      <c r="D279" s="257"/>
      <c r="E279" s="257"/>
      <c r="F279" s="257"/>
    </row>
    <row r="280" spans="2:6" ht="15" customHeight="1">
      <c r="B280" s="12" t="s">
        <v>91</v>
      </c>
      <c r="C280" s="257"/>
      <c r="D280" s="257"/>
      <c r="E280" s="257"/>
      <c r="F280" s="257"/>
    </row>
    <row r="281" spans="2:6" ht="15" customHeight="1">
      <c r="B281" s="218" t="s">
        <v>519</v>
      </c>
      <c r="C281" s="248">
        <f>SUM(C278,C279,C280)</f>
        <v>0</v>
      </c>
      <c r="D281" s="248">
        <f>SUM(D278,D279,D280)</f>
        <v>0</v>
      </c>
      <c r="E281" s="248">
        <f>SUM(E278,E279,E280)</f>
        <v>0</v>
      </c>
      <c r="F281" s="248">
        <f>SUM(F278,F279,F280)</f>
        <v>0</v>
      </c>
    </row>
    <row r="282" spans="2:6" ht="15" customHeight="1">
      <c r="B282" s="12" t="s">
        <v>175</v>
      </c>
      <c r="C282" s="257"/>
      <c r="D282" s="257"/>
      <c r="E282" s="257"/>
      <c r="F282" s="257"/>
    </row>
    <row r="283" spans="2:6" ht="15" customHeight="1">
      <c r="B283" s="12" t="s">
        <v>93</v>
      </c>
      <c r="C283" s="257"/>
      <c r="D283" s="257"/>
      <c r="E283" s="257"/>
      <c r="F283" s="257"/>
    </row>
    <row r="284" spans="2:6" ht="15" customHeight="1">
      <c r="B284" s="12" t="s">
        <v>95</v>
      </c>
      <c r="C284" s="257"/>
      <c r="D284" s="257"/>
      <c r="E284" s="257"/>
      <c r="F284" s="257"/>
    </row>
    <row r="285" spans="2:6" ht="15" customHeight="1">
      <c r="B285" s="12" t="s">
        <v>94</v>
      </c>
      <c r="C285" s="257"/>
      <c r="D285" s="257"/>
      <c r="E285" s="257"/>
      <c r="F285" s="257"/>
    </row>
    <row r="286" spans="2:6" ht="15" customHeight="1">
      <c r="B286" s="12" t="s">
        <v>516</v>
      </c>
      <c r="C286" s="257"/>
      <c r="D286" s="257"/>
      <c r="E286" s="257"/>
      <c r="F286" s="257"/>
    </row>
    <row r="287" spans="2:6" ht="15" customHeight="1">
      <c r="B287" s="218" t="s">
        <v>520</v>
      </c>
      <c r="C287" s="248">
        <f>SUM(C281,C282,C283,C284,C285,C286)</f>
        <v>0</v>
      </c>
      <c r="D287" s="248">
        <f>SUM(D281,D282,D283,D284,D285,D286)</f>
        <v>0</v>
      </c>
      <c r="E287" s="248">
        <f>SUM(E281,E282,E283,E284,E285,E286)</f>
        <v>0</v>
      </c>
      <c r="F287" s="248">
        <f>SUM(F281,F282,F283,F284,F285,F286)</f>
        <v>0</v>
      </c>
    </row>
    <row r="288" spans="2:6" ht="15" customHeight="1">
      <c r="B288" s="12" t="s">
        <v>98</v>
      </c>
      <c r="C288" s="257"/>
      <c r="D288" s="257"/>
      <c r="E288" s="257"/>
      <c r="F288" s="257"/>
    </row>
    <row r="289" spans="2:6" ht="15" customHeight="1">
      <c r="B289" s="218" t="s">
        <v>521</v>
      </c>
      <c r="C289" s="248">
        <f>C287+C288</f>
        <v>0</v>
      </c>
      <c r="D289" s="248">
        <f>D287+D288</f>
        <v>0</v>
      </c>
      <c r="E289" s="248">
        <f>E287+E288</f>
        <v>0</v>
      </c>
      <c r="F289" s="248">
        <f>F287+F288</f>
        <v>0</v>
      </c>
    </row>
    <row r="290" spans="2:6" ht="15" customHeight="1">
      <c r="B290" s="12" t="s">
        <v>507</v>
      </c>
      <c r="C290" s="257"/>
      <c r="D290" s="257"/>
      <c r="E290" s="257"/>
      <c r="F290" s="257"/>
    </row>
    <row r="291" spans="2:6" ht="15" customHeight="1">
      <c r="B291" s="253" t="s">
        <v>132</v>
      </c>
      <c r="C291" s="248">
        <f>SUM(C287,-C283,-C284)</f>
        <v>0</v>
      </c>
      <c r="D291" s="248">
        <f>SUM(D287,-D283,-D284)</f>
        <v>0</v>
      </c>
      <c r="E291" s="248">
        <f>SUM(E287,-E283,-E284)</f>
        <v>0</v>
      </c>
      <c r="F291" s="248">
        <f>SUM(F287,-F283,-F284)</f>
        <v>0</v>
      </c>
    </row>
    <row r="292" spans="2:6" ht="15" customHeight="1">
      <c r="B292" s="253" t="s">
        <v>130</v>
      </c>
      <c r="C292" s="248">
        <f>SUM(C287,-C283,-C284,C290)</f>
        <v>0</v>
      </c>
      <c r="D292" s="248">
        <f>SUM(D287,-D283,-D284,D290)</f>
        <v>0</v>
      </c>
      <c r="E292" s="248">
        <f t="shared" ref="E292:F292" si="415">SUM(E287,-E283,-E284,E290)</f>
        <v>0</v>
      </c>
      <c r="F292" s="248">
        <f t="shared" si="415"/>
        <v>0</v>
      </c>
    </row>
    <row r="293" spans="2:6" ht="15" customHeight="1"/>
    <row r="294" spans="2:6" ht="15" customHeight="1">
      <c r="B294" s="23" t="s">
        <v>369</v>
      </c>
    </row>
    <row r="295" spans="2:6" ht="15" customHeight="1">
      <c r="B295" s="492" t="s">
        <v>255</v>
      </c>
      <c r="C295" s="229">
        <v>1</v>
      </c>
      <c r="D295" s="229">
        <v>2</v>
      </c>
      <c r="E295" s="229">
        <v>3</v>
      </c>
      <c r="F295" s="229">
        <v>4</v>
      </c>
    </row>
    <row r="296" spans="2:6" ht="15" customHeight="1">
      <c r="B296" s="492"/>
      <c r="C296" s="231">
        <f>IF($C$13=1,"-",EDATE($C$13,(C295-5)*Месяцев_в_квартале))</f>
        <v>45839</v>
      </c>
      <c r="D296" s="231">
        <f>IF($C$13=1,"-",EDATE($C$13,(D295-5)*Месяцев_в_квартале))</f>
        <v>45931</v>
      </c>
      <c r="E296" s="231">
        <f>IF($C$13=1,"-",EDATE($C$13,(E295-5)*Месяцев_в_квартале))</f>
        <v>46023</v>
      </c>
      <c r="F296" s="231">
        <f>IF($C$13=1,"-",EDATE($C$13,(F295-5)*Месяцев_в_квартале))</f>
        <v>46113</v>
      </c>
    </row>
    <row r="297" spans="2:6" ht="15" customHeight="1">
      <c r="B297" s="493"/>
      <c r="C297" s="231">
        <f>IF($C$13=1,"-",EOMONTH(C296,Месяцев_в_квартале-1))</f>
        <v>45930</v>
      </c>
      <c r="D297" s="231">
        <f>IF($C$13=1,"-",EOMONTH(D296,Месяцев_в_квартале-1))</f>
        <v>46022</v>
      </c>
      <c r="E297" s="231">
        <f>IF($C$13=1,"-",EOMONTH(E296,Месяцев_в_квартале-1))</f>
        <v>46112</v>
      </c>
      <c r="F297" s="231">
        <f>IF($C$13=1,"-",EOMONTH(F296,Месяцев_в_квартале-1))</f>
        <v>46203</v>
      </c>
    </row>
    <row r="298" spans="2:6" ht="15" customHeight="1">
      <c r="B298" s="20" t="s">
        <v>371</v>
      </c>
      <c r="C298" s="257"/>
      <c r="D298" s="257"/>
      <c r="E298" s="257"/>
      <c r="F298" s="257"/>
    </row>
    <row r="299" spans="2:6" ht="15" customHeight="1">
      <c r="B299" s="12" t="s">
        <v>372</v>
      </c>
      <c r="C299" s="257"/>
      <c r="D299" s="257"/>
      <c r="E299" s="257"/>
      <c r="F299" s="257"/>
    </row>
    <row r="300" spans="2:6" ht="15" customHeight="1">
      <c r="B300" s="12" t="s">
        <v>373</v>
      </c>
      <c r="C300" s="257"/>
      <c r="D300" s="257"/>
      <c r="E300" s="257"/>
      <c r="F300" s="257"/>
    </row>
    <row r="301" spans="2:6" ht="15" customHeight="1">
      <c r="B301" s="253" t="s">
        <v>370</v>
      </c>
      <c r="C301" s="248">
        <f>SUM(C298:C300)</f>
        <v>0</v>
      </c>
      <c r="D301" s="248">
        <f>SUM(D298:D300)</f>
        <v>0</v>
      </c>
      <c r="E301" s="248">
        <f t="shared" ref="E301:F301" si="416">SUM(E298:E300)</f>
        <v>0</v>
      </c>
      <c r="F301" s="248">
        <f t="shared" si="416"/>
        <v>0</v>
      </c>
    </row>
    <row r="302" spans="2:6" ht="15" customHeight="1"/>
    <row r="303" spans="2:6" ht="15" customHeight="1">
      <c r="B303" s="23" t="s">
        <v>434</v>
      </c>
    </row>
    <row r="304" spans="2:6" ht="15" customHeight="1">
      <c r="B304" s="12" t="str">
        <f>"Выручка за "&amp;YEAR($C$13)-1&amp;" год"</f>
        <v>Выручка за 2025 год</v>
      </c>
      <c r="C304" s="294"/>
    </row>
    <row r="305" spans="2:6" ht="48.75" customHeight="1">
      <c r="B305" s="12" t="s">
        <v>557</v>
      </c>
      <c r="C305" s="294"/>
    </row>
    <row r="306" spans="2:6" ht="29.25" customHeight="1">
      <c r="B306" s="15" t="s">
        <v>558</v>
      </c>
      <c r="C306" s="339"/>
    </row>
    <row r="307" spans="2:6" ht="15" customHeight="1"/>
    <row r="308" spans="2:6" ht="15" customHeight="1">
      <c r="B308" s="338" t="s">
        <v>598</v>
      </c>
      <c r="C308" s="119" t="str">
        <f>IFERROR(IF(AND(C306+1-1&gt;0,C306&lt;1),"R","Q"),"Q")</f>
        <v>Q</v>
      </c>
    </row>
    <row r="309" spans="2:6" ht="15" customHeight="1"/>
    <row r="310" spans="2:6" ht="15" customHeight="1">
      <c r="B310" s="23" t="s">
        <v>785</v>
      </c>
    </row>
    <row r="311" spans="2:6" ht="15" customHeight="1">
      <c r="B311" s="492" t="s">
        <v>255</v>
      </c>
      <c r="C311" s="229">
        <v>1</v>
      </c>
      <c r="D311" s="229">
        <v>2</v>
      </c>
      <c r="E311" s="229">
        <v>3</v>
      </c>
      <c r="F311" s="229">
        <v>4</v>
      </c>
    </row>
    <row r="312" spans="2:6" ht="15" customHeight="1">
      <c r="B312" s="492"/>
      <c r="C312" s="231">
        <f>IF($C$13=1,"-",EDATE($C$13,(C311-5)*Месяцев_в_квартале))</f>
        <v>45839</v>
      </c>
      <c r="D312" s="231">
        <f>IF($C$13=1,"-",EDATE($C$13,(D311-5)*Месяцев_в_квартале))</f>
        <v>45931</v>
      </c>
      <c r="E312" s="231">
        <f>IF($C$13=1,"-",EDATE($C$13,(E311-5)*Месяцев_в_квартале))</f>
        <v>46023</v>
      </c>
      <c r="F312" s="231">
        <f>IF($C$13=1,"-",EDATE($C$13,(F311-5)*Месяцев_в_квартале))</f>
        <v>46113</v>
      </c>
    </row>
    <row r="313" spans="2:6" ht="15" customHeight="1">
      <c r="B313" s="493"/>
      <c r="C313" s="231">
        <f>IF($C$13=1,"-",EOMONTH(C312,Месяцев_в_квартале-1))</f>
        <v>45930</v>
      </c>
      <c r="D313" s="231">
        <f>IF($C$13=1,"-",EOMONTH(D312,Месяцев_в_квартале-1))</f>
        <v>46022</v>
      </c>
      <c r="E313" s="231">
        <f>IF($C$13=1,"-",EOMONTH(E312,Месяцев_в_квартале-1))</f>
        <v>46112</v>
      </c>
      <c r="F313" s="231">
        <f>IF($C$13=1,"-",EOMONTH(F312,Месяцев_в_квартале-1))</f>
        <v>46203</v>
      </c>
    </row>
    <row r="314" spans="2:6" ht="15" customHeight="1">
      <c r="B314" s="20" t="s">
        <v>371</v>
      </c>
      <c r="C314" s="111">
        <f t="shared" ref="C314:F315" si="417">C298</f>
        <v>0</v>
      </c>
      <c r="D314" s="111">
        <f t="shared" si="417"/>
        <v>0</v>
      </c>
      <c r="E314" s="111">
        <f t="shared" si="417"/>
        <v>0</v>
      </c>
      <c r="F314" s="111">
        <f t="shared" si="417"/>
        <v>0</v>
      </c>
    </row>
    <row r="315" spans="2:6" ht="15" customHeight="1">
      <c r="B315" s="78" t="s">
        <v>372</v>
      </c>
      <c r="C315" s="111">
        <f t="shared" si="417"/>
        <v>0</v>
      </c>
      <c r="D315" s="111">
        <f t="shared" si="417"/>
        <v>0</v>
      </c>
      <c r="E315" s="111">
        <f t="shared" si="417"/>
        <v>0</v>
      </c>
      <c r="F315" s="111">
        <f t="shared" si="417"/>
        <v>0</v>
      </c>
    </row>
    <row r="316" spans="2:6" ht="15" customHeight="1">
      <c r="B316" s="112" t="s">
        <v>438</v>
      </c>
      <c r="C316" s="111">
        <f>-C321</f>
        <v>0</v>
      </c>
      <c r="D316" s="111">
        <f>-D321</f>
        <v>0</v>
      </c>
      <c r="E316" s="111">
        <f t="shared" ref="E316:F316" si="418">-E321</f>
        <v>0</v>
      </c>
      <c r="F316" s="111">
        <f t="shared" si="418"/>
        <v>0</v>
      </c>
    </row>
    <row r="317" spans="2:6" ht="15" customHeight="1">
      <c r="B317" s="78" t="s">
        <v>134</v>
      </c>
      <c r="C317" s="257"/>
      <c r="D317" s="257"/>
      <c r="E317" s="257"/>
      <c r="F317" s="257"/>
    </row>
    <row r="318" spans="2:6" ht="15" customHeight="1">
      <c r="B318" s="78" t="s">
        <v>432</v>
      </c>
      <c r="C318" s="257"/>
      <c r="D318" s="257"/>
      <c r="E318" s="257"/>
      <c r="F318" s="257"/>
    </row>
    <row r="319" spans="2:6" ht="15" customHeight="1">
      <c r="B319" s="253" t="s">
        <v>133</v>
      </c>
      <c r="C319" s="248">
        <f>SUM(C314:C318)</f>
        <v>0</v>
      </c>
      <c r="D319" s="248">
        <f>SUM(D314:D318)</f>
        <v>0</v>
      </c>
      <c r="E319" s="248">
        <f t="shared" ref="E319:F319" si="419">SUM(E314:E318)</f>
        <v>0</v>
      </c>
      <c r="F319" s="248">
        <f t="shared" si="419"/>
        <v>0</v>
      </c>
    </row>
    <row r="320" spans="2:6" ht="15" customHeight="1">
      <c r="B320" s="78" t="s">
        <v>217</v>
      </c>
      <c r="C320" s="257"/>
      <c r="D320" s="257"/>
      <c r="E320" s="257"/>
      <c r="F320" s="257"/>
    </row>
    <row r="321" spans="2:6" ht="15" customHeight="1">
      <c r="B321" s="112" t="s">
        <v>218</v>
      </c>
      <c r="C321" s="257"/>
      <c r="D321" s="257"/>
      <c r="E321" s="257"/>
      <c r="F321" s="257"/>
    </row>
    <row r="322" spans="2:6" ht="15" customHeight="1">
      <c r="B322" s="247" t="s">
        <v>137</v>
      </c>
      <c r="C322" s="256" t="str">
        <f>IFERROR(C319/-SUM(C320:C321),"-")</f>
        <v>-</v>
      </c>
      <c r="D322" s="256" t="str">
        <f>IFERROR(D319/-SUM(D320:D321),"-")</f>
        <v>-</v>
      </c>
      <c r="E322" s="256" t="str">
        <f t="shared" ref="E322:F322" si="420">IFERROR(E319/-SUM(E320:E321),"-")</f>
        <v>-</v>
      </c>
      <c r="F322" s="256" t="str">
        <f t="shared" si="420"/>
        <v>-</v>
      </c>
    </row>
    <row r="323" spans="2:6" ht="15" customHeight="1"/>
    <row r="324" spans="2:6" ht="15" hidden="1" customHeight="1"/>
    <row r="325" spans="2:6" ht="15" hidden="1" customHeight="1"/>
    <row r="326" spans="2:6" ht="15" hidden="1" customHeight="1"/>
    <row r="327" spans="2:6" ht="15" hidden="1" customHeight="1"/>
    <row r="328" spans="2:6" ht="15" hidden="1" customHeight="1"/>
    <row r="329" spans="2:6" ht="15" hidden="1" customHeight="1"/>
    <row r="330" spans="2:6" ht="15" hidden="1" customHeight="1"/>
    <row r="331" spans="2:6" ht="15" hidden="1" customHeight="1"/>
    <row r="332" spans="2:6" ht="15" hidden="1" customHeight="1"/>
    <row r="333" spans="2:6" ht="15" hidden="1" customHeight="1"/>
    <row r="334" spans="2:6" ht="15" hidden="1" customHeight="1"/>
    <row r="335" spans="2:6" ht="15" hidden="1" customHeight="1"/>
    <row r="336" spans="2:6" ht="15" hidden="1" customHeight="1"/>
    <row r="337" ht="15" hidden="1" customHeight="1"/>
    <row r="338" ht="15" hidden="1" customHeight="1"/>
    <row r="339" ht="15" hidden="1" customHeight="1"/>
    <row r="340" ht="15" hidden="1" customHeight="1"/>
    <row r="341" ht="15" hidden="1" customHeight="1"/>
    <row r="342" ht="15" hidden="1" customHeight="1"/>
    <row r="343" ht="15" hidden="1" customHeight="1"/>
    <row r="344" ht="15" hidden="1" customHeight="1"/>
    <row r="345" ht="15" hidden="1" customHeight="1"/>
    <row r="346" ht="15" hidden="1" customHeight="1"/>
    <row r="347" ht="15" hidden="1" customHeight="1"/>
    <row r="348" ht="15" hidden="1" customHeight="1"/>
    <row r="349" ht="15" hidden="1" customHeight="1"/>
    <row r="350" ht="15" hidden="1" customHeight="1"/>
    <row r="351" ht="15" hidden="1" customHeight="1"/>
    <row r="352" ht="15" hidden="1" customHeight="1"/>
    <row r="353" ht="15" hidden="1" customHeight="1"/>
    <row r="354" ht="15" hidden="1" customHeight="1"/>
    <row r="355" ht="15" hidden="1" customHeight="1"/>
    <row r="356" ht="15" hidden="1" customHeight="1"/>
    <row r="357" ht="15" hidden="1" customHeight="1"/>
    <row r="358" ht="15" hidden="1" customHeight="1"/>
    <row r="359" ht="15" hidden="1" customHeight="1"/>
    <row r="360" ht="15" hidden="1" customHeight="1"/>
    <row r="361" ht="15" hidden="1" customHeight="1"/>
    <row r="362" ht="15" hidden="1" customHeight="1"/>
    <row r="363" ht="15" hidden="1" customHeight="1"/>
    <row r="364" ht="15" hidden="1" customHeight="1"/>
    <row r="365" ht="15" hidden="1" customHeight="1"/>
    <row r="366" ht="15" hidden="1" customHeight="1"/>
    <row r="367" ht="15" hidden="1" customHeight="1"/>
    <row r="368" ht="15" hidden="1" customHeight="1"/>
    <row r="369" ht="15" hidden="1" customHeight="1"/>
    <row r="370" ht="15" hidden="1" customHeight="1"/>
    <row r="371" ht="15" hidden="1" customHeight="1"/>
    <row r="372" ht="15" hidden="1" customHeight="1"/>
    <row r="373" ht="15" hidden="1" customHeight="1"/>
    <row r="374" ht="15" hidden="1" customHeight="1"/>
    <row r="375" ht="15" hidden="1" customHeight="1"/>
    <row r="376" ht="15" hidden="1" customHeight="1"/>
    <row r="377" ht="15" hidden="1" customHeight="1"/>
    <row r="378" ht="15" hidden="1" customHeight="1"/>
    <row r="379" ht="15" hidden="1" customHeight="1"/>
    <row r="380" ht="15" hidden="1" customHeight="1"/>
    <row r="381" ht="15" hidden="1" customHeight="1"/>
    <row r="382" ht="15" hidden="1" customHeight="1"/>
    <row r="383" ht="15" hidden="1" customHeight="1"/>
    <row r="384" ht="15" hidden="1" customHeight="1"/>
    <row r="385" ht="15" hidden="1" customHeight="1"/>
    <row r="386" ht="15" hidden="1" customHeight="1"/>
    <row r="387" ht="15" hidden="1" customHeight="1"/>
    <row r="388" ht="15" hidden="1" customHeight="1"/>
    <row r="389" ht="15" hidden="1" customHeight="1"/>
    <row r="390" ht="15" hidden="1" customHeight="1"/>
    <row r="391" ht="15" hidden="1" customHeight="1"/>
    <row r="392" ht="15" hidden="1" customHeight="1"/>
    <row r="393" ht="15" hidden="1" customHeight="1"/>
    <row r="394" ht="15" hidden="1" customHeight="1"/>
    <row r="395" ht="15" hidden="1" customHeight="1"/>
    <row r="396" ht="15" hidden="1" customHeight="1"/>
    <row r="397" ht="15" hidden="1" customHeight="1"/>
    <row r="398" ht="15" hidden="1" customHeight="1"/>
    <row r="399" ht="15" hidden="1" customHeight="1"/>
    <row r="400" ht="15" hidden="1" customHeight="1"/>
    <row r="401" ht="15" hidden="1" customHeight="1"/>
    <row r="402" ht="15" hidden="1" customHeight="1"/>
    <row r="403" ht="15" hidden="1" customHeight="1"/>
    <row r="404" ht="15" hidden="1" customHeight="1"/>
    <row r="405" ht="15" hidden="1" customHeight="1"/>
    <row r="406" ht="15" hidden="1" customHeight="1"/>
    <row r="407" ht="15" hidden="1" customHeight="1"/>
    <row r="408" ht="15" hidden="1" customHeight="1"/>
    <row r="409" ht="15" hidden="1" customHeight="1"/>
    <row r="410" ht="15" hidden="1" customHeight="1"/>
    <row r="411" ht="15" hidden="1" customHeight="1"/>
    <row r="412" ht="15" hidden="1" customHeight="1"/>
    <row r="413" ht="15" hidden="1" customHeight="1"/>
    <row r="414" ht="15" hidden="1" customHeight="1"/>
    <row r="415" ht="15" hidden="1" customHeight="1"/>
    <row r="416" ht="15" hidden="1" customHeight="1"/>
    <row r="417" ht="15" hidden="1" customHeight="1"/>
    <row r="418" ht="15" hidden="1" customHeight="1"/>
    <row r="419" ht="15" hidden="1" customHeight="1"/>
    <row r="420" ht="15" hidden="1" customHeight="1"/>
    <row r="421" ht="15" hidden="1" customHeight="1"/>
    <row r="422" ht="15" hidden="1" customHeight="1"/>
    <row r="423" ht="15" hidden="1" customHeight="1"/>
    <row r="424" ht="15" hidden="1" customHeight="1"/>
    <row r="425" ht="15" hidden="1" customHeight="1"/>
    <row r="426" ht="15" hidden="1" customHeight="1"/>
    <row r="427" ht="15" hidden="1" customHeight="1"/>
    <row r="428" ht="15" hidden="1" customHeight="1"/>
    <row r="429" ht="15" hidden="1" customHeight="1"/>
    <row r="430" ht="15" hidden="1" customHeight="1"/>
    <row r="431" ht="15" hidden="1" customHeight="1"/>
    <row r="432" ht="15" hidden="1" customHeight="1"/>
    <row r="433" ht="15" hidden="1" customHeight="1"/>
    <row r="434" ht="15" hidden="1" customHeight="1"/>
    <row r="435" ht="15" hidden="1" customHeight="1"/>
    <row r="436" ht="15" hidden="1" customHeight="1"/>
    <row r="437" ht="15" hidden="1" customHeight="1"/>
    <row r="438" ht="15" hidden="1" customHeight="1"/>
    <row r="439" ht="15" hidden="1" customHeight="1"/>
    <row r="440" ht="15" hidden="1" customHeight="1"/>
    <row r="441" ht="15" hidden="1" customHeight="1"/>
    <row r="442" ht="15" hidden="1" customHeight="1"/>
    <row r="443" ht="15" hidden="1" customHeight="1"/>
    <row r="444" ht="15" hidden="1" customHeight="1"/>
    <row r="445" ht="15" hidden="1" customHeight="1"/>
    <row r="446" ht="15" customHeight="1"/>
    <row r="447" ht="15" customHeight="1"/>
    <row r="448" ht="15" customHeight="1"/>
    <row r="449" ht="15" customHeight="1"/>
    <row r="450" ht="15" customHeight="1"/>
    <row r="451" ht="15" customHeight="1"/>
    <row r="452" ht="15" customHeight="1"/>
    <row r="453" ht="15" customHeight="1"/>
    <row r="454" ht="15" customHeight="1"/>
    <row r="455" ht="15" customHeight="1"/>
    <row r="456" ht="15" customHeight="1"/>
    <row r="457" ht="15" customHeight="1"/>
    <row r="458" ht="15" customHeight="1"/>
    <row r="459" ht="15" customHeight="1"/>
    <row r="460" ht="15" customHeight="1"/>
    <row r="461" ht="15" customHeight="1"/>
    <row r="462" ht="15" customHeight="1"/>
    <row r="463" ht="15" customHeight="1"/>
    <row r="464" ht="15" customHeight="1"/>
    <row r="465" ht="15" customHeight="1"/>
    <row r="466" ht="15" customHeight="1"/>
    <row r="467" ht="15" customHeight="1"/>
    <row r="468" ht="15" customHeight="1"/>
    <row r="469" ht="15" customHeight="1"/>
    <row r="470" ht="15" customHeight="1"/>
    <row r="471" ht="15" customHeight="1"/>
    <row r="472" ht="15" customHeight="1"/>
    <row r="473" ht="15" customHeight="1"/>
    <row r="474" ht="15" customHeight="1"/>
    <row r="475" ht="15" customHeight="1"/>
    <row r="476" ht="15" customHeight="1"/>
    <row r="477" ht="15" customHeight="1"/>
    <row r="478" ht="15" customHeight="1"/>
    <row r="479" ht="15" customHeight="1"/>
    <row r="480" ht="15" customHeight="1"/>
    <row r="481" ht="15" customHeight="1"/>
    <row r="482" ht="15" customHeight="1"/>
    <row r="483" ht="15" customHeight="1"/>
    <row r="484" ht="15" customHeight="1"/>
    <row r="485" ht="15" customHeight="1"/>
    <row r="486" ht="15" customHeight="1"/>
    <row r="487" ht="15" customHeight="1"/>
    <row r="488" ht="15" customHeight="1"/>
    <row r="489" ht="15" customHeight="1"/>
    <row r="490" ht="15" customHeight="1"/>
    <row r="491" ht="15" customHeight="1"/>
    <row r="492" ht="15" customHeight="1"/>
    <row r="493" ht="15" customHeight="1"/>
    <row r="494" ht="15" customHeight="1"/>
    <row r="495" ht="15" customHeight="1"/>
    <row r="496" ht="15" customHeight="1"/>
    <row r="497" ht="15" customHeight="1"/>
    <row r="498" ht="15" customHeight="1"/>
    <row r="499" ht="15" customHeight="1"/>
    <row r="500" ht="15" customHeight="1"/>
    <row r="501" ht="15" customHeight="1"/>
    <row r="502" ht="15" customHeight="1"/>
    <row r="503" ht="15" customHeight="1"/>
    <row r="504" ht="15" customHeight="1"/>
    <row r="505" ht="15" customHeight="1"/>
    <row r="506" ht="15" customHeight="1"/>
    <row r="507" ht="15" customHeight="1"/>
    <row r="508" ht="15" customHeight="1"/>
    <row r="509" ht="15" customHeight="1"/>
    <row r="510" ht="15" customHeight="1"/>
    <row r="511" ht="15" customHeight="1"/>
    <row r="512" ht="15" customHeight="1"/>
    <row r="513" ht="15" customHeight="1"/>
    <row r="514" ht="15" customHeight="1"/>
    <row r="515" ht="15" customHeight="1"/>
    <row r="516" ht="15" customHeight="1"/>
    <row r="517" ht="15" customHeight="1"/>
    <row r="518" ht="15" customHeight="1"/>
    <row r="519" ht="15" customHeight="1"/>
    <row r="520" ht="15" customHeight="1"/>
    <row r="521" ht="15" customHeight="1"/>
    <row r="522" ht="15" customHeight="1"/>
    <row r="523" ht="15" customHeight="1"/>
    <row r="524" ht="15" customHeight="1"/>
    <row r="525" ht="15" customHeight="1"/>
    <row r="526" ht="15" customHeight="1"/>
    <row r="527" ht="15" customHeight="1"/>
    <row r="528" ht="15" customHeight="1"/>
    <row r="529" ht="15" customHeight="1"/>
    <row r="530" ht="15" customHeight="1"/>
    <row r="531" ht="15" customHeight="1"/>
    <row r="532" ht="15" customHeight="1"/>
    <row r="533" ht="15" customHeight="1"/>
    <row r="534" ht="15" customHeight="1"/>
    <row r="535" ht="15" customHeight="1"/>
    <row r="536" ht="15" customHeight="1"/>
    <row r="537" ht="15" customHeight="1"/>
    <row r="538" ht="15" customHeight="1"/>
    <row r="539" ht="15" customHeight="1"/>
    <row r="540" ht="15" customHeight="1"/>
    <row r="541" ht="15" customHeight="1"/>
    <row r="542" ht="15" customHeight="1"/>
    <row r="543" ht="15" customHeight="1"/>
    <row r="544" ht="15" customHeight="1"/>
    <row r="545" ht="15" customHeight="1"/>
    <row r="546" ht="15" customHeight="1"/>
    <row r="547" ht="15" customHeight="1"/>
    <row r="548" ht="15" customHeight="1"/>
    <row r="549" ht="15" customHeight="1"/>
    <row r="550" ht="15" customHeight="1"/>
    <row r="551" ht="15" customHeight="1"/>
    <row r="552" ht="15" customHeight="1"/>
    <row r="553" ht="15" customHeight="1"/>
    <row r="554" ht="15" customHeight="1"/>
    <row r="555" ht="15" customHeight="1"/>
    <row r="556" ht="15" customHeight="1"/>
    <row r="557" ht="15" customHeight="1"/>
    <row r="558" ht="15" customHeight="1"/>
    <row r="559" ht="15" customHeight="1"/>
    <row r="560" ht="15" customHeight="1"/>
    <row r="561" ht="15" customHeight="1"/>
    <row r="562" ht="15" customHeight="1"/>
    <row r="563" ht="15" customHeight="1"/>
    <row r="564" ht="15" customHeight="1"/>
    <row r="565" ht="15" customHeight="1"/>
    <row r="566" ht="15" customHeight="1"/>
    <row r="567" ht="15" customHeight="1"/>
    <row r="568" ht="15" customHeight="1"/>
    <row r="569" ht="15" customHeight="1"/>
    <row r="570" ht="15" customHeight="1"/>
    <row r="571" ht="15" customHeight="1"/>
    <row r="572" ht="15" customHeight="1"/>
    <row r="573" ht="15" customHeight="1"/>
    <row r="574" ht="15" customHeight="1"/>
    <row r="575" ht="15" customHeight="1"/>
    <row r="576" ht="15" customHeight="1"/>
    <row r="577" ht="15" customHeight="1"/>
    <row r="578" ht="15" customHeight="1"/>
    <row r="579" ht="15" customHeight="1"/>
    <row r="580" ht="15" customHeight="1"/>
    <row r="581" ht="15" customHeight="1"/>
    <row r="582" ht="15" customHeight="1"/>
    <row r="583" ht="15" customHeight="1"/>
    <row r="584" ht="15" customHeight="1"/>
    <row r="585" ht="15" customHeight="1"/>
    <row r="586" ht="15" customHeight="1"/>
    <row r="587" ht="15" customHeight="1"/>
    <row r="588" ht="15" customHeight="1"/>
    <row r="589" ht="15" customHeight="1"/>
    <row r="590" ht="15" customHeight="1"/>
    <row r="591" ht="15" customHeight="1"/>
    <row r="592" ht="15" customHeight="1"/>
    <row r="593" ht="15" customHeight="1"/>
    <row r="594" ht="15" customHeight="1"/>
    <row r="595" ht="15" customHeight="1"/>
    <row r="596" ht="15" customHeight="1"/>
    <row r="597" ht="15" customHeight="1"/>
    <row r="598" ht="15" customHeight="1"/>
    <row r="599" ht="15" customHeight="1"/>
    <row r="600" ht="15" customHeight="1"/>
    <row r="601" ht="15" customHeight="1"/>
    <row r="602" ht="15" customHeight="1"/>
    <row r="603" ht="15" customHeight="1"/>
    <row r="604" ht="15" customHeight="1"/>
    <row r="605" ht="15" customHeight="1"/>
    <row r="606" ht="15" customHeight="1"/>
    <row r="607" ht="15" customHeight="1"/>
    <row r="608" ht="15" customHeight="1"/>
    <row r="609" ht="15" customHeight="1"/>
    <row r="610" ht="15" customHeight="1"/>
    <row r="611" ht="15" customHeight="1"/>
    <row r="612" ht="15" customHeight="1"/>
    <row r="613" ht="15" customHeight="1"/>
    <row r="614" ht="15" customHeight="1"/>
    <row r="615" ht="15" customHeight="1"/>
    <row r="616" ht="15" customHeight="1"/>
    <row r="617" ht="15" customHeight="1"/>
    <row r="618" ht="15" customHeight="1"/>
    <row r="619" ht="15" customHeight="1"/>
    <row r="620" ht="15" customHeight="1"/>
    <row r="621" ht="15" customHeight="1"/>
    <row r="622" ht="15" customHeight="1"/>
    <row r="623" ht="15" customHeight="1"/>
    <row r="624" ht="15" customHeight="1"/>
    <row r="625" ht="15" customHeight="1"/>
    <row r="626" ht="15" customHeight="1"/>
    <row r="627" ht="15" customHeight="1"/>
    <row r="628" ht="15" customHeight="1"/>
    <row r="629" ht="15" customHeight="1"/>
    <row r="630" ht="15" customHeight="1"/>
    <row r="631" ht="15" customHeight="1"/>
    <row r="632" ht="15" customHeight="1"/>
    <row r="633" ht="15" customHeight="1"/>
    <row r="634" ht="15" customHeight="1"/>
    <row r="635" ht="15" customHeight="1"/>
    <row r="636" ht="15" customHeight="1"/>
    <row r="637" ht="15" customHeight="1"/>
    <row r="638" ht="15" customHeight="1"/>
    <row r="639" ht="15" customHeight="1"/>
    <row r="640" ht="15" customHeight="1"/>
    <row r="641" ht="15" customHeight="1"/>
    <row r="642" ht="15" customHeight="1"/>
    <row r="643" ht="15" customHeight="1"/>
    <row r="644" ht="15" customHeight="1"/>
    <row r="645" ht="15" customHeight="1"/>
    <row r="646" ht="15" customHeight="1"/>
    <row r="647" ht="15" customHeight="1"/>
    <row r="648" ht="15" customHeight="1"/>
    <row r="649" ht="15" customHeight="1"/>
    <row r="650" ht="15" customHeight="1"/>
    <row r="651" ht="15" customHeight="1"/>
    <row r="652" ht="15" customHeight="1"/>
    <row r="653" ht="15" customHeight="1"/>
    <row r="654" ht="15" customHeight="1"/>
    <row r="655" ht="15" customHeight="1"/>
    <row r="656" ht="15" customHeight="1"/>
    <row r="657" ht="15" customHeight="1"/>
    <row r="658" ht="15" customHeight="1"/>
    <row r="659" ht="15" customHeight="1"/>
    <row r="660" ht="15" customHeight="1"/>
    <row r="661" ht="15" customHeight="1"/>
    <row r="662" ht="15" customHeight="1"/>
    <row r="663" ht="15" customHeight="1"/>
    <row r="664" ht="15" customHeight="1"/>
    <row r="665" ht="15" customHeight="1"/>
    <row r="666" ht="15" customHeight="1"/>
    <row r="667" ht="15" customHeight="1"/>
    <row r="668" ht="15" customHeight="1"/>
    <row r="669" ht="15" customHeight="1"/>
    <row r="670" ht="15" customHeight="1"/>
    <row r="671" ht="15" customHeight="1"/>
    <row r="672" ht="15" customHeight="1"/>
    <row r="673" ht="15" customHeight="1"/>
    <row r="674" ht="15" customHeight="1"/>
    <row r="675" ht="15" customHeight="1"/>
    <row r="676" ht="15" customHeight="1"/>
    <row r="677" ht="15" customHeight="1"/>
    <row r="678" ht="15" customHeight="1"/>
    <row r="679" ht="15" customHeight="1"/>
    <row r="680" ht="15" customHeight="1"/>
    <row r="681" ht="15" customHeight="1"/>
    <row r="682" ht="15" customHeight="1"/>
    <row r="683" ht="15" customHeight="1"/>
    <row r="684" ht="15" customHeight="1"/>
    <row r="685" ht="15" customHeight="1"/>
    <row r="686" ht="15" customHeight="1"/>
    <row r="687" ht="15" customHeight="1"/>
    <row r="688" ht="15" customHeight="1"/>
    <row r="689" ht="15" customHeight="1"/>
    <row r="690" ht="15" customHeight="1"/>
    <row r="691" ht="15" customHeight="1"/>
    <row r="692" ht="15" customHeight="1"/>
    <row r="693" ht="15" customHeight="1"/>
    <row r="694" ht="15" customHeight="1"/>
    <row r="695" ht="15" customHeight="1"/>
    <row r="696" ht="15" customHeight="1"/>
    <row r="697" ht="15" customHeight="1"/>
    <row r="698" ht="15" customHeight="1"/>
    <row r="699" ht="15" customHeight="1"/>
    <row r="700" ht="15" customHeight="1"/>
    <row r="701" ht="15" customHeight="1"/>
    <row r="702" ht="15" customHeight="1"/>
    <row r="703" ht="15" customHeight="1"/>
    <row r="704" ht="15" customHeight="1"/>
    <row r="705" ht="15" customHeight="1"/>
    <row r="706" ht="15" customHeight="1"/>
    <row r="707" ht="15" customHeight="1"/>
    <row r="708" ht="15" customHeight="1"/>
    <row r="709" ht="15" customHeight="1"/>
    <row r="710" ht="15" customHeight="1"/>
    <row r="711" ht="15" customHeight="1"/>
    <row r="712" ht="15" customHeight="1"/>
    <row r="713" ht="15" customHeight="1"/>
    <row r="714" ht="15" customHeight="1"/>
    <row r="715" ht="15" customHeight="1"/>
    <row r="716" ht="15" customHeight="1"/>
    <row r="717" ht="15" customHeight="1"/>
    <row r="718" ht="15" customHeight="1"/>
    <row r="719" ht="15" customHeight="1"/>
    <row r="720" ht="15" customHeight="1"/>
    <row r="721" ht="15" customHeight="1"/>
    <row r="722" ht="15" customHeight="1"/>
    <row r="723" ht="15" customHeight="1"/>
    <row r="724" ht="15" customHeight="1"/>
    <row r="725" ht="15" customHeight="1"/>
    <row r="726" ht="15" customHeight="1"/>
    <row r="727" ht="15" customHeight="1"/>
    <row r="728" ht="15" customHeight="1"/>
    <row r="729" ht="15" customHeight="1"/>
    <row r="730" ht="15" customHeight="1"/>
    <row r="731" ht="15" customHeight="1"/>
    <row r="732" ht="15" customHeight="1"/>
    <row r="733" ht="15" customHeight="1"/>
    <row r="734" ht="15" customHeight="1"/>
    <row r="735" ht="15" customHeight="1"/>
    <row r="736" ht="15" customHeight="1"/>
    <row r="737" ht="15" customHeight="1"/>
    <row r="738" ht="15" customHeight="1"/>
    <row r="739" ht="15" customHeight="1"/>
    <row r="740" ht="15" customHeight="1"/>
    <row r="741" ht="15" customHeight="1"/>
    <row r="742" ht="15" customHeight="1"/>
  </sheetData>
  <sheetProtection algorithmName="SHA-512" hashValue="fiFQLm5HZE6Wt9lSYCTYID5YnK3DBpEI21oi9s8RZOx0+h/9Ud1OWbb6u3cE5ND7XWgu/fvELstiQQPzDQMPJg==" saltValue="P+v1WGnd6qgy5RrE9+dUOA==" spinCount="100000" sheet="1" objects="1" scenarios="1"/>
  <dataConsolidate link="1"/>
  <mergeCells count="57">
    <mergeCell ref="E2:H2"/>
    <mergeCell ref="B8:H8"/>
    <mergeCell ref="B9:H9"/>
    <mergeCell ref="E13:G13"/>
    <mergeCell ref="E14:G14"/>
    <mergeCell ref="E10:H10"/>
    <mergeCell ref="C149:C151"/>
    <mergeCell ref="F28:F29"/>
    <mergeCell ref="H272:J272"/>
    <mergeCell ref="E4:G4"/>
    <mergeCell ref="E17:G17"/>
    <mergeCell ref="E18:G18"/>
    <mergeCell ref="E19:G19"/>
    <mergeCell ref="E20:G20"/>
    <mergeCell ref="I74:I76"/>
    <mergeCell ref="H74:H76"/>
    <mergeCell ref="G74:G76"/>
    <mergeCell ref="C74:C76"/>
    <mergeCell ref="D74:D76"/>
    <mergeCell ref="E15:G15"/>
    <mergeCell ref="E16:G16"/>
    <mergeCell ref="F74:F76"/>
    <mergeCell ref="B311:B313"/>
    <mergeCell ref="E74:E76"/>
    <mergeCell ref="B295:B297"/>
    <mergeCell ref="C22:H23"/>
    <mergeCell ref="B28:B30"/>
    <mergeCell ref="B22:B23"/>
    <mergeCell ref="B149:B151"/>
    <mergeCell ref="E245:E247"/>
    <mergeCell ref="B187:B189"/>
    <mergeCell ref="C187:C189"/>
    <mergeCell ref="B245:B247"/>
    <mergeCell ref="D245:D247"/>
    <mergeCell ref="C199:C201"/>
    <mergeCell ref="B199:B201"/>
    <mergeCell ref="C124:C126"/>
    <mergeCell ref="C99:C101"/>
    <mergeCell ref="B273:B275"/>
    <mergeCell ref="B255:E255"/>
    <mergeCell ref="F245:F247"/>
    <mergeCell ref="B238:B240"/>
    <mergeCell ref="C238:C240"/>
    <mergeCell ref="B214:B216"/>
    <mergeCell ref="C214:C216"/>
    <mergeCell ref="B228:B230"/>
    <mergeCell ref="C228:C230"/>
    <mergeCell ref="C245:C247"/>
    <mergeCell ref="B124:B126"/>
    <mergeCell ref="BS28:BS30"/>
    <mergeCell ref="C11:H11"/>
    <mergeCell ref="I28:I30"/>
    <mergeCell ref="C28:C29"/>
    <mergeCell ref="D28:E29"/>
    <mergeCell ref="G28:G30"/>
    <mergeCell ref="B99:B101"/>
    <mergeCell ref="B74:B76"/>
  </mergeCells>
  <conditionalFormatting sqref="F255">
    <cfRule type="cellIs" dxfId="132" priority="390" operator="equal">
      <formula>"Q"</formula>
    </cfRule>
    <cfRule type="cellIs" dxfId="131" priority="391" operator="equal">
      <formula>"R"</formula>
    </cfRule>
  </conditionalFormatting>
  <conditionalFormatting sqref="E4">
    <cfRule type="expression" dxfId="130" priority="392">
      <formula>$H$4="Q"</formula>
    </cfRule>
    <cfRule type="expression" dxfId="129" priority="393">
      <formula>$H$4="R"</formula>
    </cfRule>
  </conditionalFormatting>
  <conditionalFormatting sqref="C220">
    <cfRule type="cellIs" dxfId="128" priority="384" operator="equal">
      <formula>"Q"</formula>
    </cfRule>
    <cfRule type="cellIs" dxfId="127" priority="385" operator="equal">
      <formula>"R"</formula>
    </cfRule>
  </conditionalFormatting>
  <conditionalFormatting sqref="C205">
    <cfRule type="cellIs" dxfId="126" priority="382" operator="equal">
      <formula>"Q"</formula>
    </cfRule>
    <cfRule type="cellIs" dxfId="125" priority="383" operator="equal">
      <formula>"R"</formula>
    </cfRule>
  </conditionalFormatting>
  <conditionalFormatting sqref="H4">
    <cfRule type="cellIs" dxfId="124" priority="368" operator="equal">
      <formula>"Q"</formula>
    </cfRule>
    <cfRule type="cellIs" dxfId="123" priority="369" operator="equal">
      <formula>"R"</formula>
    </cfRule>
  </conditionalFormatting>
  <conditionalFormatting sqref="F95:F96">
    <cfRule type="expression" dxfId="122" priority="335">
      <formula>$E95="нет"</formula>
    </cfRule>
  </conditionalFormatting>
  <conditionalFormatting sqref="F82:F85 F89:F94">
    <cfRule type="expression" dxfId="121" priority="292">
      <formula>$E82="нет"</formula>
    </cfRule>
  </conditionalFormatting>
  <conditionalFormatting sqref="F86:F88">
    <cfRule type="expression" dxfId="120" priority="107">
      <formula>$E86="нет"</formula>
    </cfRule>
  </conditionalFormatting>
  <conditionalFormatting sqref="F79:F81">
    <cfRule type="expression" dxfId="119" priority="103">
      <formula>$E79="нет"</formula>
    </cfRule>
  </conditionalFormatting>
  <conditionalFormatting sqref="BS31:BS70">
    <cfRule type="cellIs" dxfId="118" priority="24" operator="equal">
      <formula>"Q"</formula>
    </cfRule>
    <cfRule type="cellIs" dxfId="117" priority="25" operator="equal">
      <formula>"R"</formula>
    </cfRule>
  </conditionalFormatting>
  <conditionalFormatting sqref="C234">
    <cfRule type="cellIs" dxfId="116" priority="14" operator="equal">
      <formula>"Q"</formula>
    </cfRule>
    <cfRule type="cellIs" dxfId="115" priority="15" operator="equal">
      <formula>"R"</formula>
    </cfRule>
  </conditionalFormatting>
  <conditionalFormatting sqref="I31:I70">
    <cfRule type="expression" dxfId="114" priority="8">
      <formula>AND(I31&lt;&gt;0,I31&lt;&gt;1)</formula>
    </cfRule>
  </conditionalFormatting>
  <conditionalFormatting sqref="C308">
    <cfRule type="cellIs" dxfId="113" priority="6" operator="equal">
      <formula>"Q"</formula>
    </cfRule>
    <cfRule type="cellIs" dxfId="112" priority="7" operator="equal">
      <formula>"R"</formula>
    </cfRule>
  </conditionalFormatting>
  <conditionalFormatting sqref="F77:F78">
    <cfRule type="expression" dxfId="111" priority="3">
      <formula>$E77="нет"</formula>
    </cfRule>
  </conditionalFormatting>
  <dataValidations count="6">
    <dataValidation type="list" allowBlank="1" showInputMessage="1" showErrorMessage="1" sqref="E77:E96 G77:G96">
      <formula1>"да,нет"</formula1>
    </dataValidation>
    <dataValidation type="list" allowBlank="1" showInputMessage="1" showErrorMessage="1" sqref="F77:F96">
      <formula1>"основная,льготная"</formula1>
    </dataValidation>
    <dataValidation type="whole" operator="lessThanOrEqual" allowBlank="1" showInputMessage="1" showErrorMessage="1" errorTitle="Некорректное значение" error="Значение показателя отражается с отрицательным знаком." sqref="C286:F286 C284:F284 C320:F321">
      <formula1>0</formula1>
    </dataValidation>
    <dataValidation type="list" allowBlank="1" showInputMessage="1" showErrorMessage="1" sqref="D77:D96 D31:D70">
      <formula1>$H$13:$H$16</formula1>
    </dataValidation>
    <dataValidation type="whole" operator="lessThanOrEqual" allowBlank="1" showInputMessage="1" showErrorMessage="1" sqref="C277:F277 C279:F280 C288:F288">
      <formula1>0</formula1>
    </dataValidation>
    <dataValidation operator="lessThanOrEqual" allowBlank="1" showInputMessage="1" showErrorMessage="1" errorTitle="Некорректное значение" error="Значение показателя отражается с отрицательным знаком." sqref="C285:F285"/>
  </dataValidations>
  <hyperlinks>
    <hyperlink ref="E4:G4" location="Проверка!A1" tooltip="Перейти на лист Проверка" display="Проверка!A1"/>
    <hyperlink ref="E3" location="Руководство!A1" tooltip="Перейти на лист Руководство" display="Руководство"/>
    <hyperlink ref="F3" location="'Параметры займа'!A1" tooltip="Перейти на лист Параметры займа" display="Параметры займа"/>
    <hyperlink ref="G3" location="Предпосылки!A1" tooltip="Перейти на лист Предпосылки" display="Предпосылки"/>
    <hyperlink ref="H3" location="Выводы!A1" tooltip="Перейти на лист Выводы" display="Выводы"/>
    <hyperlink ref="H4" location="Проверка!A1" tooltip="Перейти на лист Проверка" display="Проверка!A1"/>
    <hyperlink ref="E2:H2" r:id="rId1" tooltip="Написать в Техподдержку" display="Техподдержка финансовой модели Фонда: fm@frprf.ru"/>
  </hyperlinks>
  <pageMargins left="0.7" right="0.7" top="0.75" bottom="0.75" header="0.3" footer="0.3"/>
  <pageSetup paperSize="9" scale="10" fitToHeight="0" orientation="landscape" r:id="rId2"/>
  <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1" id="{A7051185-A19E-4999-9377-1DC6E588BD38}">
            <xm:f>'Параметры займа'!$E$7&lt;&gt;"Лизинг"</xm:f>
            <x14:dxf>
              <font>
                <color auto="1"/>
              </font>
              <fill>
                <patternFill patternType="lightGray">
                  <bgColor theme="0"/>
                </patternFill>
              </fill>
            </x14:dxf>
          </x14:cfRule>
          <xm:sqref>C234 B251:F251 D231:BL231 Q232:BL232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support!$B$17:$B$105</xm:f>
          </x14:formula1>
          <xm:sqref>C11:H11</xm:sqref>
        </x14:dataValidation>
        <x14:dataValidation type="list" allowBlank="1" showInputMessage="1" showErrorMessage="1">
          <x14:formula1>
            <xm:f>support!$C$109:$C$141</xm:f>
          </x14:formula1>
          <xm:sqref>H14:H16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5">
    <tabColor theme="0"/>
    <pageSetUpPr fitToPage="1"/>
  </sheetPr>
  <dimension ref="A1:CE76"/>
  <sheetViews>
    <sheetView showGridLines="0" zoomScale="80" zoomScaleNormal="80" workbookViewId="0">
      <pane xSplit="4" ySplit="8" topLeftCell="E9" activePane="bottomRight" state="frozen"/>
      <selection pane="topRight"/>
      <selection pane="bottomLeft"/>
      <selection pane="bottomRight" activeCell="E18" sqref="E18"/>
    </sheetView>
  </sheetViews>
  <sheetFormatPr defaultColWidth="0" defaultRowHeight="15" customHeight="1" zeroHeight="1"/>
  <cols>
    <col min="1" max="1" width="2.7109375" customWidth="1"/>
    <col min="2" max="2" width="50" customWidth="1"/>
    <col min="3" max="65" width="17.28515625" customWidth="1"/>
    <col min="66" max="66" width="2.7109375" customWidth="1"/>
    <col min="67" max="71" width="15.7109375" hidden="1" customWidth="1"/>
    <col min="72" max="72" width="2.85546875" hidden="1" customWidth="1"/>
    <col min="73" max="83" width="0" hidden="1" customWidth="1"/>
    <col min="84" max="16384" width="9.140625" hidden="1"/>
  </cols>
  <sheetData>
    <row r="1" spans="2:71" ht="15" customHeight="1"/>
    <row r="2" spans="2:71">
      <c r="E2" s="520" t="s">
        <v>401</v>
      </c>
      <c r="F2" s="521"/>
      <c r="G2" s="521"/>
      <c r="H2" s="522"/>
    </row>
    <row r="3" spans="2:71" ht="15" customHeight="1">
      <c r="E3" s="65" t="s">
        <v>250</v>
      </c>
      <c r="F3" s="65" t="s">
        <v>28</v>
      </c>
      <c r="G3" s="65" t="s">
        <v>1</v>
      </c>
      <c r="H3" s="65" t="s">
        <v>172</v>
      </c>
    </row>
    <row r="4" spans="2:71" ht="15" customHeight="1">
      <c r="E4" s="511" t="str">
        <f>IF(H4="R","Все расчёты корректны","Имеются некорректные данные")</f>
        <v>Имеются некорректные данные</v>
      </c>
      <c r="F4" s="512"/>
      <c r="G4" s="513"/>
      <c r="H4" s="73" t="str">
        <f>Проверка</f>
        <v>Q</v>
      </c>
    </row>
    <row r="5" spans="2:71" ht="31.5">
      <c r="B5" s="7" t="s">
        <v>63</v>
      </c>
      <c r="D5" s="7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</row>
    <row r="6" spans="2:71" ht="15" customHeight="1">
      <c r="B6" s="526" t="s">
        <v>9</v>
      </c>
      <c r="C6" s="526" t="s">
        <v>13</v>
      </c>
      <c r="D6" s="526"/>
      <c r="E6" s="232">
        <f>SUM(D6,1)</f>
        <v>1</v>
      </c>
      <c r="F6" s="232">
        <f t="shared" ref="F6:AG6" si="0">SUM(E6,1)</f>
        <v>2</v>
      </c>
      <c r="G6" s="232">
        <f t="shared" si="0"/>
        <v>3</v>
      </c>
      <c r="H6" s="232">
        <f t="shared" si="0"/>
        <v>4</v>
      </c>
      <c r="I6" s="232">
        <f t="shared" si="0"/>
        <v>5</v>
      </c>
      <c r="J6" s="232">
        <f t="shared" si="0"/>
        <v>6</v>
      </c>
      <c r="K6" s="232">
        <f t="shared" si="0"/>
        <v>7</v>
      </c>
      <c r="L6" s="232">
        <f t="shared" si="0"/>
        <v>8</v>
      </c>
      <c r="M6" s="232">
        <f t="shared" si="0"/>
        <v>9</v>
      </c>
      <c r="N6" s="232">
        <f t="shared" si="0"/>
        <v>10</v>
      </c>
      <c r="O6" s="232">
        <f t="shared" si="0"/>
        <v>11</v>
      </c>
      <c r="P6" s="232">
        <f t="shared" si="0"/>
        <v>12</v>
      </c>
      <c r="Q6" s="232">
        <f t="shared" si="0"/>
        <v>13</v>
      </c>
      <c r="R6" s="232">
        <f t="shared" si="0"/>
        <v>14</v>
      </c>
      <c r="S6" s="232">
        <f t="shared" si="0"/>
        <v>15</v>
      </c>
      <c r="T6" s="232">
        <f t="shared" si="0"/>
        <v>16</v>
      </c>
      <c r="U6" s="232">
        <f t="shared" si="0"/>
        <v>17</v>
      </c>
      <c r="V6" s="232">
        <f t="shared" si="0"/>
        <v>18</v>
      </c>
      <c r="W6" s="232">
        <f t="shared" si="0"/>
        <v>19</v>
      </c>
      <c r="X6" s="232">
        <f t="shared" si="0"/>
        <v>20</v>
      </c>
      <c r="Y6" s="232">
        <f t="shared" si="0"/>
        <v>21</v>
      </c>
      <c r="Z6" s="232">
        <f t="shared" si="0"/>
        <v>22</v>
      </c>
      <c r="AA6" s="232">
        <f t="shared" si="0"/>
        <v>23</v>
      </c>
      <c r="AB6" s="232">
        <f t="shared" si="0"/>
        <v>24</v>
      </c>
      <c r="AC6" s="232">
        <f t="shared" si="0"/>
        <v>25</v>
      </c>
      <c r="AD6" s="232">
        <f t="shared" si="0"/>
        <v>26</v>
      </c>
      <c r="AE6" s="232">
        <f t="shared" si="0"/>
        <v>27</v>
      </c>
      <c r="AF6" s="232">
        <f t="shared" si="0"/>
        <v>28</v>
      </c>
      <c r="AG6" s="232">
        <f t="shared" si="0"/>
        <v>29</v>
      </c>
      <c r="AH6" s="232">
        <f t="shared" ref="AH6" si="1">SUM(AG6,1)</f>
        <v>30</v>
      </c>
      <c r="AI6" s="232">
        <f t="shared" ref="AI6" si="2">SUM(AH6,1)</f>
        <v>31</v>
      </c>
      <c r="AJ6" s="232">
        <f t="shared" ref="AJ6" si="3">SUM(AI6,1)</f>
        <v>32</v>
      </c>
      <c r="AK6" s="232">
        <f t="shared" ref="AK6" si="4">SUM(AJ6,1)</f>
        <v>33</v>
      </c>
      <c r="AL6" s="232">
        <f t="shared" ref="AL6" si="5">SUM(AK6,1)</f>
        <v>34</v>
      </c>
      <c r="AM6" s="232">
        <f t="shared" ref="AM6" si="6">SUM(AL6,1)</f>
        <v>35</v>
      </c>
      <c r="AN6" s="232">
        <f t="shared" ref="AN6" si="7">SUM(AM6,1)</f>
        <v>36</v>
      </c>
      <c r="AO6" s="232">
        <f t="shared" ref="AO6" si="8">SUM(AN6,1)</f>
        <v>37</v>
      </c>
      <c r="AP6" s="232">
        <f t="shared" ref="AP6" si="9">SUM(AO6,1)</f>
        <v>38</v>
      </c>
      <c r="AQ6" s="232">
        <f t="shared" ref="AQ6" si="10">SUM(AP6,1)</f>
        <v>39</v>
      </c>
      <c r="AR6" s="232">
        <f t="shared" ref="AR6" si="11">SUM(AQ6,1)</f>
        <v>40</v>
      </c>
      <c r="AS6" s="232">
        <f t="shared" ref="AS6" si="12">SUM(AR6,1)</f>
        <v>41</v>
      </c>
      <c r="AT6" s="232">
        <f t="shared" ref="AT6" si="13">SUM(AS6,1)</f>
        <v>42</v>
      </c>
      <c r="AU6" s="232">
        <f t="shared" ref="AU6" si="14">SUM(AT6,1)</f>
        <v>43</v>
      </c>
      <c r="AV6" s="232">
        <f t="shared" ref="AV6" si="15">SUM(AU6,1)</f>
        <v>44</v>
      </c>
      <c r="AW6" s="232">
        <f t="shared" ref="AW6" si="16">SUM(AV6,1)</f>
        <v>45</v>
      </c>
      <c r="AX6" s="232">
        <f t="shared" ref="AX6" si="17">SUM(AW6,1)</f>
        <v>46</v>
      </c>
      <c r="AY6" s="232">
        <f t="shared" ref="AY6" si="18">SUM(AX6,1)</f>
        <v>47</v>
      </c>
      <c r="AZ6" s="232">
        <f t="shared" ref="AZ6" si="19">SUM(AY6,1)</f>
        <v>48</v>
      </c>
      <c r="BA6" s="232">
        <f t="shared" ref="BA6" si="20">SUM(AZ6,1)</f>
        <v>49</v>
      </c>
      <c r="BB6" s="232">
        <f t="shared" ref="BB6" si="21">SUM(BA6,1)</f>
        <v>50</v>
      </c>
      <c r="BC6" s="232">
        <f t="shared" ref="BC6" si="22">SUM(BB6,1)</f>
        <v>51</v>
      </c>
      <c r="BD6" s="232">
        <f t="shared" ref="BD6" si="23">SUM(BC6,1)</f>
        <v>52</v>
      </c>
      <c r="BE6" s="232">
        <f t="shared" ref="BE6" si="24">SUM(BD6,1)</f>
        <v>53</v>
      </c>
      <c r="BF6" s="232">
        <f t="shared" ref="BF6" si="25">SUM(BE6,1)</f>
        <v>54</v>
      </c>
      <c r="BG6" s="232">
        <f t="shared" ref="BG6" si="26">SUM(BF6,1)</f>
        <v>55</v>
      </c>
      <c r="BH6" s="232">
        <f t="shared" ref="BH6" si="27">SUM(BG6,1)</f>
        <v>56</v>
      </c>
      <c r="BI6" s="232">
        <f t="shared" ref="BI6" si="28">SUM(BH6,1)</f>
        <v>57</v>
      </c>
      <c r="BJ6" s="232">
        <f t="shared" ref="BJ6" si="29">SUM(BI6,1)</f>
        <v>58</v>
      </c>
      <c r="BK6" s="232">
        <f t="shared" ref="BK6" si="30">SUM(BJ6,1)</f>
        <v>59</v>
      </c>
      <c r="BL6" s="232">
        <f t="shared" ref="BL6:BM6" si="31">SUM(BK6,1)</f>
        <v>60</v>
      </c>
      <c r="BM6" s="232">
        <f t="shared" si="31"/>
        <v>61</v>
      </c>
    </row>
    <row r="7" spans="2:71" ht="15" customHeight="1">
      <c r="B7" s="527"/>
      <c r="C7" s="527"/>
      <c r="D7" s="527"/>
      <c r="E7" s="227">
        <f>'Квартальная отчетность'!E7</f>
        <v>46204</v>
      </c>
      <c r="F7" s="227">
        <f>'Квартальная отчетность'!F7</f>
        <v>46296</v>
      </c>
      <c r="G7" s="227">
        <f>'Квартальная отчетность'!G7</f>
        <v>46388</v>
      </c>
      <c r="H7" s="227">
        <f>'Квартальная отчетность'!H7</f>
        <v>46478</v>
      </c>
      <c r="I7" s="227">
        <f>'Квартальная отчетность'!I7</f>
        <v>46569</v>
      </c>
      <c r="J7" s="227">
        <f>'Квартальная отчетность'!J7</f>
        <v>46661</v>
      </c>
      <c r="K7" s="227">
        <f>'Квартальная отчетность'!K7</f>
        <v>46753</v>
      </c>
      <c r="L7" s="227">
        <f>'Квартальная отчетность'!L7</f>
        <v>46844</v>
      </c>
      <c r="M7" s="227">
        <f>'Квартальная отчетность'!M7</f>
        <v>46935</v>
      </c>
      <c r="N7" s="227">
        <f>'Квартальная отчетность'!N7</f>
        <v>47027</v>
      </c>
      <c r="O7" s="227">
        <f>'Квартальная отчетность'!O7</f>
        <v>47119</v>
      </c>
      <c r="P7" s="227">
        <f>'Квартальная отчетность'!P7</f>
        <v>47209</v>
      </c>
      <c r="Q7" s="227">
        <f>'Квартальная отчетность'!Q7</f>
        <v>47300</v>
      </c>
      <c r="R7" s="227">
        <f>'Квартальная отчетность'!R7</f>
        <v>47392</v>
      </c>
      <c r="S7" s="227">
        <f>'Квартальная отчетность'!S7</f>
        <v>47484</v>
      </c>
      <c r="T7" s="227">
        <f>'Квартальная отчетность'!T7</f>
        <v>47574</v>
      </c>
      <c r="U7" s="227">
        <f>'Квартальная отчетность'!U7</f>
        <v>47665</v>
      </c>
      <c r="V7" s="227">
        <f>'Квартальная отчетность'!V7</f>
        <v>47757</v>
      </c>
      <c r="W7" s="227">
        <f>'Квартальная отчетность'!W7</f>
        <v>47849</v>
      </c>
      <c r="X7" s="227">
        <f>'Квартальная отчетность'!X7</f>
        <v>47939</v>
      </c>
      <c r="Y7" s="227">
        <f>'Квартальная отчетность'!Y7</f>
        <v>48030</v>
      </c>
      <c r="Z7" s="227">
        <f>'Квартальная отчетность'!Z7</f>
        <v>48122</v>
      </c>
      <c r="AA7" s="227">
        <f>'Квартальная отчетность'!AA7</f>
        <v>48214</v>
      </c>
      <c r="AB7" s="227">
        <f>'Квартальная отчетность'!AB7</f>
        <v>48305</v>
      </c>
      <c r="AC7" s="227">
        <f>'Квартальная отчетность'!AC7</f>
        <v>48396</v>
      </c>
      <c r="AD7" s="227">
        <f>'Квартальная отчетность'!AD7</f>
        <v>48488</v>
      </c>
      <c r="AE7" s="227">
        <f>'Квартальная отчетность'!AE7</f>
        <v>48580</v>
      </c>
      <c r="AF7" s="227">
        <f>'Квартальная отчетность'!AF7</f>
        <v>48670</v>
      </c>
      <c r="AG7" s="227">
        <f>'Квартальная отчетность'!AG7</f>
        <v>48761</v>
      </c>
      <c r="AH7" s="227">
        <f>'Квартальная отчетность'!AH7</f>
        <v>48853</v>
      </c>
      <c r="AI7" s="227">
        <f>'Квартальная отчетность'!AI7</f>
        <v>48945</v>
      </c>
      <c r="AJ7" s="227">
        <f>'Квартальная отчетность'!AJ7</f>
        <v>49035</v>
      </c>
      <c r="AK7" s="227">
        <f>'Квартальная отчетность'!AK7</f>
        <v>49126</v>
      </c>
      <c r="AL7" s="227">
        <f>'Квартальная отчетность'!AL7</f>
        <v>49218</v>
      </c>
      <c r="AM7" s="227">
        <f>'Квартальная отчетность'!AM7</f>
        <v>49310</v>
      </c>
      <c r="AN7" s="227">
        <f>'Квартальная отчетность'!AN7</f>
        <v>49400</v>
      </c>
      <c r="AO7" s="227">
        <f>'Квартальная отчетность'!AO7</f>
        <v>49491</v>
      </c>
      <c r="AP7" s="227">
        <f>'Квартальная отчетность'!AP7</f>
        <v>49583</v>
      </c>
      <c r="AQ7" s="227">
        <f>'Квартальная отчетность'!AQ7</f>
        <v>49675</v>
      </c>
      <c r="AR7" s="227">
        <f>'Квартальная отчетность'!AR7</f>
        <v>49766</v>
      </c>
      <c r="AS7" s="227">
        <f>'Квартальная отчетность'!AS7</f>
        <v>49857</v>
      </c>
      <c r="AT7" s="227">
        <f>'Квартальная отчетность'!AT7</f>
        <v>49949</v>
      </c>
      <c r="AU7" s="227">
        <f>'Квартальная отчетность'!AU7</f>
        <v>50041</v>
      </c>
      <c r="AV7" s="227">
        <f>'Квартальная отчетность'!AV7</f>
        <v>50131</v>
      </c>
      <c r="AW7" s="227">
        <f>'Квартальная отчетность'!AW7</f>
        <v>50222</v>
      </c>
      <c r="AX7" s="227">
        <f>'Квартальная отчетность'!AX7</f>
        <v>50314</v>
      </c>
      <c r="AY7" s="227">
        <f>'Квартальная отчетность'!AY7</f>
        <v>50406</v>
      </c>
      <c r="AZ7" s="227">
        <f>'Квартальная отчетность'!AZ7</f>
        <v>50496</v>
      </c>
      <c r="BA7" s="227">
        <f>'Квартальная отчетность'!BA7</f>
        <v>50587</v>
      </c>
      <c r="BB7" s="227">
        <f>'Квартальная отчетность'!BB7</f>
        <v>50679</v>
      </c>
      <c r="BC7" s="227">
        <f>'Квартальная отчетность'!BC7</f>
        <v>50771</v>
      </c>
      <c r="BD7" s="227">
        <f>'Квартальная отчетность'!BD7</f>
        <v>50861</v>
      </c>
      <c r="BE7" s="227">
        <f>'Квартальная отчетность'!BE7</f>
        <v>50952</v>
      </c>
      <c r="BF7" s="227">
        <f>'Квартальная отчетность'!BF7</f>
        <v>51044</v>
      </c>
      <c r="BG7" s="227">
        <f>'Квартальная отчетность'!BG7</f>
        <v>51136</v>
      </c>
      <c r="BH7" s="227">
        <f>'Квартальная отчетность'!BH7</f>
        <v>51227</v>
      </c>
      <c r="BI7" s="227">
        <f>'Квартальная отчетность'!BI7</f>
        <v>51318</v>
      </c>
      <c r="BJ7" s="227">
        <f>'Квартальная отчетность'!BJ7</f>
        <v>51410</v>
      </c>
      <c r="BK7" s="227">
        <f>'Квартальная отчетность'!BK7</f>
        <v>51502</v>
      </c>
      <c r="BL7" s="227">
        <f>'Квартальная отчетность'!BL7</f>
        <v>51592</v>
      </c>
      <c r="BM7" s="227">
        <f>'Квартальная отчетность'!BM7</f>
        <v>51683</v>
      </c>
    </row>
    <row r="8" spans="2:71" ht="15" customHeight="1">
      <c r="B8" s="528"/>
      <c r="C8" s="528"/>
      <c r="D8" s="528"/>
      <c r="E8" s="227">
        <f>'Квартальная отчетность'!E8</f>
        <v>46295</v>
      </c>
      <c r="F8" s="227">
        <f>'Квартальная отчетность'!F8</f>
        <v>46387</v>
      </c>
      <c r="G8" s="227">
        <f>'Квартальная отчетность'!G8</f>
        <v>46477</v>
      </c>
      <c r="H8" s="227">
        <f>'Квартальная отчетность'!H8</f>
        <v>46568</v>
      </c>
      <c r="I8" s="227">
        <f>'Квартальная отчетность'!I8</f>
        <v>46660</v>
      </c>
      <c r="J8" s="227">
        <f>'Квартальная отчетность'!J8</f>
        <v>46752</v>
      </c>
      <c r="K8" s="227">
        <f>'Квартальная отчетность'!K8</f>
        <v>46843</v>
      </c>
      <c r="L8" s="227">
        <f>'Квартальная отчетность'!L8</f>
        <v>46934</v>
      </c>
      <c r="M8" s="227">
        <f>'Квартальная отчетность'!M8</f>
        <v>47026</v>
      </c>
      <c r="N8" s="227">
        <f>'Квартальная отчетность'!N8</f>
        <v>47118</v>
      </c>
      <c r="O8" s="227">
        <f>'Квартальная отчетность'!O8</f>
        <v>47208</v>
      </c>
      <c r="P8" s="227">
        <f>'Квартальная отчетность'!P8</f>
        <v>47299</v>
      </c>
      <c r="Q8" s="227">
        <f>'Квартальная отчетность'!Q8</f>
        <v>47391</v>
      </c>
      <c r="R8" s="227">
        <f>'Квартальная отчетность'!R8</f>
        <v>47483</v>
      </c>
      <c r="S8" s="227">
        <f>'Квартальная отчетность'!S8</f>
        <v>47573</v>
      </c>
      <c r="T8" s="227">
        <f>'Квартальная отчетность'!T8</f>
        <v>47664</v>
      </c>
      <c r="U8" s="227">
        <f>'Квартальная отчетность'!U8</f>
        <v>47756</v>
      </c>
      <c r="V8" s="227">
        <f>'Квартальная отчетность'!V8</f>
        <v>47848</v>
      </c>
      <c r="W8" s="227">
        <f>'Квартальная отчетность'!W8</f>
        <v>47938</v>
      </c>
      <c r="X8" s="227">
        <f>'Квартальная отчетность'!X8</f>
        <v>48029</v>
      </c>
      <c r="Y8" s="227">
        <f>'Квартальная отчетность'!Y8</f>
        <v>48121</v>
      </c>
      <c r="Z8" s="227">
        <f>'Квартальная отчетность'!Z8</f>
        <v>48213</v>
      </c>
      <c r="AA8" s="227">
        <f>'Квартальная отчетность'!AA8</f>
        <v>48304</v>
      </c>
      <c r="AB8" s="227">
        <f>'Квартальная отчетность'!AB8</f>
        <v>48395</v>
      </c>
      <c r="AC8" s="227">
        <f>'Квартальная отчетность'!AC8</f>
        <v>48487</v>
      </c>
      <c r="AD8" s="227">
        <f>'Квартальная отчетность'!AD8</f>
        <v>48579</v>
      </c>
      <c r="AE8" s="227">
        <f>'Квартальная отчетность'!AE8</f>
        <v>48669</v>
      </c>
      <c r="AF8" s="227">
        <f>'Квартальная отчетность'!AF8</f>
        <v>48760</v>
      </c>
      <c r="AG8" s="227">
        <f>'Квартальная отчетность'!AG8</f>
        <v>48852</v>
      </c>
      <c r="AH8" s="227">
        <f>'Квартальная отчетность'!AH8</f>
        <v>48944</v>
      </c>
      <c r="AI8" s="227">
        <f>'Квартальная отчетность'!AI8</f>
        <v>49034</v>
      </c>
      <c r="AJ8" s="227">
        <f>'Квартальная отчетность'!AJ8</f>
        <v>49125</v>
      </c>
      <c r="AK8" s="227">
        <f>'Квартальная отчетность'!AK8</f>
        <v>49217</v>
      </c>
      <c r="AL8" s="227">
        <f>'Квартальная отчетность'!AL8</f>
        <v>49309</v>
      </c>
      <c r="AM8" s="227">
        <f>'Квартальная отчетность'!AM8</f>
        <v>49399</v>
      </c>
      <c r="AN8" s="227">
        <f>'Квартальная отчетность'!AN8</f>
        <v>49490</v>
      </c>
      <c r="AO8" s="227">
        <f>'Квартальная отчетность'!AO8</f>
        <v>49582</v>
      </c>
      <c r="AP8" s="227">
        <f>'Квартальная отчетность'!AP8</f>
        <v>49674</v>
      </c>
      <c r="AQ8" s="227">
        <f>'Квартальная отчетность'!AQ8</f>
        <v>49765</v>
      </c>
      <c r="AR8" s="227">
        <f>'Квартальная отчетность'!AR8</f>
        <v>49856</v>
      </c>
      <c r="AS8" s="227">
        <f>'Квартальная отчетность'!AS8</f>
        <v>49948</v>
      </c>
      <c r="AT8" s="227">
        <f>'Квартальная отчетность'!AT8</f>
        <v>50040</v>
      </c>
      <c r="AU8" s="227">
        <f>'Квартальная отчетность'!AU8</f>
        <v>50130</v>
      </c>
      <c r="AV8" s="227">
        <f>'Квартальная отчетность'!AV8</f>
        <v>50221</v>
      </c>
      <c r="AW8" s="227">
        <f>'Квартальная отчетность'!AW8</f>
        <v>50313</v>
      </c>
      <c r="AX8" s="227">
        <f>'Квартальная отчетность'!AX8</f>
        <v>50405</v>
      </c>
      <c r="AY8" s="227">
        <f>'Квартальная отчетность'!AY8</f>
        <v>50495</v>
      </c>
      <c r="AZ8" s="227">
        <f>'Квартальная отчетность'!AZ8</f>
        <v>50586</v>
      </c>
      <c r="BA8" s="227">
        <f>'Квартальная отчетность'!BA8</f>
        <v>50678</v>
      </c>
      <c r="BB8" s="227">
        <f>'Квартальная отчетность'!BB8</f>
        <v>50770</v>
      </c>
      <c r="BC8" s="227">
        <f>'Квартальная отчетность'!BC8</f>
        <v>50860</v>
      </c>
      <c r="BD8" s="227">
        <f>'Квартальная отчетность'!BD8</f>
        <v>50951</v>
      </c>
      <c r="BE8" s="227">
        <f>'Квартальная отчетность'!BE8</f>
        <v>51043</v>
      </c>
      <c r="BF8" s="227">
        <f>'Квартальная отчетность'!BF8</f>
        <v>51135</v>
      </c>
      <c r="BG8" s="227">
        <f>'Квартальная отчетность'!BG8</f>
        <v>51226</v>
      </c>
      <c r="BH8" s="227">
        <f>'Квартальная отчетность'!BH8</f>
        <v>51317</v>
      </c>
      <c r="BI8" s="227">
        <f>'Квартальная отчетность'!BI8</f>
        <v>51409</v>
      </c>
      <c r="BJ8" s="227">
        <f>'Квартальная отчетность'!BJ8</f>
        <v>51501</v>
      </c>
      <c r="BK8" s="227">
        <f>'Квартальная отчетность'!BK8</f>
        <v>51591</v>
      </c>
      <c r="BL8" s="227">
        <f>'Квартальная отчетность'!BL8</f>
        <v>51682</v>
      </c>
      <c r="BM8" s="227">
        <f>'Квартальная отчетность'!BM8</f>
        <v>51774</v>
      </c>
    </row>
    <row r="9" spans="2:71" ht="15" customHeight="1">
      <c r="B9" s="88"/>
      <c r="C9" s="88"/>
      <c r="D9" s="88"/>
      <c r="E9" s="88"/>
      <c r="F9" s="88"/>
      <c r="G9" s="88"/>
      <c r="H9" s="88"/>
      <c r="I9" s="88"/>
      <c r="J9" s="88"/>
      <c r="K9" s="88"/>
      <c r="L9" s="88"/>
      <c r="M9" s="88"/>
      <c r="N9" s="88"/>
      <c r="O9" s="88"/>
      <c r="P9" s="88"/>
      <c r="Q9" s="88"/>
      <c r="R9" s="88"/>
      <c r="S9" s="88"/>
      <c r="T9" s="88"/>
      <c r="U9" s="88"/>
      <c r="V9" s="88"/>
      <c r="W9" s="88"/>
      <c r="X9" s="88"/>
      <c r="Y9" s="88"/>
      <c r="Z9" s="88"/>
      <c r="AA9" s="88"/>
      <c r="AB9" s="88"/>
      <c r="AC9" s="88"/>
      <c r="AD9" s="88"/>
      <c r="AE9" s="88"/>
      <c r="AF9" s="88"/>
      <c r="AG9" s="88"/>
      <c r="AH9" s="88"/>
      <c r="AI9" s="88"/>
      <c r="AJ9" s="88"/>
      <c r="AK9" s="88"/>
      <c r="AL9" s="88"/>
      <c r="AM9" s="88"/>
      <c r="AN9" s="88"/>
      <c r="AO9" s="88"/>
      <c r="AP9" s="88"/>
      <c r="AQ9" s="88"/>
      <c r="AR9" s="88"/>
      <c r="AS9" s="88"/>
      <c r="AT9" s="88"/>
      <c r="AU9" s="88"/>
      <c r="AV9" s="88"/>
      <c r="AW9" s="88"/>
      <c r="AX9" s="88"/>
      <c r="AY9" s="88"/>
      <c r="AZ9" s="88"/>
      <c r="BA9" s="88"/>
      <c r="BB9" s="88"/>
      <c r="BC9" s="88"/>
      <c r="BD9" s="88"/>
      <c r="BE9" s="88"/>
      <c r="BF9" s="88"/>
      <c r="BG9" s="88"/>
      <c r="BH9" s="88"/>
      <c r="BI9" s="88"/>
      <c r="BJ9" s="88"/>
      <c r="BK9" s="88"/>
      <c r="BL9" s="88"/>
      <c r="BM9" s="88"/>
    </row>
    <row r="10" spans="2:71" ht="15" customHeight="1">
      <c r="B10" s="112" t="s">
        <v>246</v>
      </c>
      <c r="C10" s="113"/>
      <c r="D10" s="114"/>
      <c r="E10" s="115">
        <f>YEAR(E8)</f>
        <v>2026</v>
      </c>
      <c r="F10" s="115">
        <f t="shared" ref="F10:BM10" si="32">YEAR(F8)</f>
        <v>2026</v>
      </c>
      <c r="G10" s="115">
        <f t="shared" si="32"/>
        <v>2027</v>
      </c>
      <c r="H10" s="115">
        <f t="shared" si="32"/>
        <v>2027</v>
      </c>
      <c r="I10" s="115">
        <f t="shared" si="32"/>
        <v>2027</v>
      </c>
      <c r="J10" s="115">
        <f t="shared" si="32"/>
        <v>2027</v>
      </c>
      <c r="K10" s="115">
        <f t="shared" si="32"/>
        <v>2028</v>
      </c>
      <c r="L10" s="115">
        <f t="shared" si="32"/>
        <v>2028</v>
      </c>
      <c r="M10" s="115">
        <f t="shared" si="32"/>
        <v>2028</v>
      </c>
      <c r="N10" s="115">
        <f t="shared" si="32"/>
        <v>2028</v>
      </c>
      <c r="O10" s="115">
        <f t="shared" si="32"/>
        <v>2029</v>
      </c>
      <c r="P10" s="115">
        <f t="shared" si="32"/>
        <v>2029</v>
      </c>
      <c r="Q10" s="115">
        <f t="shared" si="32"/>
        <v>2029</v>
      </c>
      <c r="R10" s="115">
        <f t="shared" si="32"/>
        <v>2029</v>
      </c>
      <c r="S10" s="115">
        <f t="shared" si="32"/>
        <v>2030</v>
      </c>
      <c r="T10" s="115">
        <f t="shared" si="32"/>
        <v>2030</v>
      </c>
      <c r="U10" s="115">
        <f t="shared" si="32"/>
        <v>2030</v>
      </c>
      <c r="V10" s="115">
        <f t="shared" si="32"/>
        <v>2030</v>
      </c>
      <c r="W10" s="115">
        <f t="shared" si="32"/>
        <v>2031</v>
      </c>
      <c r="X10" s="115">
        <f t="shared" si="32"/>
        <v>2031</v>
      </c>
      <c r="Y10" s="115">
        <f t="shared" si="32"/>
        <v>2031</v>
      </c>
      <c r="Z10" s="115">
        <f t="shared" si="32"/>
        <v>2031</v>
      </c>
      <c r="AA10" s="115">
        <f t="shared" si="32"/>
        <v>2032</v>
      </c>
      <c r="AB10" s="115">
        <f t="shared" si="32"/>
        <v>2032</v>
      </c>
      <c r="AC10" s="115">
        <f t="shared" si="32"/>
        <v>2032</v>
      </c>
      <c r="AD10" s="115">
        <f t="shared" si="32"/>
        <v>2032</v>
      </c>
      <c r="AE10" s="115">
        <f t="shared" si="32"/>
        <v>2033</v>
      </c>
      <c r="AF10" s="115">
        <f t="shared" si="32"/>
        <v>2033</v>
      </c>
      <c r="AG10" s="115">
        <f t="shared" si="32"/>
        <v>2033</v>
      </c>
      <c r="AH10" s="115">
        <f t="shared" si="32"/>
        <v>2033</v>
      </c>
      <c r="AI10" s="115">
        <f t="shared" si="32"/>
        <v>2034</v>
      </c>
      <c r="AJ10" s="115">
        <f t="shared" si="32"/>
        <v>2034</v>
      </c>
      <c r="AK10" s="115">
        <f t="shared" si="32"/>
        <v>2034</v>
      </c>
      <c r="AL10" s="115">
        <f t="shared" si="32"/>
        <v>2034</v>
      </c>
      <c r="AM10" s="115">
        <f t="shared" si="32"/>
        <v>2035</v>
      </c>
      <c r="AN10" s="115">
        <f t="shared" si="32"/>
        <v>2035</v>
      </c>
      <c r="AO10" s="115">
        <f t="shared" si="32"/>
        <v>2035</v>
      </c>
      <c r="AP10" s="115">
        <f t="shared" si="32"/>
        <v>2035</v>
      </c>
      <c r="AQ10" s="115">
        <f t="shared" si="32"/>
        <v>2036</v>
      </c>
      <c r="AR10" s="115">
        <f t="shared" si="32"/>
        <v>2036</v>
      </c>
      <c r="AS10" s="115">
        <f t="shared" si="32"/>
        <v>2036</v>
      </c>
      <c r="AT10" s="115">
        <f t="shared" si="32"/>
        <v>2036</v>
      </c>
      <c r="AU10" s="115">
        <f t="shared" si="32"/>
        <v>2037</v>
      </c>
      <c r="AV10" s="115">
        <f t="shared" si="32"/>
        <v>2037</v>
      </c>
      <c r="AW10" s="115">
        <f t="shared" si="32"/>
        <v>2037</v>
      </c>
      <c r="AX10" s="115">
        <f t="shared" si="32"/>
        <v>2037</v>
      </c>
      <c r="AY10" s="115">
        <f t="shared" si="32"/>
        <v>2038</v>
      </c>
      <c r="AZ10" s="115">
        <f t="shared" si="32"/>
        <v>2038</v>
      </c>
      <c r="BA10" s="115">
        <f t="shared" si="32"/>
        <v>2038</v>
      </c>
      <c r="BB10" s="115">
        <f t="shared" si="32"/>
        <v>2038</v>
      </c>
      <c r="BC10" s="115">
        <f t="shared" si="32"/>
        <v>2039</v>
      </c>
      <c r="BD10" s="115">
        <f t="shared" si="32"/>
        <v>2039</v>
      </c>
      <c r="BE10" s="115">
        <f t="shared" si="32"/>
        <v>2039</v>
      </c>
      <c r="BF10" s="115">
        <f t="shared" si="32"/>
        <v>2039</v>
      </c>
      <c r="BG10" s="115">
        <f t="shared" si="32"/>
        <v>2040</v>
      </c>
      <c r="BH10" s="115">
        <f t="shared" si="32"/>
        <v>2040</v>
      </c>
      <c r="BI10" s="115">
        <f t="shared" si="32"/>
        <v>2040</v>
      </c>
      <c r="BJ10" s="115">
        <f t="shared" si="32"/>
        <v>2040</v>
      </c>
      <c r="BK10" s="115">
        <f t="shared" si="32"/>
        <v>2041</v>
      </c>
      <c r="BL10" s="115">
        <f t="shared" si="32"/>
        <v>2041</v>
      </c>
      <c r="BM10" s="115">
        <f t="shared" si="32"/>
        <v>2041</v>
      </c>
    </row>
    <row r="11" spans="2:71" ht="15" customHeight="1">
      <c r="B11" s="112" t="s">
        <v>261</v>
      </c>
      <c r="C11" s="113"/>
      <c r="D11" s="114"/>
      <c r="E11" s="115" t="str">
        <f t="shared" ref="E11:BM11" si="33">ROUNDUP(MONTH(E7)/Месяцев_в_квартале,0)&amp;" кв. "&amp;YEAR(E8)</f>
        <v>3 кв. 2026</v>
      </c>
      <c r="F11" s="115" t="str">
        <f t="shared" si="33"/>
        <v>4 кв. 2026</v>
      </c>
      <c r="G11" s="115" t="str">
        <f t="shared" si="33"/>
        <v>1 кв. 2027</v>
      </c>
      <c r="H11" s="115" t="str">
        <f t="shared" si="33"/>
        <v>2 кв. 2027</v>
      </c>
      <c r="I11" s="115" t="str">
        <f t="shared" si="33"/>
        <v>3 кв. 2027</v>
      </c>
      <c r="J11" s="115" t="str">
        <f t="shared" si="33"/>
        <v>4 кв. 2027</v>
      </c>
      <c r="K11" s="115" t="str">
        <f t="shared" si="33"/>
        <v>1 кв. 2028</v>
      </c>
      <c r="L11" s="115" t="str">
        <f t="shared" si="33"/>
        <v>2 кв. 2028</v>
      </c>
      <c r="M11" s="115" t="str">
        <f t="shared" si="33"/>
        <v>3 кв. 2028</v>
      </c>
      <c r="N11" s="115" t="str">
        <f t="shared" si="33"/>
        <v>4 кв. 2028</v>
      </c>
      <c r="O11" s="115" t="str">
        <f t="shared" si="33"/>
        <v>1 кв. 2029</v>
      </c>
      <c r="P11" s="115" t="str">
        <f t="shared" si="33"/>
        <v>2 кв. 2029</v>
      </c>
      <c r="Q11" s="115" t="str">
        <f t="shared" si="33"/>
        <v>3 кв. 2029</v>
      </c>
      <c r="R11" s="115" t="str">
        <f t="shared" si="33"/>
        <v>4 кв. 2029</v>
      </c>
      <c r="S11" s="115" t="str">
        <f t="shared" si="33"/>
        <v>1 кв. 2030</v>
      </c>
      <c r="T11" s="115" t="str">
        <f t="shared" si="33"/>
        <v>2 кв. 2030</v>
      </c>
      <c r="U11" s="115" t="str">
        <f t="shared" si="33"/>
        <v>3 кв. 2030</v>
      </c>
      <c r="V11" s="115" t="str">
        <f t="shared" si="33"/>
        <v>4 кв. 2030</v>
      </c>
      <c r="W11" s="115" t="str">
        <f t="shared" si="33"/>
        <v>1 кв. 2031</v>
      </c>
      <c r="X11" s="115" t="str">
        <f t="shared" si="33"/>
        <v>2 кв. 2031</v>
      </c>
      <c r="Y11" s="115" t="str">
        <f t="shared" si="33"/>
        <v>3 кв. 2031</v>
      </c>
      <c r="Z11" s="115" t="str">
        <f t="shared" si="33"/>
        <v>4 кв. 2031</v>
      </c>
      <c r="AA11" s="115" t="str">
        <f t="shared" si="33"/>
        <v>1 кв. 2032</v>
      </c>
      <c r="AB11" s="115" t="str">
        <f t="shared" si="33"/>
        <v>2 кв. 2032</v>
      </c>
      <c r="AC11" s="115" t="str">
        <f t="shared" si="33"/>
        <v>3 кв. 2032</v>
      </c>
      <c r="AD11" s="115" t="str">
        <f t="shared" si="33"/>
        <v>4 кв. 2032</v>
      </c>
      <c r="AE11" s="115" t="str">
        <f t="shared" si="33"/>
        <v>1 кв. 2033</v>
      </c>
      <c r="AF11" s="115" t="str">
        <f t="shared" si="33"/>
        <v>2 кв. 2033</v>
      </c>
      <c r="AG11" s="115" t="str">
        <f t="shared" si="33"/>
        <v>3 кв. 2033</v>
      </c>
      <c r="AH11" s="115" t="str">
        <f t="shared" si="33"/>
        <v>4 кв. 2033</v>
      </c>
      <c r="AI11" s="115" t="str">
        <f t="shared" si="33"/>
        <v>1 кв. 2034</v>
      </c>
      <c r="AJ11" s="115" t="str">
        <f t="shared" si="33"/>
        <v>2 кв. 2034</v>
      </c>
      <c r="AK11" s="115" t="str">
        <f t="shared" si="33"/>
        <v>3 кв. 2034</v>
      </c>
      <c r="AL11" s="115" t="str">
        <f t="shared" si="33"/>
        <v>4 кв. 2034</v>
      </c>
      <c r="AM11" s="115" t="str">
        <f t="shared" si="33"/>
        <v>1 кв. 2035</v>
      </c>
      <c r="AN11" s="115" t="str">
        <f t="shared" si="33"/>
        <v>2 кв. 2035</v>
      </c>
      <c r="AO11" s="115" t="str">
        <f t="shared" si="33"/>
        <v>3 кв. 2035</v>
      </c>
      <c r="AP11" s="115" t="str">
        <f t="shared" si="33"/>
        <v>4 кв. 2035</v>
      </c>
      <c r="AQ11" s="115" t="str">
        <f t="shared" si="33"/>
        <v>1 кв. 2036</v>
      </c>
      <c r="AR11" s="115" t="str">
        <f t="shared" si="33"/>
        <v>2 кв. 2036</v>
      </c>
      <c r="AS11" s="115" t="str">
        <f t="shared" si="33"/>
        <v>3 кв. 2036</v>
      </c>
      <c r="AT11" s="115" t="str">
        <f t="shared" si="33"/>
        <v>4 кв. 2036</v>
      </c>
      <c r="AU11" s="115" t="str">
        <f t="shared" si="33"/>
        <v>1 кв. 2037</v>
      </c>
      <c r="AV11" s="115" t="str">
        <f t="shared" si="33"/>
        <v>2 кв. 2037</v>
      </c>
      <c r="AW11" s="115" t="str">
        <f t="shared" si="33"/>
        <v>3 кв. 2037</v>
      </c>
      <c r="AX11" s="115" t="str">
        <f t="shared" si="33"/>
        <v>4 кв. 2037</v>
      </c>
      <c r="AY11" s="115" t="str">
        <f t="shared" si="33"/>
        <v>1 кв. 2038</v>
      </c>
      <c r="AZ11" s="115" t="str">
        <f t="shared" si="33"/>
        <v>2 кв. 2038</v>
      </c>
      <c r="BA11" s="115" t="str">
        <f t="shared" si="33"/>
        <v>3 кв. 2038</v>
      </c>
      <c r="BB11" s="115" t="str">
        <f t="shared" si="33"/>
        <v>4 кв. 2038</v>
      </c>
      <c r="BC11" s="115" t="str">
        <f t="shared" si="33"/>
        <v>1 кв. 2039</v>
      </c>
      <c r="BD11" s="115" t="str">
        <f t="shared" si="33"/>
        <v>2 кв. 2039</v>
      </c>
      <c r="BE11" s="115" t="str">
        <f t="shared" si="33"/>
        <v>3 кв. 2039</v>
      </c>
      <c r="BF11" s="115" t="str">
        <f t="shared" si="33"/>
        <v>4 кв. 2039</v>
      </c>
      <c r="BG11" s="115" t="str">
        <f t="shared" si="33"/>
        <v>1 кв. 2040</v>
      </c>
      <c r="BH11" s="115" t="str">
        <f t="shared" si="33"/>
        <v>2 кв. 2040</v>
      </c>
      <c r="BI11" s="115" t="str">
        <f t="shared" si="33"/>
        <v>3 кв. 2040</v>
      </c>
      <c r="BJ11" s="115" t="str">
        <f t="shared" si="33"/>
        <v>4 кв. 2040</v>
      </c>
      <c r="BK11" s="115" t="str">
        <f t="shared" si="33"/>
        <v>1 кв. 2041</v>
      </c>
      <c r="BL11" s="115" t="str">
        <f t="shared" si="33"/>
        <v>2 кв. 2041</v>
      </c>
      <c r="BM11" s="115" t="str">
        <f t="shared" si="33"/>
        <v>3 кв. 2041</v>
      </c>
    </row>
    <row r="12" spans="2:71" ht="15" customHeight="1">
      <c r="B12" s="112" t="str">
        <f>"Период займа "&amp;IF(ISNUMBER(SEARCH("РФРП",Программа)),"ФРП и РФРП","ФРП")</f>
        <v>Период займа ФРП</v>
      </c>
      <c r="C12" s="113"/>
      <c r="D12" s="114"/>
      <c r="E12" s="115">
        <f>IF(AND(E7&gt;=Предпосылки!$C$13,E8&lt;=Предпосылки!$C$15),1,0)</f>
        <v>1</v>
      </c>
      <c r="F12" s="115">
        <f>IF(AND(F7&gt;=Предпосылки!$C$13,F8&lt;=Предпосылки!$C$15),1,0)</f>
        <v>1</v>
      </c>
      <c r="G12" s="115">
        <f>IF(AND(G7&gt;=Предпосылки!$C$13,G8&lt;=Предпосылки!$C$15),1,0)</f>
        <v>1</v>
      </c>
      <c r="H12" s="115">
        <f>IF(AND(H7&gt;=Предпосылки!$C$13,H8&lt;=Предпосылки!$C$15),1,0)</f>
        <v>1</v>
      </c>
      <c r="I12" s="115">
        <f>IF(AND(I7&gt;=Предпосылки!$C$13,I8&lt;=Предпосылки!$C$15),1,0)</f>
        <v>1</v>
      </c>
      <c r="J12" s="115">
        <f>IF(AND(J7&gt;=Предпосылки!$C$13,J8&lt;=Предпосылки!$C$15),1,0)</f>
        <v>1</v>
      </c>
      <c r="K12" s="115">
        <f>IF(AND(K7&gt;=Предпосылки!$C$13,K8&lt;=Предпосылки!$C$15),1,0)</f>
        <v>1</v>
      </c>
      <c r="L12" s="115">
        <f>IF(AND(L7&gt;=Предпосылки!$C$13,L8&lt;=Предпосылки!$C$15),1,0)</f>
        <v>1</v>
      </c>
      <c r="M12" s="115">
        <f>IF(AND(M7&gt;=Предпосылки!$C$13,M8&lt;=Предпосылки!$C$15),1,0)</f>
        <v>1</v>
      </c>
      <c r="N12" s="115">
        <f>IF(AND(N7&gt;=Предпосылки!$C$13,N8&lt;=Предпосылки!$C$15),1,0)</f>
        <v>1</v>
      </c>
      <c r="O12" s="115">
        <f>IF(AND(O7&gt;=Предпосылки!$C$13,O8&lt;=Предпосылки!$C$15),1,0)</f>
        <v>1</v>
      </c>
      <c r="P12" s="115">
        <f>IF(AND(P7&gt;=Предпосылки!$C$13,P8&lt;=Предпосылки!$C$15),1,0)</f>
        <v>1</v>
      </c>
      <c r="Q12" s="115">
        <f>IF(AND(Q7&gt;=Предпосылки!$C$13,Q8&lt;=Предпосылки!$C$15),1,0)</f>
        <v>1</v>
      </c>
      <c r="R12" s="115">
        <f>IF(AND(R7&gt;=Предпосылки!$C$13,R8&lt;=Предпосылки!$C$15),1,0)</f>
        <v>1</v>
      </c>
      <c r="S12" s="115">
        <f>IF(AND(S7&gt;=Предпосылки!$C$13,S8&lt;=Предпосылки!$C$15),1,0)</f>
        <v>1</v>
      </c>
      <c r="T12" s="115">
        <f>IF(AND(T7&gt;=Предпосылки!$C$13,T8&lt;=Предпосылки!$C$15),1,0)</f>
        <v>1</v>
      </c>
      <c r="U12" s="115">
        <f>IF(AND(U7&gt;=Предпосылки!$C$13,U8&lt;=Предпосылки!$C$15),1,0)</f>
        <v>1</v>
      </c>
      <c r="V12" s="115">
        <f>IF(AND(V7&gt;=Предпосылки!$C$13,V8&lt;=Предпосылки!$C$15),1,0)</f>
        <v>1</v>
      </c>
      <c r="W12" s="115">
        <f>IF(AND(W7&gt;=Предпосылки!$C$13,W8&lt;=Предпосылки!$C$15),1,0)</f>
        <v>1</v>
      </c>
      <c r="X12" s="115">
        <f>IF(AND(X7&gt;=Предпосылки!$C$13,X8&lt;=Предпосылки!$C$15),1,0)</f>
        <v>1</v>
      </c>
      <c r="Y12" s="115">
        <f>IF(AND(Y7&gt;=Предпосылки!$C$13,Y8&lt;=Предпосылки!$C$15),1,0)</f>
        <v>1</v>
      </c>
      <c r="Z12" s="115">
        <f>IF(AND(Z7&gt;=Предпосылки!$C$13,Z8&lt;=Предпосылки!$C$15),1,0)</f>
        <v>0</v>
      </c>
      <c r="AA12" s="115">
        <f>IF(AND(AA7&gt;=Предпосылки!$C$13,AA8&lt;=Предпосылки!$C$15),1,0)</f>
        <v>0</v>
      </c>
      <c r="AB12" s="115">
        <f>IF(AND(AB7&gt;=Предпосылки!$C$13,AB8&lt;=Предпосылки!$C$15),1,0)</f>
        <v>0</v>
      </c>
      <c r="AC12" s="115">
        <f>IF(AND(AC7&gt;=Предпосылки!$C$13,AC8&lt;=Предпосылки!$C$15),1,0)</f>
        <v>0</v>
      </c>
      <c r="AD12" s="115">
        <f>IF(AND(AD7&gt;=Предпосылки!$C$13,AD8&lt;=Предпосылки!$C$15),1,0)</f>
        <v>0</v>
      </c>
      <c r="AE12" s="115">
        <f>IF(AND(AE7&gt;=Предпосылки!$C$13,AE8&lt;=Предпосылки!$C$15),1,0)</f>
        <v>0</v>
      </c>
      <c r="AF12" s="115">
        <f>IF(AND(AF7&gt;=Предпосылки!$C$13,AF8&lt;=Предпосылки!$C$15),1,0)</f>
        <v>0</v>
      </c>
      <c r="AG12" s="115">
        <f>IF(AND(AG7&gt;=Предпосылки!$C$13,AG8&lt;=Предпосылки!$C$15),1,0)</f>
        <v>0</v>
      </c>
      <c r="AH12" s="115">
        <f>IF(AND(AH7&gt;=Предпосылки!$C$13,AH8&lt;=Предпосылки!$C$15),1,0)</f>
        <v>0</v>
      </c>
      <c r="AI12" s="115">
        <f>IF(AND(AI7&gt;=Предпосылки!$C$13,AI8&lt;=Предпосылки!$C$15),1,0)</f>
        <v>0</v>
      </c>
      <c r="AJ12" s="115">
        <f>IF(AND(AJ7&gt;=Предпосылки!$C$13,AJ8&lt;=Предпосылки!$C$15),1,0)</f>
        <v>0</v>
      </c>
      <c r="AK12" s="115">
        <f>IF(AND(AK7&gt;=Предпосылки!$C$13,AK8&lt;=Предпосылки!$C$15),1,0)</f>
        <v>0</v>
      </c>
      <c r="AL12" s="115">
        <f>IF(AND(AL7&gt;=Предпосылки!$C$13,AL8&lt;=Предпосылки!$C$15),1,0)</f>
        <v>0</v>
      </c>
      <c r="AM12" s="115">
        <f>IF(AND(AM7&gt;=Предпосылки!$C$13,AM8&lt;=Предпосылки!$C$15),1,0)</f>
        <v>0</v>
      </c>
      <c r="AN12" s="115">
        <f>IF(AND(AN7&gt;=Предпосылки!$C$13,AN8&lt;=Предпосылки!$C$15),1,0)</f>
        <v>0</v>
      </c>
      <c r="AO12" s="115">
        <f>IF(AND(AO7&gt;=Предпосылки!$C$13,AO8&lt;=Предпосылки!$C$15),1,0)</f>
        <v>0</v>
      </c>
      <c r="AP12" s="115">
        <f>IF(AND(AP7&gt;=Предпосылки!$C$13,AP8&lt;=Предпосылки!$C$15),1,0)</f>
        <v>0</v>
      </c>
      <c r="AQ12" s="115">
        <f>IF(AND(AQ7&gt;=Предпосылки!$C$13,AQ8&lt;=Предпосылки!$C$15),1,0)</f>
        <v>0</v>
      </c>
      <c r="AR12" s="115">
        <f>IF(AND(AR7&gt;=Предпосылки!$C$13,AR8&lt;=Предпосылки!$C$15),1,0)</f>
        <v>0</v>
      </c>
      <c r="AS12" s="115">
        <f>IF(AND(AS7&gt;=Предпосылки!$C$13,AS8&lt;=Предпосылки!$C$15),1,0)</f>
        <v>0</v>
      </c>
      <c r="AT12" s="115">
        <f>IF(AND(AT7&gt;=Предпосылки!$C$13,AT8&lt;=Предпосылки!$C$15),1,0)</f>
        <v>0</v>
      </c>
      <c r="AU12" s="115">
        <f>IF(AND(AU7&gt;=Предпосылки!$C$13,AU8&lt;=Предпосылки!$C$15),1,0)</f>
        <v>0</v>
      </c>
      <c r="AV12" s="115">
        <f>IF(AND(AV7&gt;=Предпосылки!$C$13,AV8&lt;=Предпосылки!$C$15),1,0)</f>
        <v>0</v>
      </c>
      <c r="AW12" s="115">
        <f>IF(AND(AW7&gt;=Предпосылки!$C$13,AW8&lt;=Предпосылки!$C$15),1,0)</f>
        <v>0</v>
      </c>
      <c r="AX12" s="115">
        <f>IF(AND(AX7&gt;=Предпосылки!$C$13,AX8&lt;=Предпосылки!$C$15),1,0)</f>
        <v>0</v>
      </c>
      <c r="AY12" s="115">
        <f>IF(AND(AY7&gt;=Предпосылки!$C$13,AY8&lt;=Предпосылки!$C$15),1,0)</f>
        <v>0</v>
      </c>
      <c r="AZ12" s="115">
        <f>IF(AND(AZ7&gt;=Предпосылки!$C$13,AZ8&lt;=Предпосылки!$C$15),1,0)</f>
        <v>0</v>
      </c>
      <c r="BA12" s="115">
        <f>IF(AND(BA7&gt;=Предпосылки!$C$13,BA8&lt;=Предпосылки!$C$15),1,0)</f>
        <v>0</v>
      </c>
      <c r="BB12" s="115">
        <f>IF(AND(BB7&gt;=Предпосылки!$C$13,BB8&lt;=Предпосылки!$C$15),1,0)</f>
        <v>0</v>
      </c>
      <c r="BC12" s="115">
        <f>IF(AND(BC7&gt;=Предпосылки!$C$13,BC8&lt;=Предпосылки!$C$15),1,0)</f>
        <v>0</v>
      </c>
      <c r="BD12" s="115">
        <f>IF(AND(BD7&gt;=Предпосылки!$C$13,BD8&lt;=Предпосылки!$C$15),1,0)</f>
        <v>0</v>
      </c>
      <c r="BE12" s="115">
        <f>IF(AND(BE7&gt;=Предпосылки!$C$13,BE8&lt;=Предпосылки!$C$15),1,0)</f>
        <v>0</v>
      </c>
      <c r="BF12" s="115">
        <f>IF(AND(BF7&gt;=Предпосылки!$C$13,BF8&lt;=Предпосылки!$C$15),1,0)</f>
        <v>0</v>
      </c>
      <c r="BG12" s="115">
        <f>IF(AND(BG7&gt;=Предпосылки!$C$13,BG8&lt;=Предпосылки!$C$15),1,0)</f>
        <v>0</v>
      </c>
      <c r="BH12" s="115">
        <f>IF(AND(BH7&gt;=Предпосылки!$C$13,BH8&lt;=Предпосылки!$C$15),1,0)</f>
        <v>0</v>
      </c>
      <c r="BI12" s="115">
        <f>IF(AND(BI7&gt;=Предпосылки!$C$13,BI8&lt;=Предпосылки!$C$15),1,0)</f>
        <v>0</v>
      </c>
      <c r="BJ12" s="115">
        <f>IF(AND(BJ7&gt;=Предпосылки!$C$13,BJ8&lt;=Предпосылки!$C$15),1,0)</f>
        <v>0</v>
      </c>
      <c r="BK12" s="115">
        <f>IF(AND(BK7&gt;=Предпосылки!$C$13,BK8&lt;=Предпосылки!$C$15),1,0)</f>
        <v>0</v>
      </c>
      <c r="BL12" s="115">
        <f>IF(AND(BL7&gt;=Предпосылки!$C$13,BL8&lt;=Предпосылки!$C$15),1,0)</f>
        <v>0</v>
      </c>
      <c r="BM12" s="115">
        <f>IF(AND(BM7&gt;=Предпосылки!$C$13,BM8&lt;=Предпосылки!$C$15),1,0)</f>
        <v>0</v>
      </c>
    </row>
    <row r="13" spans="2:71" ht="15" customHeight="1">
      <c r="B13" s="88"/>
      <c r="C13" s="88"/>
      <c r="D13" s="88"/>
      <c r="E13" s="88"/>
      <c r="F13" s="88"/>
      <c r="G13" s="88"/>
      <c r="H13" s="88"/>
      <c r="I13" s="88"/>
      <c r="J13" s="88"/>
      <c r="K13" s="88"/>
      <c r="L13" s="88"/>
      <c r="M13" s="88"/>
      <c r="N13" s="88"/>
      <c r="O13" s="88"/>
      <c r="P13" s="88"/>
      <c r="Q13" s="88"/>
      <c r="R13" s="88"/>
      <c r="S13" s="88"/>
      <c r="T13" s="88"/>
      <c r="U13" s="88"/>
      <c r="V13" s="88"/>
      <c r="W13" s="88"/>
      <c r="X13" s="88"/>
      <c r="Y13" s="88"/>
      <c r="Z13" s="88"/>
      <c r="AA13" s="88"/>
      <c r="AB13" s="88"/>
      <c r="AC13" s="88"/>
      <c r="AD13" s="88"/>
      <c r="AE13" s="88"/>
      <c r="AF13" s="88"/>
      <c r="AG13" s="88"/>
      <c r="AH13" s="88"/>
      <c r="AI13" s="88"/>
      <c r="AJ13" s="88"/>
      <c r="AK13" s="88"/>
      <c r="AL13" s="88"/>
      <c r="AM13" s="88"/>
      <c r="AN13" s="88"/>
      <c r="AO13" s="88"/>
      <c r="AP13" s="88"/>
      <c r="AQ13" s="88"/>
      <c r="AR13" s="88"/>
      <c r="AS13" s="88"/>
      <c r="AT13" s="88"/>
      <c r="AU13" s="88"/>
      <c r="AV13" s="88"/>
      <c r="AW13" s="88"/>
      <c r="AX13" s="88"/>
      <c r="AY13" s="88"/>
      <c r="AZ13" s="88"/>
      <c r="BA13" s="88"/>
      <c r="BB13" s="88"/>
      <c r="BC13" s="88"/>
      <c r="BD13" s="88"/>
      <c r="BE13" s="88"/>
      <c r="BF13" s="88"/>
      <c r="BG13" s="88"/>
      <c r="BH13" s="88"/>
      <c r="BI13" s="88"/>
      <c r="BJ13" s="88"/>
      <c r="BK13" s="88"/>
      <c r="BL13" s="88"/>
      <c r="BM13" s="88"/>
    </row>
    <row r="14" spans="2:71" ht="21">
      <c r="B14" s="40" t="str">
        <f>"Заём "&amp;IF(ISNUMBER(SEARCH("РФРП",Программа)),"ФРП и РФРП","ФРП")</f>
        <v>Заём ФРП</v>
      </c>
      <c r="C14" s="37"/>
      <c r="D14" s="37"/>
      <c r="E14" s="37"/>
      <c r="F14" s="37"/>
      <c r="G14" s="37"/>
      <c r="H14" s="37"/>
      <c r="I14" s="37"/>
      <c r="J14" s="37"/>
      <c r="K14" s="37"/>
      <c r="L14" s="37"/>
      <c r="M14" s="37"/>
      <c r="N14" s="37"/>
      <c r="O14" s="37"/>
      <c r="P14" s="37"/>
      <c r="Q14" s="37"/>
      <c r="R14" s="37"/>
      <c r="S14" s="37"/>
      <c r="T14" s="37"/>
      <c r="U14" s="37"/>
      <c r="V14" s="37"/>
      <c r="W14" s="37"/>
      <c r="X14" s="37"/>
      <c r="Y14" s="37"/>
      <c r="Z14" s="37"/>
      <c r="AA14" s="37"/>
      <c r="AB14" s="37"/>
      <c r="AC14" s="37"/>
      <c r="AD14" s="37"/>
      <c r="AE14" s="37"/>
      <c r="AF14" s="37"/>
      <c r="AG14" s="37"/>
      <c r="AH14" s="37"/>
      <c r="AI14" s="37"/>
      <c r="AJ14" s="37"/>
      <c r="AK14" s="37"/>
      <c r="AL14" s="37"/>
      <c r="AM14" s="37"/>
      <c r="AN14" s="37"/>
      <c r="AO14" s="37"/>
      <c r="AP14" s="37"/>
      <c r="AQ14" s="37"/>
      <c r="AR14" s="37"/>
      <c r="AS14" s="37"/>
      <c r="AT14" s="37"/>
      <c r="AU14" s="37"/>
      <c r="AV14" s="37"/>
      <c r="AW14" s="37"/>
      <c r="AX14" s="37"/>
      <c r="AY14" s="37"/>
      <c r="AZ14" s="37"/>
      <c r="BA14" s="37"/>
      <c r="BB14" s="37"/>
      <c r="BC14" s="37"/>
      <c r="BD14" s="37"/>
      <c r="BE14" s="37"/>
      <c r="BF14" s="37"/>
      <c r="BG14" s="37"/>
      <c r="BH14" s="37"/>
      <c r="BI14" s="37"/>
      <c r="BJ14" s="37"/>
      <c r="BK14" s="37"/>
      <c r="BL14" s="37"/>
      <c r="BM14" s="37"/>
    </row>
    <row r="15" spans="2:71" ht="15" customHeight="1">
      <c r="B15" s="118" t="str">
        <f>"ОСВ: Основной долг - Заём "&amp;IF(ISNUMBER(SEARCH("РФРП",Программа)),"ФРП и РФРП","ФРП")</f>
        <v>ОСВ: Основной долг - Заём ФРП</v>
      </c>
      <c r="C15" s="37"/>
      <c r="D15" s="37"/>
      <c r="E15" s="37"/>
      <c r="F15" s="37"/>
      <c r="G15" s="37"/>
      <c r="H15" s="37"/>
      <c r="I15" s="37"/>
      <c r="J15" s="37"/>
      <c r="K15" s="37"/>
      <c r="L15" s="37"/>
      <c r="M15" s="37"/>
      <c r="N15" s="37"/>
      <c r="O15" s="37"/>
      <c r="P15" s="37"/>
      <c r="Q15" s="37"/>
      <c r="R15" s="37"/>
      <c r="S15" s="37"/>
      <c r="T15" s="37"/>
      <c r="U15" s="37"/>
      <c r="V15" s="37"/>
      <c r="W15" s="37"/>
      <c r="X15" s="37"/>
      <c r="Y15" s="37"/>
      <c r="Z15" s="37"/>
      <c r="AA15" s="37"/>
      <c r="AB15" s="37"/>
      <c r="AC15" s="37"/>
      <c r="AD15" s="37"/>
      <c r="AE15" s="37"/>
      <c r="AF15" s="37"/>
      <c r="AG15" s="37"/>
      <c r="AH15" s="37"/>
      <c r="AI15" s="37"/>
      <c r="AJ15" s="37"/>
      <c r="AK15" s="37"/>
      <c r="AL15" s="37"/>
      <c r="AM15" s="37"/>
      <c r="AN15" s="37"/>
      <c r="AO15" s="37"/>
      <c r="AP15" s="37"/>
      <c r="AQ15" s="37"/>
      <c r="AR15" s="37"/>
      <c r="AS15" s="37"/>
      <c r="AT15" s="37"/>
      <c r="AU15" s="37"/>
      <c r="AV15" s="37"/>
      <c r="AW15" s="37"/>
      <c r="AX15" s="37"/>
      <c r="AY15" s="37"/>
      <c r="AZ15" s="37"/>
      <c r="BA15" s="37"/>
      <c r="BB15" s="37"/>
      <c r="BC15" s="37"/>
      <c r="BD15" s="37"/>
      <c r="BE15" s="37"/>
      <c r="BF15" s="37"/>
      <c r="BG15" s="37"/>
      <c r="BH15" s="37"/>
      <c r="BI15" s="37"/>
      <c r="BJ15" s="37"/>
      <c r="BK15" s="37"/>
      <c r="BL15" s="37"/>
      <c r="BM15" s="37"/>
    </row>
    <row r="16" spans="2:71" ht="15" customHeight="1">
      <c r="B16" s="112" t="s">
        <v>65</v>
      </c>
      <c r="C16" s="113" t="str">
        <f>Единица_измерения</f>
        <v>тыс. руб.</v>
      </c>
      <c r="D16" s="114"/>
      <c r="E16" s="114">
        <f t="shared" ref="E16" si="34">D19</f>
        <v>0</v>
      </c>
      <c r="F16" s="114">
        <f t="shared" ref="F16" si="35">E19</f>
        <v>100000</v>
      </c>
      <c r="G16" s="114">
        <f t="shared" ref="G16" si="36">F19</f>
        <v>100000</v>
      </c>
      <c r="H16" s="114">
        <f t="shared" ref="H16" si="37">G19</f>
        <v>100000</v>
      </c>
      <c r="I16" s="114">
        <f t="shared" ref="I16" si="38">H19</f>
        <v>100000</v>
      </c>
      <c r="J16" s="114">
        <f t="shared" ref="J16" si="39">I19</f>
        <v>100000</v>
      </c>
      <c r="K16" s="114">
        <f t="shared" ref="K16" si="40">J19</f>
        <v>100000</v>
      </c>
      <c r="L16" s="114">
        <f t="shared" ref="L16" si="41">K19</f>
        <v>100000</v>
      </c>
      <c r="M16" s="114">
        <f t="shared" ref="M16" si="42">L19</f>
        <v>100000</v>
      </c>
      <c r="N16" s="114">
        <f t="shared" ref="N16" si="43">M19</f>
        <v>100000</v>
      </c>
      <c r="O16" s="114">
        <f t="shared" ref="O16" si="44">N19</f>
        <v>100000</v>
      </c>
      <c r="P16" s="114">
        <f t="shared" ref="P16" si="45">O19</f>
        <v>100000</v>
      </c>
      <c r="Q16" s="114">
        <f t="shared" ref="Q16" si="46">P19</f>
        <v>100000</v>
      </c>
      <c r="R16" s="114">
        <f t="shared" ref="R16" si="47">Q19</f>
        <v>100000</v>
      </c>
      <c r="S16" s="114">
        <f t="shared" ref="S16" si="48">R19</f>
        <v>100000</v>
      </c>
      <c r="T16" s="114">
        <f t="shared" ref="T16" si="49">S19</f>
        <v>75000</v>
      </c>
      <c r="U16" s="114">
        <f t="shared" ref="U16" si="50">T19</f>
        <v>62500</v>
      </c>
      <c r="V16" s="114">
        <f t="shared" ref="V16" si="51">U19</f>
        <v>50000</v>
      </c>
      <c r="W16" s="114">
        <f t="shared" ref="W16" si="52">V19</f>
        <v>50000</v>
      </c>
      <c r="X16" s="114">
        <f t="shared" ref="X16" si="53">W19</f>
        <v>25000</v>
      </c>
      <c r="Y16" s="114">
        <f t="shared" ref="Y16" si="54">X19</f>
        <v>12500</v>
      </c>
      <c r="Z16" s="114">
        <f t="shared" ref="Z16" si="55">Y19</f>
        <v>0</v>
      </c>
      <c r="AA16" s="114">
        <f t="shared" ref="AA16" si="56">Z19</f>
        <v>0</v>
      </c>
      <c r="AB16" s="114">
        <f t="shared" ref="AB16" si="57">AA19</f>
        <v>0</v>
      </c>
      <c r="AC16" s="114">
        <f t="shared" ref="AC16" si="58">AB19</f>
        <v>0</v>
      </c>
      <c r="AD16" s="114">
        <f t="shared" ref="AD16" si="59">AC19</f>
        <v>0</v>
      </c>
      <c r="AE16" s="114">
        <f t="shared" ref="AE16" si="60">AD19</f>
        <v>0</v>
      </c>
      <c r="AF16" s="114">
        <f t="shared" ref="AF16" si="61">AE19</f>
        <v>0</v>
      </c>
      <c r="AG16" s="114">
        <f t="shared" ref="AG16" si="62">AF19</f>
        <v>0</v>
      </c>
      <c r="AH16" s="114">
        <f t="shared" ref="AH16" si="63">AG19</f>
        <v>0</v>
      </c>
      <c r="AI16" s="114">
        <f t="shared" ref="AI16" si="64">AH19</f>
        <v>0</v>
      </c>
      <c r="AJ16" s="114">
        <f t="shared" ref="AJ16" si="65">AI19</f>
        <v>0</v>
      </c>
      <c r="AK16" s="114">
        <f t="shared" ref="AK16" si="66">AJ19</f>
        <v>0</v>
      </c>
      <c r="AL16" s="114">
        <f t="shared" ref="AL16" si="67">AK19</f>
        <v>0</v>
      </c>
      <c r="AM16" s="114">
        <f t="shared" ref="AM16" si="68">AL19</f>
        <v>0</v>
      </c>
      <c r="AN16" s="114">
        <f t="shared" ref="AN16" si="69">AM19</f>
        <v>0</v>
      </c>
      <c r="AO16" s="114">
        <f t="shared" ref="AO16" si="70">AN19</f>
        <v>0</v>
      </c>
      <c r="AP16" s="114">
        <f t="shared" ref="AP16" si="71">AO19</f>
        <v>0</v>
      </c>
      <c r="AQ16" s="114">
        <f t="shared" ref="AQ16" si="72">AP19</f>
        <v>0</v>
      </c>
      <c r="AR16" s="114">
        <f t="shared" ref="AR16" si="73">AQ19</f>
        <v>0</v>
      </c>
      <c r="AS16" s="114">
        <f t="shared" ref="AS16" si="74">AR19</f>
        <v>0</v>
      </c>
      <c r="AT16" s="114">
        <f t="shared" ref="AT16" si="75">AS19</f>
        <v>0</v>
      </c>
      <c r="AU16" s="114">
        <f t="shared" ref="AU16" si="76">AT19</f>
        <v>0</v>
      </c>
      <c r="AV16" s="114">
        <f t="shared" ref="AV16" si="77">AU19</f>
        <v>0</v>
      </c>
      <c r="AW16" s="114">
        <f t="shared" ref="AW16" si="78">AV19</f>
        <v>0</v>
      </c>
      <c r="AX16" s="114">
        <f t="shared" ref="AX16" si="79">AW19</f>
        <v>0</v>
      </c>
      <c r="AY16" s="114">
        <f t="shared" ref="AY16" si="80">AX19</f>
        <v>0</v>
      </c>
      <c r="AZ16" s="114">
        <f t="shared" ref="AZ16" si="81">AY19</f>
        <v>0</v>
      </c>
      <c r="BA16" s="114">
        <f t="shared" ref="BA16" si="82">AZ19</f>
        <v>0</v>
      </c>
      <c r="BB16" s="114">
        <f t="shared" ref="BB16" si="83">BA19</f>
        <v>0</v>
      </c>
      <c r="BC16" s="114">
        <f t="shared" ref="BC16" si="84">BB19</f>
        <v>0</v>
      </c>
      <c r="BD16" s="114">
        <f t="shared" ref="BD16" si="85">BC19</f>
        <v>0</v>
      </c>
      <c r="BE16" s="114">
        <f t="shared" ref="BE16" si="86">BD19</f>
        <v>0</v>
      </c>
      <c r="BF16" s="114">
        <f t="shared" ref="BF16" si="87">BE19</f>
        <v>0</v>
      </c>
      <c r="BG16" s="114">
        <f t="shared" ref="BG16" si="88">BF19</f>
        <v>0</v>
      </c>
      <c r="BH16" s="114">
        <f t="shared" ref="BH16" si="89">BG19</f>
        <v>0</v>
      </c>
      <c r="BI16" s="114">
        <f t="shared" ref="BI16" si="90">BH19</f>
        <v>0</v>
      </c>
      <c r="BJ16" s="114">
        <f t="shared" ref="BJ16" si="91">BI19</f>
        <v>0</v>
      </c>
      <c r="BK16" s="114">
        <f t="shared" ref="BK16" si="92">BJ19</f>
        <v>0</v>
      </c>
      <c r="BL16" s="114">
        <f t="shared" ref="BL16" si="93">BK19</f>
        <v>0</v>
      </c>
      <c r="BM16" s="114">
        <f t="shared" ref="BM16" si="94">BL19</f>
        <v>0</v>
      </c>
    </row>
    <row r="17" spans="2:65" ht="15" customHeight="1">
      <c r="B17" s="112" t="s">
        <v>169</v>
      </c>
      <c r="C17" s="113" t="str">
        <f>Единица_измерения</f>
        <v>тыс. руб.</v>
      </c>
      <c r="D17" s="114"/>
      <c r="E17" s="114">
        <f>Предпосылки!D241</f>
        <v>100000</v>
      </c>
      <c r="F17" s="114">
        <f>Предпосылки!E241</f>
        <v>0</v>
      </c>
      <c r="G17" s="114">
        <f>Предпосылки!F241</f>
        <v>0</v>
      </c>
      <c r="H17" s="114">
        <f>Предпосылки!G241</f>
        <v>0</v>
      </c>
      <c r="I17" s="114">
        <f>Предпосылки!H241</f>
        <v>0</v>
      </c>
      <c r="J17" s="114">
        <f>Предпосылки!I241</f>
        <v>0</v>
      </c>
      <c r="K17" s="114">
        <f>Предпосылки!J241</f>
        <v>0</v>
      </c>
      <c r="L17" s="114">
        <f>Предпосылки!K241</f>
        <v>0</v>
      </c>
      <c r="M17" s="114">
        <f>Предпосылки!L241</f>
        <v>0</v>
      </c>
      <c r="N17" s="114">
        <f>Предпосылки!M241</f>
        <v>0</v>
      </c>
      <c r="O17" s="114">
        <f>Предпосылки!N241</f>
        <v>0</v>
      </c>
      <c r="P17" s="114">
        <f>Предпосылки!O241</f>
        <v>0</v>
      </c>
      <c r="Q17" s="114">
        <f>Предпосылки!P241</f>
        <v>0</v>
      </c>
      <c r="R17" s="114">
        <f>Предпосылки!Q241</f>
        <v>0</v>
      </c>
      <c r="S17" s="114">
        <f>Предпосылки!R241</f>
        <v>0</v>
      </c>
      <c r="T17" s="114">
        <f>Предпосылки!S241</f>
        <v>0</v>
      </c>
      <c r="U17" s="114">
        <f>Предпосылки!T241</f>
        <v>0</v>
      </c>
      <c r="V17" s="114">
        <f>Предпосылки!U241</f>
        <v>0</v>
      </c>
      <c r="W17" s="114">
        <f>Предпосылки!V241</f>
        <v>0</v>
      </c>
      <c r="X17" s="114">
        <f>Предпосылки!W241</f>
        <v>0</v>
      </c>
      <c r="Y17" s="114">
        <f>Предпосылки!X241</f>
        <v>0</v>
      </c>
      <c r="Z17" s="114">
        <f>Предпосылки!Y241</f>
        <v>0</v>
      </c>
      <c r="AA17" s="114">
        <f>Предпосылки!Z241</f>
        <v>0</v>
      </c>
      <c r="AB17" s="114">
        <f>Предпосылки!AA241</f>
        <v>0</v>
      </c>
      <c r="AC17" s="114">
        <f>Предпосылки!AB241</f>
        <v>0</v>
      </c>
      <c r="AD17" s="114">
        <f>Предпосылки!AC241</f>
        <v>0</v>
      </c>
      <c r="AE17" s="114">
        <f>Предпосылки!AD241</f>
        <v>0</v>
      </c>
      <c r="AF17" s="114">
        <f>Предпосылки!AE241</f>
        <v>0</v>
      </c>
      <c r="AG17" s="114">
        <f>Предпосылки!AF241</f>
        <v>0</v>
      </c>
      <c r="AH17" s="114">
        <f>Предпосылки!AG241</f>
        <v>0</v>
      </c>
      <c r="AI17" s="114">
        <f>Предпосылки!AH241</f>
        <v>0</v>
      </c>
      <c r="AJ17" s="114">
        <f>Предпосылки!AI241</f>
        <v>0</v>
      </c>
      <c r="AK17" s="114">
        <f>Предпосылки!AJ241</f>
        <v>0</v>
      </c>
      <c r="AL17" s="114">
        <f>Предпосылки!AK241</f>
        <v>0</v>
      </c>
      <c r="AM17" s="114">
        <f>Предпосылки!AL241</f>
        <v>0</v>
      </c>
      <c r="AN17" s="114">
        <f>Предпосылки!AM241</f>
        <v>0</v>
      </c>
      <c r="AO17" s="114">
        <f>Предпосылки!AN241</f>
        <v>0</v>
      </c>
      <c r="AP17" s="114">
        <f>Предпосылки!AO241</f>
        <v>0</v>
      </c>
      <c r="AQ17" s="114">
        <f>Предпосылки!AP241</f>
        <v>0</v>
      </c>
      <c r="AR17" s="114">
        <f>Предпосылки!AQ241</f>
        <v>0</v>
      </c>
      <c r="AS17" s="114">
        <f>Предпосылки!AR241</f>
        <v>0</v>
      </c>
      <c r="AT17" s="114">
        <f>Предпосылки!AS241</f>
        <v>0</v>
      </c>
      <c r="AU17" s="114">
        <f>Предпосылки!AT241</f>
        <v>0</v>
      </c>
      <c r="AV17" s="114">
        <f>Предпосылки!AU241</f>
        <v>0</v>
      </c>
      <c r="AW17" s="114">
        <f>Предпосылки!AV241</f>
        <v>0</v>
      </c>
      <c r="AX17" s="114">
        <f>Предпосылки!AW241</f>
        <v>0</v>
      </c>
      <c r="AY17" s="114">
        <f>Предпосылки!AX241</f>
        <v>0</v>
      </c>
      <c r="AZ17" s="114">
        <f>Предпосылки!AY241</f>
        <v>0</v>
      </c>
      <c r="BA17" s="114">
        <f>Предпосылки!AZ241</f>
        <v>0</v>
      </c>
      <c r="BB17" s="114">
        <f>Предпосылки!BA241</f>
        <v>0</v>
      </c>
      <c r="BC17" s="114">
        <f>Предпосылки!BB241</f>
        <v>0</v>
      </c>
      <c r="BD17" s="114">
        <f>Предпосылки!BC241</f>
        <v>0</v>
      </c>
      <c r="BE17" s="114">
        <f>Предпосылки!BD241</f>
        <v>0</v>
      </c>
      <c r="BF17" s="114">
        <f>Предпосылки!BE241</f>
        <v>0</v>
      </c>
      <c r="BG17" s="114">
        <f>Предпосылки!BF241</f>
        <v>0</v>
      </c>
      <c r="BH17" s="114">
        <f>Предпосылки!BG241</f>
        <v>0</v>
      </c>
      <c r="BI17" s="114">
        <f>Предпосылки!BH241</f>
        <v>0</v>
      </c>
      <c r="BJ17" s="114">
        <f>Предпосылки!BI241</f>
        <v>0</v>
      </c>
      <c r="BK17" s="114">
        <f>Предпосылки!BJ241</f>
        <v>0</v>
      </c>
      <c r="BL17" s="114">
        <f>Предпосылки!BK241</f>
        <v>0</v>
      </c>
      <c r="BM17" s="114">
        <f>Предпосылки!BL241</f>
        <v>0</v>
      </c>
    </row>
    <row r="18" spans="2:65" ht="15" customHeight="1">
      <c r="B18" s="112" t="s">
        <v>16</v>
      </c>
      <c r="C18" s="113" t="str">
        <f>Единица_измерения</f>
        <v>тыс. руб.</v>
      </c>
      <c r="D18" s="114"/>
      <c r="E18" s="114">
        <f>-Предпосылки!D242</f>
        <v>0</v>
      </c>
      <c r="F18" s="114">
        <f>-Предпосылки!E242</f>
        <v>0</v>
      </c>
      <c r="G18" s="114">
        <f>-Предпосылки!F242</f>
        <v>0</v>
      </c>
      <c r="H18" s="114">
        <f>-Предпосылки!G242</f>
        <v>0</v>
      </c>
      <c r="I18" s="114">
        <f>-Предпосылки!H242</f>
        <v>0</v>
      </c>
      <c r="J18" s="114">
        <f>-Предпосылки!I242</f>
        <v>0</v>
      </c>
      <c r="K18" s="114">
        <f>-Предпосылки!J242</f>
        <v>0</v>
      </c>
      <c r="L18" s="114">
        <f>-Предпосылки!K242</f>
        <v>0</v>
      </c>
      <c r="M18" s="114">
        <f>-Предпосылки!L242</f>
        <v>0</v>
      </c>
      <c r="N18" s="114">
        <f>-Предпосылки!M242</f>
        <v>0</v>
      </c>
      <c r="O18" s="114">
        <f>-Предпосылки!N242</f>
        <v>0</v>
      </c>
      <c r="P18" s="114">
        <f>-Предпосылки!O242</f>
        <v>0</v>
      </c>
      <c r="Q18" s="114">
        <f>-Предпосылки!P242</f>
        <v>0</v>
      </c>
      <c r="R18" s="114">
        <f>-Предпосылки!Q242</f>
        <v>0</v>
      </c>
      <c r="S18" s="114">
        <f>-Предпосылки!R242</f>
        <v>-25000</v>
      </c>
      <c r="T18" s="114">
        <f>-Предпосылки!S242</f>
        <v>-12500</v>
      </c>
      <c r="U18" s="114">
        <f>-Предпосылки!T242</f>
        <v>-12500</v>
      </c>
      <c r="V18" s="114">
        <f>-Предпосылки!U242</f>
        <v>0</v>
      </c>
      <c r="W18" s="114">
        <f>-Предпосылки!V242</f>
        <v>-25000</v>
      </c>
      <c r="X18" s="114">
        <f>-Предпосылки!W242</f>
        <v>-12500</v>
      </c>
      <c r="Y18" s="114">
        <f>-Предпосылки!X242</f>
        <v>-12500</v>
      </c>
      <c r="Z18" s="114">
        <f>-Предпосылки!Y242</f>
        <v>0</v>
      </c>
      <c r="AA18" s="114">
        <f>-Предпосылки!Z242</f>
        <v>0</v>
      </c>
      <c r="AB18" s="114">
        <f>-Предпосылки!AA242</f>
        <v>0</v>
      </c>
      <c r="AC18" s="114">
        <f>-Предпосылки!AB242</f>
        <v>0</v>
      </c>
      <c r="AD18" s="114">
        <f>-Предпосылки!AC242</f>
        <v>0</v>
      </c>
      <c r="AE18" s="114">
        <f>-Предпосылки!AD242</f>
        <v>0</v>
      </c>
      <c r="AF18" s="114">
        <f>-Предпосылки!AE242</f>
        <v>0</v>
      </c>
      <c r="AG18" s="114">
        <f>-Предпосылки!AF242</f>
        <v>0</v>
      </c>
      <c r="AH18" s="114">
        <f>-Предпосылки!AG242</f>
        <v>0</v>
      </c>
      <c r="AI18" s="114">
        <f>-Предпосылки!AH242</f>
        <v>0</v>
      </c>
      <c r="AJ18" s="114">
        <f>-Предпосылки!AI242</f>
        <v>0</v>
      </c>
      <c r="AK18" s="114">
        <f>-Предпосылки!AJ242</f>
        <v>0</v>
      </c>
      <c r="AL18" s="114">
        <f>-Предпосылки!AK242</f>
        <v>0</v>
      </c>
      <c r="AM18" s="114">
        <f>-Предпосылки!AL242</f>
        <v>0</v>
      </c>
      <c r="AN18" s="114">
        <f>-Предпосылки!AM242</f>
        <v>0</v>
      </c>
      <c r="AO18" s="114">
        <f>-Предпосылки!AN242</f>
        <v>0</v>
      </c>
      <c r="AP18" s="114">
        <f>-Предпосылки!AO242</f>
        <v>0</v>
      </c>
      <c r="AQ18" s="114">
        <f>-Предпосылки!AP242</f>
        <v>0</v>
      </c>
      <c r="AR18" s="114">
        <f>-Предпосылки!AQ242</f>
        <v>0</v>
      </c>
      <c r="AS18" s="114">
        <f>-Предпосылки!AR242</f>
        <v>0</v>
      </c>
      <c r="AT18" s="114">
        <f>-Предпосылки!AS242</f>
        <v>0</v>
      </c>
      <c r="AU18" s="114">
        <f>-Предпосылки!AT242</f>
        <v>0</v>
      </c>
      <c r="AV18" s="114">
        <f>-Предпосылки!AU242</f>
        <v>0</v>
      </c>
      <c r="AW18" s="114">
        <f>-Предпосылки!AV242</f>
        <v>0</v>
      </c>
      <c r="AX18" s="114">
        <f>-Предпосылки!AW242</f>
        <v>0</v>
      </c>
      <c r="AY18" s="114">
        <f>-Предпосылки!AX242</f>
        <v>0</v>
      </c>
      <c r="AZ18" s="114">
        <f>-Предпосылки!AY242</f>
        <v>0</v>
      </c>
      <c r="BA18" s="114">
        <f>-Предпосылки!AZ242</f>
        <v>0</v>
      </c>
      <c r="BB18" s="114">
        <f>-Предпосылки!BA242</f>
        <v>0</v>
      </c>
      <c r="BC18" s="114">
        <f>-Предпосылки!BB242</f>
        <v>0</v>
      </c>
      <c r="BD18" s="114">
        <f>-Предпосылки!BC242</f>
        <v>0</v>
      </c>
      <c r="BE18" s="114">
        <f>-Предпосылки!BD242</f>
        <v>0</v>
      </c>
      <c r="BF18" s="114">
        <f>-Предпосылки!BE242</f>
        <v>0</v>
      </c>
      <c r="BG18" s="114">
        <f>-Предпосылки!BF242</f>
        <v>0</v>
      </c>
      <c r="BH18" s="114">
        <f>-Предпосылки!BG242</f>
        <v>0</v>
      </c>
      <c r="BI18" s="114">
        <f>-Предпосылки!BH242</f>
        <v>0</v>
      </c>
      <c r="BJ18" s="114">
        <f>-Предпосылки!BI242</f>
        <v>0</v>
      </c>
      <c r="BK18" s="114">
        <f>-Предпосылки!BJ242</f>
        <v>0</v>
      </c>
      <c r="BL18" s="114">
        <f>-Предпосылки!BK242</f>
        <v>0</v>
      </c>
      <c r="BM18" s="114">
        <f>-Предпосылки!BL242</f>
        <v>0</v>
      </c>
    </row>
    <row r="19" spans="2:65" ht="15" customHeight="1">
      <c r="B19" s="259" t="s">
        <v>66</v>
      </c>
      <c r="C19" s="260" t="str">
        <f>Единица_измерения</f>
        <v>тыс. руб.</v>
      </c>
      <c r="D19" s="248"/>
      <c r="E19" s="248">
        <f t="shared" ref="E19" si="95">SUM(E16:E18)</f>
        <v>100000</v>
      </c>
      <c r="F19" s="248">
        <f t="shared" ref="F19:AG19" si="96">SUM(F16:F18)</f>
        <v>100000</v>
      </c>
      <c r="G19" s="248">
        <f t="shared" si="96"/>
        <v>100000</v>
      </c>
      <c r="H19" s="248">
        <f t="shared" si="96"/>
        <v>100000</v>
      </c>
      <c r="I19" s="248">
        <f t="shared" si="96"/>
        <v>100000</v>
      </c>
      <c r="J19" s="248">
        <f t="shared" si="96"/>
        <v>100000</v>
      </c>
      <c r="K19" s="248">
        <f t="shared" si="96"/>
        <v>100000</v>
      </c>
      <c r="L19" s="248">
        <f t="shared" si="96"/>
        <v>100000</v>
      </c>
      <c r="M19" s="248">
        <f t="shared" si="96"/>
        <v>100000</v>
      </c>
      <c r="N19" s="248">
        <f t="shared" si="96"/>
        <v>100000</v>
      </c>
      <c r="O19" s="248">
        <f t="shared" si="96"/>
        <v>100000</v>
      </c>
      <c r="P19" s="248">
        <f t="shared" si="96"/>
        <v>100000</v>
      </c>
      <c r="Q19" s="248">
        <f t="shared" si="96"/>
        <v>100000</v>
      </c>
      <c r="R19" s="248">
        <f t="shared" si="96"/>
        <v>100000</v>
      </c>
      <c r="S19" s="248">
        <f t="shared" si="96"/>
        <v>75000</v>
      </c>
      <c r="T19" s="248">
        <f t="shared" si="96"/>
        <v>62500</v>
      </c>
      <c r="U19" s="248">
        <f t="shared" si="96"/>
        <v>50000</v>
      </c>
      <c r="V19" s="248">
        <f t="shared" si="96"/>
        <v>50000</v>
      </c>
      <c r="W19" s="248">
        <f t="shared" si="96"/>
        <v>25000</v>
      </c>
      <c r="X19" s="248">
        <f t="shared" si="96"/>
        <v>12500</v>
      </c>
      <c r="Y19" s="248">
        <f t="shared" si="96"/>
        <v>0</v>
      </c>
      <c r="Z19" s="248">
        <f t="shared" si="96"/>
        <v>0</v>
      </c>
      <c r="AA19" s="248">
        <f t="shared" si="96"/>
        <v>0</v>
      </c>
      <c r="AB19" s="248">
        <f t="shared" si="96"/>
        <v>0</v>
      </c>
      <c r="AC19" s="248">
        <f t="shared" si="96"/>
        <v>0</v>
      </c>
      <c r="AD19" s="248">
        <f t="shared" si="96"/>
        <v>0</v>
      </c>
      <c r="AE19" s="248">
        <f t="shared" si="96"/>
        <v>0</v>
      </c>
      <c r="AF19" s="248">
        <f t="shared" si="96"/>
        <v>0</v>
      </c>
      <c r="AG19" s="248">
        <f t="shared" si="96"/>
        <v>0</v>
      </c>
      <c r="AH19" s="248">
        <f t="shared" ref="AH19:BM19" si="97">SUM(AH16:AH18)</f>
        <v>0</v>
      </c>
      <c r="AI19" s="248">
        <f t="shared" si="97"/>
        <v>0</v>
      </c>
      <c r="AJ19" s="248">
        <f t="shared" si="97"/>
        <v>0</v>
      </c>
      <c r="AK19" s="248">
        <f t="shared" si="97"/>
        <v>0</v>
      </c>
      <c r="AL19" s="248">
        <f t="shared" si="97"/>
        <v>0</v>
      </c>
      <c r="AM19" s="248">
        <f t="shared" si="97"/>
        <v>0</v>
      </c>
      <c r="AN19" s="248">
        <f t="shared" si="97"/>
        <v>0</v>
      </c>
      <c r="AO19" s="248">
        <f t="shared" si="97"/>
        <v>0</v>
      </c>
      <c r="AP19" s="248">
        <f t="shared" si="97"/>
        <v>0</v>
      </c>
      <c r="AQ19" s="248">
        <f t="shared" si="97"/>
        <v>0</v>
      </c>
      <c r="AR19" s="248">
        <f t="shared" si="97"/>
        <v>0</v>
      </c>
      <c r="AS19" s="248">
        <f t="shared" si="97"/>
        <v>0</v>
      </c>
      <c r="AT19" s="248">
        <f t="shared" si="97"/>
        <v>0</v>
      </c>
      <c r="AU19" s="248">
        <f t="shared" si="97"/>
        <v>0</v>
      </c>
      <c r="AV19" s="248">
        <f t="shared" si="97"/>
        <v>0</v>
      </c>
      <c r="AW19" s="248">
        <f t="shared" si="97"/>
        <v>0</v>
      </c>
      <c r="AX19" s="248">
        <f t="shared" si="97"/>
        <v>0</v>
      </c>
      <c r="AY19" s="248">
        <f t="shared" si="97"/>
        <v>0</v>
      </c>
      <c r="AZ19" s="248">
        <f t="shared" si="97"/>
        <v>0</v>
      </c>
      <c r="BA19" s="248">
        <f t="shared" si="97"/>
        <v>0</v>
      </c>
      <c r="BB19" s="248">
        <f t="shared" si="97"/>
        <v>0</v>
      </c>
      <c r="BC19" s="248">
        <f t="shared" si="97"/>
        <v>0</v>
      </c>
      <c r="BD19" s="248">
        <f t="shared" si="97"/>
        <v>0</v>
      </c>
      <c r="BE19" s="248">
        <f t="shared" si="97"/>
        <v>0</v>
      </c>
      <c r="BF19" s="248">
        <f t="shared" si="97"/>
        <v>0</v>
      </c>
      <c r="BG19" s="248">
        <f t="shared" si="97"/>
        <v>0</v>
      </c>
      <c r="BH19" s="248">
        <f t="shared" si="97"/>
        <v>0</v>
      </c>
      <c r="BI19" s="248">
        <f t="shared" si="97"/>
        <v>0</v>
      </c>
      <c r="BJ19" s="248">
        <f t="shared" si="97"/>
        <v>0</v>
      </c>
      <c r="BK19" s="248">
        <f t="shared" si="97"/>
        <v>0</v>
      </c>
      <c r="BL19" s="248">
        <f t="shared" si="97"/>
        <v>0</v>
      </c>
      <c r="BM19" s="248">
        <f t="shared" si="97"/>
        <v>0</v>
      </c>
    </row>
    <row r="20" spans="2:65" ht="15" customHeight="1">
      <c r="B20" s="37"/>
      <c r="C20" s="37"/>
      <c r="D20" s="37"/>
      <c r="E20" s="37"/>
      <c r="F20" s="37"/>
      <c r="G20" s="37"/>
      <c r="H20" s="37"/>
      <c r="I20" s="37"/>
      <c r="J20" s="37"/>
      <c r="K20" s="37"/>
      <c r="L20" s="37"/>
      <c r="M20" s="37"/>
      <c r="N20" s="37"/>
      <c r="O20" s="37"/>
      <c r="P20" s="37"/>
      <c r="Q20" s="37"/>
      <c r="R20" s="37"/>
      <c r="S20" s="37"/>
      <c r="T20" s="37"/>
      <c r="U20" s="37"/>
      <c r="V20" s="37"/>
      <c r="W20" s="37"/>
      <c r="X20" s="37"/>
      <c r="Y20" s="37"/>
      <c r="Z20" s="37"/>
      <c r="AA20" s="37"/>
      <c r="AB20" s="37"/>
      <c r="AC20" s="37"/>
      <c r="AD20" s="37"/>
      <c r="AE20" s="37"/>
      <c r="AF20" s="37"/>
      <c r="AG20" s="37"/>
      <c r="AH20" s="37"/>
      <c r="AI20" s="37"/>
      <c r="AJ20" s="37"/>
      <c r="AK20" s="37"/>
      <c r="AL20" s="37"/>
      <c r="AM20" s="37"/>
      <c r="AN20" s="37"/>
      <c r="AO20" s="37"/>
      <c r="AP20" s="37"/>
      <c r="AQ20" s="37"/>
      <c r="AR20" s="37"/>
      <c r="AS20" s="37"/>
      <c r="AT20" s="37"/>
      <c r="AU20" s="37"/>
      <c r="AV20" s="37"/>
      <c r="AW20" s="37"/>
      <c r="AX20" s="37"/>
      <c r="AY20" s="37"/>
      <c r="AZ20" s="37"/>
      <c r="BA20" s="37"/>
      <c r="BB20" s="37"/>
      <c r="BC20" s="37"/>
      <c r="BD20" s="37"/>
      <c r="BE20" s="37"/>
      <c r="BF20" s="37"/>
      <c r="BG20" s="37"/>
      <c r="BH20" s="37"/>
      <c r="BI20" s="37"/>
      <c r="BJ20" s="37"/>
      <c r="BK20" s="37"/>
      <c r="BL20" s="37"/>
      <c r="BM20" s="37"/>
    </row>
    <row r="21" spans="2:65" ht="15" customHeight="1">
      <c r="B21" s="118" t="str">
        <f>"ОСВ: Проценты - Заём "&amp;IF(ISNUMBER(SEARCH("РФРП",Программа)),"ФРП и РФРП","ФРП")</f>
        <v>ОСВ: Проценты - Заём ФРП</v>
      </c>
      <c r="C21" s="37"/>
      <c r="D21" s="37"/>
      <c r="E21" s="37"/>
      <c r="F21" s="37"/>
      <c r="G21" s="37"/>
      <c r="H21" s="37"/>
      <c r="I21" s="37"/>
      <c r="J21" s="37"/>
      <c r="K21" s="37"/>
      <c r="L21" s="37"/>
      <c r="M21" s="37"/>
      <c r="N21" s="37"/>
      <c r="O21" s="37"/>
      <c r="P21" s="37"/>
      <c r="Q21" s="37"/>
      <c r="R21" s="37"/>
      <c r="S21" s="37"/>
      <c r="T21" s="37"/>
      <c r="U21" s="37"/>
      <c r="V21" s="37"/>
      <c r="W21" s="37"/>
      <c r="X21" s="37"/>
      <c r="Y21" s="37"/>
      <c r="Z21" s="37"/>
      <c r="AA21" s="37"/>
      <c r="AB21" s="37"/>
      <c r="AC21" s="37"/>
      <c r="AD21" s="37"/>
      <c r="AE21" s="37"/>
      <c r="AF21" s="37"/>
      <c r="AG21" s="37"/>
      <c r="AH21" s="37"/>
      <c r="AI21" s="37"/>
      <c r="AJ21" s="37"/>
      <c r="AK21" s="37"/>
      <c r="AL21" s="37"/>
      <c r="AM21" s="37"/>
      <c r="AN21" s="37"/>
      <c r="AO21" s="37"/>
      <c r="AP21" s="37"/>
      <c r="AQ21" s="37"/>
      <c r="AR21" s="37"/>
      <c r="AS21" s="37"/>
      <c r="AT21" s="37"/>
      <c r="AU21" s="37"/>
      <c r="AV21" s="37"/>
      <c r="AW21" s="37"/>
      <c r="AX21" s="37"/>
      <c r="AY21" s="37"/>
      <c r="AZ21" s="37"/>
      <c r="BA21" s="37"/>
      <c r="BB21" s="37"/>
      <c r="BC21" s="37"/>
      <c r="BD21" s="37"/>
      <c r="BE21" s="37"/>
      <c r="BF21" s="37"/>
      <c r="BG21" s="37"/>
      <c r="BH21" s="37"/>
      <c r="BI21" s="37"/>
      <c r="BJ21" s="37"/>
      <c r="BK21" s="37"/>
      <c r="BL21" s="37"/>
      <c r="BM21" s="37"/>
    </row>
    <row r="22" spans="2:65" ht="15" customHeight="1">
      <c r="B22" s="112" t="s">
        <v>65</v>
      </c>
      <c r="C22" s="113" t="str">
        <f>Единица_измерения</f>
        <v>тыс. руб.</v>
      </c>
      <c r="D22" s="114"/>
      <c r="E22" s="114">
        <f t="shared" ref="E22" si="98">D25</f>
        <v>0</v>
      </c>
      <c r="F22" s="114">
        <f t="shared" ref="F22" si="99">E25</f>
        <v>0</v>
      </c>
      <c r="G22" s="114">
        <f t="shared" ref="G22" si="100">F25</f>
        <v>0</v>
      </c>
      <c r="H22" s="114">
        <f t="shared" ref="H22" si="101">G25</f>
        <v>0</v>
      </c>
      <c r="I22" s="114">
        <f t="shared" ref="I22" si="102">H25</f>
        <v>0</v>
      </c>
      <c r="J22" s="114">
        <f t="shared" ref="J22" si="103">I25</f>
        <v>0</v>
      </c>
      <c r="K22" s="114">
        <f t="shared" ref="K22" si="104">J25</f>
        <v>0</v>
      </c>
      <c r="L22" s="114">
        <f t="shared" ref="L22" si="105">K25</f>
        <v>0</v>
      </c>
      <c r="M22" s="114">
        <f t="shared" ref="M22" si="106">L25</f>
        <v>0</v>
      </c>
      <c r="N22" s="114">
        <f t="shared" ref="N22" si="107">M25</f>
        <v>0</v>
      </c>
      <c r="O22" s="114">
        <f t="shared" ref="O22" si="108">N25</f>
        <v>0</v>
      </c>
      <c r="P22" s="114">
        <f t="shared" ref="P22" si="109">O25</f>
        <v>0</v>
      </c>
      <c r="Q22" s="114">
        <f t="shared" ref="Q22" si="110">P25</f>
        <v>0</v>
      </c>
      <c r="R22" s="114">
        <f t="shared" ref="R22" si="111">Q25</f>
        <v>0</v>
      </c>
      <c r="S22" s="114">
        <f t="shared" ref="S22" si="112">R25</f>
        <v>0</v>
      </c>
      <c r="T22" s="114">
        <f t="shared" ref="T22" si="113">S25</f>
        <v>0</v>
      </c>
      <c r="U22" s="114">
        <f t="shared" ref="U22" si="114">T25</f>
        <v>0</v>
      </c>
      <c r="V22" s="114">
        <f t="shared" ref="V22" si="115">U25</f>
        <v>0</v>
      </c>
      <c r="W22" s="114">
        <f t="shared" ref="W22" si="116">V25</f>
        <v>0</v>
      </c>
      <c r="X22" s="114">
        <f t="shared" ref="X22" si="117">W25</f>
        <v>0</v>
      </c>
      <c r="Y22" s="114">
        <f t="shared" ref="Y22" si="118">X25</f>
        <v>0</v>
      </c>
      <c r="Z22" s="114">
        <f t="shared" ref="Z22" si="119">Y25</f>
        <v>0</v>
      </c>
      <c r="AA22" s="114">
        <f t="shared" ref="AA22" si="120">Z25</f>
        <v>0</v>
      </c>
      <c r="AB22" s="114">
        <f t="shared" ref="AB22" si="121">AA25</f>
        <v>0</v>
      </c>
      <c r="AC22" s="114">
        <f t="shared" ref="AC22" si="122">AB25</f>
        <v>0</v>
      </c>
      <c r="AD22" s="114">
        <f t="shared" ref="AD22" si="123">AC25</f>
        <v>0</v>
      </c>
      <c r="AE22" s="114">
        <f t="shared" ref="AE22" si="124">AD25</f>
        <v>0</v>
      </c>
      <c r="AF22" s="114">
        <f t="shared" ref="AF22" si="125">AE25</f>
        <v>0</v>
      </c>
      <c r="AG22" s="114">
        <f t="shared" ref="AG22" si="126">AF25</f>
        <v>0</v>
      </c>
      <c r="AH22" s="114">
        <f t="shared" ref="AH22" si="127">AG25</f>
        <v>0</v>
      </c>
      <c r="AI22" s="114">
        <f t="shared" ref="AI22" si="128">AH25</f>
        <v>0</v>
      </c>
      <c r="AJ22" s="114">
        <f t="shared" ref="AJ22" si="129">AI25</f>
        <v>0</v>
      </c>
      <c r="AK22" s="114">
        <f t="shared" ref="AK22" si="130">AJ25</f>
        <v>0</v>
      </c>
      <c r="AL22" s="114">
        <f t="shared" ref="AL22" si="131">AK25</f>
        <v>0</v>
      </c>
      <c r="AM22" s="114">
        <f t="shared" ref="AM22" si="132">AL25</f>
        <v>0</v>
      </c>
      <c r="AN22" s="114">
        <f t="shared" ref="AN22" si="133">AM25</f>
        <v>0</v>
      </c>
      <c r="AO22" s="114">
        <f t="shared" ref="AO22" si="134">AN25</f>
        <v>0</v>
      </c>
      <c r="AP22" s="114">
        <f t="shared" ref="AP22" si="135">AO25</f>
        <v>0</v>
      </c>
      <c r="AQ22" s="114">
        <f t="shared" ref="AQ22" si="136">AP25</f>
        <v>0</v>
      </c>
      <c r="AR22" s="114">
        <f t="shared" ref="AR22" si="137">AQ25</f>
        <v>0</v>
      </c>
      <c r="AS22" s="114">
        <f t="shared" ref="AS22" si="138">AR25</f>
        <v>0</v>
      </c>
      <c r="AT22" s="114">
        <f t="shared" ref="AT22" si="139">AS25</f>
        <v>0</v>
      </c>
      <c r="AU22" s="114">
        <f t="shared" ref="AU22" si="140">AT25</f>
        <v>0</v>
      </c>
      <c r="AV22" s="114">
        <f t="shared" ref="AV22" si="141">AU25</f>
        <v>0</v>
      </c>
      <c r="AW22" s="114">
        <f t="shared" ref="AW22" si="142">AV25</f>
        <v>0</v>
      </c>
      <c r="AX22" s="114">
        <f t="shared" ref="AX22" si="143">AW25</f>
        <v>0</v>
      </c>
      <c r="AY22" s="114">
        <f t="shared" ref="AY22" si="144">AX25</f>
        <v>0</v>
      </c>
      <c r="AZ22" s="114">
        <f t="shared" ref="AZ22" si="145">AY25</f>
        <v>0</v>
      </c>
      <c r="BA22" s="114">
        <f t="shared" ref="BA22" si="146">AZ25</f>
        <v>0</v>
      </c>
      <c r="BB22" s="114">
        <f t="shared" ref="BB22" si="147">BA25</f>
        <v>0</v>
      </c>
      <c r="BC22" s="114">
        <f t="shared" ref="BC22" si="148">BB25</f>
        <v>0</v>
      </c>
      <c r="BD22" s="114">
        <f t="shared" ref="BD22" si="149">BC25</f>
        <v>0</v>
      </c>
      <c r="BE22" s="114">
        <f t="shared" ref="BE22" si="150">BD25</f>
        <v>0</v>
      </c>
      <c r="BF22" s="114">
        <f t="shared" ref="BF22" si="151">BE25</f>
        <v>0</v>
      </c>
      <c r="BG22" s="114">
        <f t="shared" ref="BG22" si="152">BF25</f>
        <v>0</v>
      </c>
      <c r="BH22" s="114">
        <f t="shared" ref="BH22" si="153">BG25</f>
        <v>0</v>
      </c>
      <c r="BI22" s="114">
        <f t="shared" ref="BI22" si="154">BH25</f>
        <v>0</v>
      </c>
      <c r="BJ22" s="114">
        <f t="shared" ref="BJ22" si="155">BI25</f>
        <v>0</v>
      </c>
      <c r="BK22" s="114">
        <f t="shared" ref="BK22" si="156">BJ25</f>
        <v>0</v>
      </c>
      <c r="BL22" s="114">
        <f t="shared" ref="BL22" si="157">BK25</f>
        <v>0</v>
      </c>
      <c r="BM22" s="114">
        <f t="shared" ref="BM22" si="158">BL25</f>
        <v>0</v>
      </c>
    </row>
    <row r="23" spans="2:65" ht="15" customHeight="1">
      <c r="B23" s="112" t="s">
        <v>117</v>
      </c>
      <c r="C23" s="113" t="str">
        <f>Единица_измерения</f>
        <v>тыс. руб.</v>
      </c>
      <c r="D23" s="114"/>
      <c r="E23" s="114">
        <f t="shared" ref="E23:BM23" si="159">-E24</f>
        <v>479.45205479452073</v>
      </c>
      <c r="F23" s="114">
        <f t="shared" si="159"/>
        <v>1246.575342465753</v>
      </c>
      <c r="G23" s="114">
        <f t="shared" si="159"/>
        <v>1232.8767123287666</v>
      </c>
      <c r="H23" s="114">
        <f t="shared" si="159"/>
        <v>1260.2739726027394</v>
      </c>
      <c r="I23" s="114">
        <f t="shared" si="159"/>
        <v>1260.2739726027394</v>
      </c>
      <c r="J23" s="114">
        <f t="shared" si="159"/>
        <v>1246.575342465753</v>
      </c>
      <c r="K23" s="114">
        <f t="shared" si="159"/>
        <v>1243.5811063702372</v>
      </c>
      <c r="L23" s="114">
        <f t="shared" si="159"/>
        <v>1256.8306010928961</v>
      </c>
      <c r="M23" s="114">
        <f t="shared" si="159"/>
        <v>1256.8306010928961</v>
      </c>
      <c r="N23" s="114">
        <f t="shared" si="159"/>
        <v>1243.1693989071039</v>
      </c>
      <c r="O23" s="114">
        <f t="shared" si="159"/>
        <v>1232.4650048656331</v>
      </c>
      <c r="P23" s="114">
        <f t="shared" si="159"/>
        <v>1260.2739726027394</v>
      </c>
      <c r="Q23" s="114">
        <f t="shared" si="159"/>
        <v>1260.2739726027394</v>
      </c>
      <c r="R23" s="114">
        <f t="shared" si="159"/>
        <v>1246.575342465753</v>
      </c>
      <c r="S23" s="114">
        <f t="shared" si="159"/>
        <v>1123.287671232875</v>
      </c>
      <c r="T23" s="114">
        <f t="shared" si="159"/>
        <v>964.04109589041036</v>
      </c>
      <c r="U23" s="114">
        <f t="shared" si="159"/>
        <v>804.79452054794615</v>
      </c>
      <c r="V23" s="114">
        <f t="shared" si="159"/>
        <v>640.41095890410941</v>
      </c>
      <c r="W23" s="114">
        <f t="shared" si="159"/>
        <v>506.84931506849296</v>
      </c>
      <c r="X23" s="114">
        <f t="shared" si="159"/>
        <v>333.90410958904101</v>
      </c>
      <c r="Y23" s="114">
        <f t="shared" si="159"/>
        <v>114.72602739726011</v>
      </c>
      <c r="Z23" s="114">
        <f t="shared" si="159"/>
        <v>0</v>
      </c>
      <c r="AA23" s="114">
        <f t="shared" si="159"/>
        <v>0</v>
      </c>
      <c r="AB23" s="114">
        <f t="shared" si="159"/>
        <v>0</v>
      </c>
      <c r="AC23" s="114">
        <f t="shared" si="159"/>
        <v>0</v>
      </c>
      <c r="AD23" s="114">
        <f t="shared" si="159"/>
        <v>0</v>
      </c>
      <c r="AE23" s="114">
        <f t="shared" si="159"/>
        <v>0</v>
      </c>
      <c r="AF23" s="114">
        <f t="shared" si="159"/>
        <v>0</v>
      </c>
      <c r="AG23" s="114">
        <f t="shared" si="159"/>
        <v>0</v>
      </c>
      <c r="AH23" s="114">
        <f t="shared" si="159"/>
        <v>0</v>
      </c>
      <c r="AI23" s="114">
        <f t="shared" si="159"/>
        <v>0</v>
      </c>
      <c r="AJ23" s="114">
        <f t="shared" si="159"/>
        <v>0</v>
      </c>
      <c r="AK23" s="114">
        <f t="shared" si="159"/>
        <v>0</v>
      </c>
      <c r="AL23" s="114">
        <f t="shared" si="159"/>
        <v>0</v>
      </c>
      <c r="AM23" s="114">
        <f t="shared" si="159"/>
        <v>0</v>
      </c>
      <c r="AN23" s="114">
        <f t="shared" si="159"/>
        <v>0</v>
      </c>
      <c r="AO23" s="114">
        <f t="shared" si="159"/>
        <v>0</v>
      </c>
      <c r="AP23" s="114">
        <f t="shared" si="159"/>
        <v>0</v>
      </c>
      <c r="AQ23" s="114">
        <f t="shared" si="159"/>
        <v>0</v>
      </c>
      <c r="AR23" s="114">
        <f t="shared" si="159"/>
        <v>0</v>
      </c>
      <c r="AS23" s="114">
        <f t="shared" si="159"/>
        <v>0</v>
      </c>
      <c r="AT23" s="114">
        <f t="shared" si="159"/>
        <v>0</v>
      </c>
      <c r="AU23" s="114">
        <f t="shared" si="159"/>
        <v>0</v>
      </c>
      <c r="AV23" s="114">
        <f t="shared" si="159"/>
        <v>0</v>
      </c>
      <c r="AW23" s="114">
        <f t="shared" si="159"/>
        <v>0</v>
      </c>
      <c r="AX23" s="114">
        <f t="shared" si="159"/>
        <v>0</v>
      </c>
      <c r="AY23" s="114">
        <f t="shared" si="159"/>
        <v>0</v>
      </c>
      <c r="AZ23" s="114">
        <f t="shared" si="159"/>
        <v>0</v>
      </c>
      <c r="BA23" s="114">
        <f t="shared" si="159"/>
        <v>0</v>
      </c>
      <c r="BB23" s="114">
        <f t="shared" si="159"/>
        <v>0</v>
      </c>
      <c r="BC23" s="114">
        <f t="shared" si="159"/>
        <v>0</v>
      </c>
      <c r="BD23" s="114">
        <f t="shared" si="159"/>
        <v>0</v>
      </c>
      <c r="BE23" s="114">
        <f t="shared" si="159"/>
        <v>0</v>
      </c>
      <c r="BF23" s="114">
        <f t="shared" si="159"/>
        <v>0</v>
      </c>
      <c r="BG23" s="114">
        <f t="shared" si="159"/>
        <v>0</v>
      </c>
      <c r="BH23" s="114">
        <f t="shared" si="159"/>
        <v>0</v>
      </c>
      <c r="BI23" s="114">
        <f t="shared" si="159"/>
        <v>0</v>
      </c>
      <c r="BJ23" s="114">
        <f t="shared" si="159"/>
        <v>0</v>
      </c>
      <c r="BK23" s="114">
        <f t="shared" si="159"/>
        <v>0</v>
      </c>
      <c r="BL23" s="114">
        <f t="shared" si="159"/>
        <v>0</v>
      </c>
      <c r="BM23" s="114">
        <f t="shared" si="159"/>
        <v>0</v>
      </c>
    </row>
    <row r="24" spans="2:65" ht="15" customHeight="1">
      <c r="B24" s="112" t="s">
        <v>138</v>
      </c>
      <c r="C24" s="113" t="str">
        <f>Единица_измерения</f>
        <v>тыс. руб.</v>
      </c>
      <c r="D24" s="114"/>
      <c r="E24" s="114">
        <f>-SUMIFS('Параметры займа'!$J$19:$J$80,'Параметры займа'!$H$19:$H$80,YEAR(E8),'Параметры займа'!$I$19:$I$80,ROUNDUP(MONTH(E8)/Месяцев_в_квартале,0))</f>
        <v>-479.45205479452073</v>
      </c>
      <c r="F24" s="114">
        <f>-SUMIFS('Параметры займа'!$J$19:$J$80,'Параметры займа'!$H$19:$H$80,YEAR(F8),'Параметры займа'!$I$19:$I$80,ROUNDUP(MONTH(F8)/Месяцев_в_квартале,0))</f>
        <v>-1246.575342465753</v>
      </c>
      <c r="G24" s="114">
        <f>-SUMIFS('Параметры займа'!$J$19:$J$80,'Параметры займа'!$H$19:$H$80,YEAR(G8),'Параметры займа'!$I$19:$I$80,ROUNDUP(MONTH(G8)/Месяцев_в_квартале,0))</f>
        <v>-1232.8767123287666</v>
      </c>
      <c r="H24" s="114">
        <f>-SUMIFS('Параметры займа'!$J$19:$J$80,'Параметры займа'!$H$19:$H$80,YEAR(H8),'Параметры займа'!$I$19:$I$80,ROUNDUP(MONTH(H8)/Месяцев_в_квартале,0))</f>
        <v>-1260.2739726027394</v>
      </c>
      <c r="I24" s="114">
        <f>-SUMIFS('Параметры займа'!$J$19:$J$80,'Параметры займа'!$H$19:$H$80,YEAR(I8),'Параметры займа'!$I$19:$I$80,ROUNDUP(MONTH(I8)/Месяцев_в_квартале,0))</f>
        <v>-1260.2739726027394</v>
      </c>
      <c r="J24" s="114">
        <f>-SUMIFS('Параметры займа'!$J$19:$J$80,'Параметры займа'!$H$19:$H$80,YEAR(J8),'Параметры займа'!$I$19:$I$80,ROUNDUP(MONTH(J8)/Месяцев_в_квартале,0))</f>
        <v>-1246.575342465753</v>
      </c>
      <c r="K24" s="114">
        <f>-SUMIFS('Параметры займа'!$J$19:$J$80,'Параметры займа'!$H$19:$H$80,YEAR(K8),'Параметры займа'!$I$19:$I$80,ROUNDUP(MONTH(K8)/Месяцев_в_квартале,0))</f>
        <v>-1243.5811063702372</v>
      </c>
      <c r="L24" s="114">
        <f>-SUMIFS('Параметры займа'!$J$19:$J$80,'Параметры займа'!$H$19:$H$80,YEAR(L8),'Параметры займа'!$I$19:$I$80,ROUNDUP(MONTH(L8)/Месяцев_в_квартале,0))</f>
        <v>-1256.8306010928961</v>
      </c>
      <c r="M24" s="114">
        <f>-SUMIFS('Параметры займа'!$J$19:$J$80,'Параметры займа'!$H$19:$H$80,YEAR(M8),'Параметры займа'!$I$19:$I$80,ROUNDUP(MONTH(M8)/Месяцев_в_квартале,0))</f>
        <v>-1256.8306010928961</v>
      </c>
      <c r="N24" s="114">
        <f>-SUMIFS('Параметры займа'!$J$19:$J$80,'Параметры займа'!$H$19:$H$80,YEAR(N8),'Параметры займа'!$I$19:$I$80,ROUNDUP(MONTH(N8)/Месяцев_в_квартале,0))</f>
        <v>-1243.1693989071039</v>
      </c>
      <c r="O24" s="114">
        <f>-SUMIFS('Параметры займа'!$J$19:$J$80,'Параметры займа'!$H$19:$H$80,YEAR(O8),'Параметры займа'!$I$19:$I$80,ROUNDUP(MONTH(O8)/Месяцев_в_квартале,0))</f>
        <v>-1232.4650048656331</v>
      </c>
      <c r="P24" s="114">
        <f>-SUMIFS('Параметры займа'!$J$19:$J$80,'Параметры займа'!$H$19:$H$80,YEAR(P8),'Параметры займа'!$I$19:$I$80,ROUNDUP(MONTH(P8)/Месяцев_в_квартале,0))</f>
        <v>-1260.2739726027394</v>
      </c>
      <c r="Q24" s="114">
        <f>-SUMIFS('Параметры займа'!$J$19:$J$80,'Параметры займа'!$H$19:$H$80,YEAR(Q8),'Параметры займа'!$I$19:$I$80,ROUNDUP(MONTH(Q8)/Месяцев_в_квартале,0))</f>
        <v>-1260.2739726027394</v>
      </c>
      <c r="R24" s="114">
        <f>-SUMIFS('Параметры займа'!$J$19:$J$80,'Параметры займа'!$H$19:$H$80,YEAR(R8),'Параметры займа'!$I$19:$I$80,ROUNDUP(MONTH(R8)/Месяцев_в_квартале,0))</f>
        <v>-1246.575342465753</v>
      </c>
      <c r="S24" s="114">
        <f>-SUMIFS('Параметры займа'!$J$19:$J$80,'Параметры займа'!$H$19:$H$80,YEAR(S8),'Параметры займа'!$I$19:$I$80,ROUNDUP(MONTH(S8)/Месяцев_в_квартале,0))</f>
        <v>-1123.287671232875</v>
      </c>
      <c r="T24" s="114">
        <f>-SUMIFS('Параметры займа'!$J$19:$J$80,'Параметры займа'!$H$19:$H$80,YEAR(T8),'Параметры займа'!$I$19:$I$80,ROUNDUP(MONTH(T8)/Месяцев_в_квартале,0))</f>
        <v>-964.04109589041036</v>
      </c>
      <c r="U24" s="114">
        <f>-SUMIFS('Параметры займа'!$J$19:$J$80,'Параметры займа'!$H$19:$H$80,YEAR(U8),'Параметры займа'!$I$19:$I$80,ROUNDUP(MONTH(U8)/Месяцев_в_квартале,0))</f>
        <v>-804.79452054794615</v>
      </c>
      <c r="V24" s="114">
        <f>-SUMIFS('Параметры займа'!$J$19:$J$80,'Параметры займа'!$H$19:$H$80,YEAR(V8),'Параметры займа'!$I$19:$I$80,ROUNDUP(MONTH(V8)/Месяцев_в_квартале,0))</f>
        <v>-640.41095890410941</v>
      </c>
      <c r="W24" s="114">
        <f>-SUMIFS('Параметры займа'!$J$19:$J$80,'Параметры займа'!$H$19:$H$80,YEAR(W8),'Параметры займа'!$I$19:$I$80,ROUNDUP(MONTH(W8)/Месяцев_в_квартале,0))</f>
        <v>-506.84931506849296</v>
      </c>
      <c r="X24" s="114">
        <f>-SUMIFS('Параметры займа'!$J$19:$J$80,'Параметры займа'!$H$19:$H$80,YEAR(X8),'Параметры займа'!$I$19:$I$80,ROUNDUP(MONTH(X8)/Месяцев_в_квартале,0))</f>
        <v>-333.90410958904101</v>
      </c>
      <c r="Y24" s="114">
        <f>-SUMIFS('Параметры займа'!$J$19:$J$80,'Параметры займа'!$H$19:$H$80,YEAR(Y8),'Параметры займа'!$I$19:$I$80,ROUNDUP(MONTH(Y8)/Месяцев_в_квартале,0))</f>
        <v>-114.72602739726011</v>
      </c>
      <c r="Z24" s="114">
        <f>-SUMIFS('Параметры займа'!$J$19:$J$80,'Параметры займа'!$H$19:$H$80,YEAR(Z8),'Параметры займа'!$I$19:$I$80,ROUNDUP(MONTH(Z8)/Месяцев_в_квартале,0))</f>
        <v>0</v>
      </c>
      <c r="AA24" s="114">
        <f>-SUMIFS('Параметры займа'!$J$19:$J$80,'Параметры займа'!$H$19:$H$80,YEAR(AA8),'Параметры займа'!$I$19:$I$80,ROUNDUP(MONTH(AA8)/Месяцев_в_квартале,0))</f>
        <v>0</v>
      </c>
      <c r="AB24" s="114">
        <f>-SUMIFS('Параметры займа'!$J$19:$J$80,'Параметры займа'!$H$19:$H$80,YEAR(AB8),'Параметры займа'!$I$19:$I$80,ROUNDUP(MONTH(AB8)/Месяцев_в_квартале,0))</f>
        <v>0</v>
      </c>
      <c r="AC24" s="114">
        <f>-SUMIFS('Параметры займа'!$J$19:$J$80,'Параметры займа'!$H$19:$H$80,YEAR(AC8),'Параметры займа'!$I$19:$I$80,ROUNDUP(MONTH(AC8)/Месяцев_в_квартале,0))</f>
        <v>0</v>
      </c>
      <c r="AD24" s="114">
        <f>-SUMIFS('Параметры займа'!$J$19:$J$80,'Параметры займа'!$H$19:$H$80,YEAR(AD8),'Параметры займа'!$I$19:$I$80,ROUNDUP(MONTH(AD8)/Месяцев_в_квартале,0))</f>
        <v>0</v>
      </c>
      <c r="AE24" s="114">
        <f>-SUMIFS('Параметры займа'!$J$19:$J$80,'Параметры займа'!$H$19:$H$80,YEAR(AE8),'Параметры займа'!$I$19:$I$80,ROUNDUP(MONTH(AE8)/Месяцев_в_квартале,0))</f>
        <v>0</v>
      </c>
      <c r="AF24" s="114">
        <f>-SUMIFS('Параметры займа'!$J$19:$J$80,'Параметры займа'!$H$19:$H$80,YEAR(AF8),'Параметры займа'!$I$19:$I$80,ROUNDUP(MONTH(AF8)/Месяцев_в_квартале,0))</f>
        <v>0</v>
      </c>
      <c r="AG24" s="114">
        <f>-SUMIFS('Параметры займа'!$J$19:$J$80,'Параметры займа'!$H$19:$H$80,YEAR(AG8),'Параметры займа'!$I$19:$I$80,ROUNDUP(MONTH(AG8)/Месяцев_в_квартале,0))</f>
        <v>0</v>
      </c>
      <c r="AH24" s="114">
        <f>-SUMIFS('Параметры займа'!$J$19:$J$80,'Параметры займа'!$H$19:$H$80,YEAR(AH8),'Параметры займа'!$I$19:$I$80,ROUNDUP(MONTH(AH8)/Месяцев_в_квартале,0))</f>
        <v>0</v>
      </c>
      <c r="AI24" s="114">
        <f>-SUMIFS('Параметры займа'!$J$19:$J$80,'Параметры займа'!$H$19:$H$80,YEAR(AI8),'Параметры займа'!$I$19:$I$80,ROUNDUP(MONTH(AI8)/Месяцев_в_квартале,0))</f>
        <v>0</v>
      </c>
      <c r="AJ24" s="114">
        <f>-SUMIFS('Параметры займа'!$J$19:$J$80,'Параметры займа'!$H$19:$H$80,YEAR(AJ8),'Параметры займа'!$I$19:$I$80,ROUNDUP(MONTH(AJ8)/Месяцев_в_квартале,0))</f>
        <v>0</v>
      </c>
      <c r="AK24" s="114">
        <f>-SUMIFS('Параметры займа'!$J$19:$J$80,'Параметры займа'!$H$19:$H$80,YEAR(AK8),'Параметры займа'!$I$19:$I$80,ROUNDUP(MONTH(AK8)/Месяцев_в_квартале,0))</f>
        <v>0</v>
      </c>
      <c r="AL24" s="114">
        <f>-SUMIFS('Параметры займа'!$J$19:$J$80,'Параметры займа'!$H$19:$H$80,YEAR(AL8),'Параметры займа'!$I$19:$I$80,ROUNDUP(MONTH(AL8)/Месяцев_в_квартале,0))</f>
        <v>0</v>
      </c>
      <c r="AM24" s="114">
        <f>-SUMIFS('Параметры займа'!$J$19:$J$80,'Параметры займа'!$H$19:$H$80,YEAR(AM8),'Параметры займа'!$I$19:$I$80,ROUNDUP(MONTH(AM8)/Месяцев_в_квартале,0))</f>
        <v>0</v>
      </c>
      <c r="AN24" s="114">
        <f>-SUMIFS('Параметры займа'!$J$19:$J$80,'Параметры займа'!$H$19:$H$80,YEAR(AN8),'Параметры займа'!$I$19:$I$80,ROUNDUP(MONTH(AN8)/Месяцев_в_квартале,0))</f>
        <v>0</v>
      </c>
      <c r="AO24" s="114">
        <f>-SUMIFS('Параметры займа'!$J$19:$J$80,'Параметры займа'!$H$19:$H$80,YEAR(AO8),'Параметры займа'!$I$19:$I$80,ROUNDUP(MONTH(AO8)/Месяцев_в_квартале,0))</f>
        <v>0</v>
      </c>
      <c r="AP24" s="114">
        <f>-SUMIFS('Параметры займа'!$J$19:$J$80,'Параметры займа'!$H$19:$H$80,YEAR(AP8),'Параметры займа'!$I$19:$I$80,ROUNDUP(MONTH(AP8)/Месяцев_в_квартале,0))</f>
        <v>0</v>
      </c>
      <c r="AQ24" s="114">
        <f>-SUMIFS('Параметры займа'!$J$19:$J$80,'Параметры займа'!$H$19:$H$80,YEAR(AQ8),'Параметры займа'!$I$19:$I$80,ROUNDUP(MONTH(AQ8)/Месяцев_в_квартале,0))</f>
        <v>0</v>
      </c>
      <c r="AR24" s="114">
        <f>-SUMIFS('Параметры займа'!$J$19:$J$80,'Параметры займа'!$H$19:$H$80,YEAR(AR8),'Параметры займа'!$I$19:$I$80,ROUNDUP(MONTH(AR8)/Месяцев_в_квартале,0))</f>
        <v>0</v>
      </c>
      <c r="AS24" s="114">
        <f>-SUMIFS('Параметры займа'!$J$19:$J$80,'Параметры займа'!$H$19:$H$80,YEAR(AS8),'Параметры займа'!$I$19:$I$80,ROUNDUP(MONTH(AS8)/Месяцев_в_квартале,0))</f>
        <v>0</v>
      </c>
      <c r="AT24" s="114">
        <f>-SUMIFS('Параметры займа'!$J$19:$J$80,'Параметры займа'!$H$19:$H$80,YEAR(AT8),'Параметры займа'!$I$19:$I$80,ROUNDUP(MONTH(AT8)/Месяцев_в_квартале,0))</f>
        <v>0</v>
      </c>
      <c r="AU24" s="114">
        <f>-SUMIFS('Параметры займа'!$J$19:$J$80,'Параметры займа'!$H$19:$H$80,YEAR(AU8),'Параметры займа'!$I$19:$I$80,ROUNDUP(MONTH(AU8)/Месяцев_в_квартале,0))</f>
        <v>0</v>
      </c>
      <c r="AV24" s="114">
        <f>-SUMIFS('Параметры займа'!$J$19:$J$80,'Параметры займа'!$H$19:$H$80,YEAR(AV8),'Параметры займа'!$I$19:$I$80,ROUNDUP(MONTH(AV8)/Месяцев_в_квартале,0))</f>
        <v>0</v>
      </c>
      <c r="AW24" s="114">
        <f>-SUMIFS('Параметры займа'!$J$19:$J$80,'Параметры займа'!$H$19:$H$80,YEAR(AW8),'Параметры займа'!$I$19:$I$80,ROUNDUP(MONTH(AW8)/Месяцев_в_квартале,0))</f>
        <v>0</v>
      </c>
      <c r="AX24" s="114">
        <f>-SUMIFS('Параметры займа'!$J$19:$J$80,'Параметры займа'!$H$19:$H$80,YEAR(AX8),'Параметры займа'!$I$19:$I$80,ROUNDUP(MONTH(AX8)/Месяцев_в_квартале,0))</f>
        <v>0</v>
      </c>
      <c r="AY24" s="114">
        <f>-SUMIFS('Параметры займа'!$J$19:$J$80,'Параметры займа'!$H$19:$H$80,YEAR(AY8),'Параметры займа'!$I$19:$I$80,ROUNDUP(MONTH(AY8)/Месяцев_в_квартале,0))</f>
        <v>0</v>
      </c>
      <c r="AZ24" s="114">
        <f>-SUMIFS('Параметры займа'!$J$19:$J$80,'Параметры займа'!$H$19:$H$80,YEAR(AZ8),'Параметры займа'!$I$19:$I$80,ROUNDUP(MONTH(AZ8)/Месяцев_в_квартале,0))</f>
        <v>0</v>
      </c>
      <c r="BA24" s="114">
        <f>-SUMIFS('Параметры займа'!$J$19:$J$80,'Параметры займа'!$H$19:$H$80,YEAR(BA8),'Параметры займа'!$I$19:$I$80,ROUNDUP(MONTH(BA8)/Месяцев_в_квартале,0))</f>
        <v>0</v>
      </c>
      <c r="BB24" s="114">
        <f>-SUMIFS('Параметры займа'!$J$19:$J$80,'Параметры займа'!$H$19:$H$80,YEAR(BB8),'Параметры займа'!$I$19:$I$80,ROUNDUP(MONTH(BB8)/Месяцев_в_квартале,0))</f>
        <v>0</v>
      </c>
      <c r="BC24" s="114">
        <f>-SUMIFS('Параметры займа'!$J$19:$J$80,'Параметры займа'!$H$19:$H$80,YEAR(BC8),'Параметры займа'!$I$19:$I$80,ROUNDUP(MONTH(BC8)/Месяцев_в_квартале,0))</f>
        <v>0</v>
      </c>
      <c r="BD24" s="114">
        <f>-SUMIFS('Параметры займа'!$J$19:$J$80,'Параметры займа'!$H$19:$H$80,YEAR(BD8),'Параметры займа'!$I$19:$I$80,ROUNDUP(MONTH(BD8)/Месяцев_в_квартале,0))</f>
        <v>0</v>
      </c>
      <c r="BE24" s="114">
        <f>-SUMIFS('Параметры займа'!$J$19:$J$80,'Параметры займа'!$H$19:$H$80,YEAR(BE8),'Параметры займа'!$I$19:$I$80,ROUNDUP(MONTH(BE8)/Месяцев_в_квартале,0))</f>
        <v>0</v>
      </c>
      <c r="BF24" s="114">
        <f>-SUMIFS('Параметры займа'!$J$19:$J$80,'Параметры займа'!$H$19:$H$80,YEAR(BF8),'Параметры займа'!$I$19:$I$80,ROUNDUP(MONTH(BF8)/Месяцев_в_квартале,0))</f>
        <v>0</v>
      </c>
      <c r="BG24" s="114">
        <f>-SUMIFS('Параметры займа'!$J$19:$J$80,'Параметры займа'!$H$19:$H$80,YEAR(BG8),'Параметры займа'!$I$19:$I$80,ROUNDUP(MONTH(BG8)/Месяцев_в_квартале,0))</f>
        <v>0</v>
      </c>
      <c r="BH24" s="114">
        <f>-SUMIFS('Параметры займа'!$J$19:$J$80,'Параметры займа'!$H$19:$H$80,YEAR(BH8),'Параметры займа'!$I$19:$I$80,ROUNDUP(MONTH(BH8)/Месяцев_в_квартале,0))</f>
        <v>0</v>
      </c>
      <c r="BI24" s="114">
        <f>-SUMIFS('Параметры займа'!$J$19:$J$80,'Параметры займа'!$H$19:$H$80,YEAR(BI8),'Параметры займа'!$I$19:$I$80,ROUNDUP(MONTH(BI8)/Месяцев_в_квартале,0))</f>
        <v>0</v>
      </c>
      <c r="BJ24" s="114">
        <f>-SUMIFS('Параметры займа'!$J$19:$J$80,'Параметры займа'!$H$19:$H$80,YEAR(BJ8),'Параметры займа'!$I$19:$I$80,ROUNDUP(MONTH(BJ8)/Месяцев_в_квартале,0))</f>
        <v>0</v>
      </c>
      <c r="BK24" s="114">
        <f>-SUMIFS('Параметры займа'!$J$19:$J$80,'Параметры займа'!$H$19:$H$80,YEAR(BK8),'Параметры займа'!$I$19:$I$80,ROUNDUP(MONTH(BK8)/Месяцев_в_квартале,0))</f>
        <v>0</v>
      </c>
      <c r="BL24" s="114">
        <f>-SUMIFS('Параметры займа'!$J$19:$J$80,'Параметры займа'!$H$19:$H$80,YEAR(BL8),'Параметры займа'!$I$19:$I$80,ROUNDUP(MONTH(BL8)/Месяцев_в_квартале,0))</f>
        <v>0</v>
      </c>
      <c r="BM24" s="114">
        <f>-SUMIFS('Параметры займа'!$J$19:$J$80,'Параметры займа'!$H$19:$H$80,YEAR(BM8),'Параметры займа'!$I$19:$I$80,ROUNDUP(MONTH(BM8)/Месяцев_в_квартале,0))</f>
        <v>0</v>
      </c>
    </row>
    <row r="25" spans="2:65" ht="15" customHeight="1">
      <c r="B25" s="259" t="s">
        <v>66</v>
      </c>
      <c r="C25" s="260" t="str">
        <f>Единица_измерения</f>
        <v>тыс. руб.</v>
      </c>
      <c r="D25" s="248"/>
      <c r="E25" s="248">
        <f t="shared" ref="E25" si="160">SUM(E22:E24)</f>
        <v>0</v>
      </c>
      <c r="F25" s="248">
        <f t="shared" ref="F25:AG25" si="161">SUM(F22:F24)</f>
        <v>0</v>
      </c>
      <c r="G25" s="248">
        <f t="shared" si="161"/>
        <v>0</v>
      </c>
      <c r="H25" s="248">
        <f t="shared" si="161"/>
        <v>0</v>
      </c>
      <c r="I25" s="248">
        <f t="shared" si="161"/>
        <v>0</v>
      </c>
      <c r="J25" s="248">
        <f t="shared" si="161"/>
        <v>0</v>
      </c>
      <c r="K25" s="248">
        <f t="shared" si="161"/>
        <v>0</v>
      </c>
      <c r="L25" s="248">
        <f t="shared" si="161"/>
        <v>0</v>
      </c>
      <c r="M25" s="248">
        <f t="shared" si="161"/>
        <v>0</v>
      </c>
      <c r="N25" s="248">
        <f t="shared" si="161"/>
        <v>0</v>
      </c>
      <c r="O25" s="248">
        <f t="shared" si="161"/>
        <v>0</v>
      </c>
      <c r="P25" s="248">
        <f t="shared" si="161"/>
        <v>0</v>
      </c>
      <c r="Q25" s="248">
        <f t="shared" si="161"/>
        <v>0</v>
      </c>
      <c r="R25" s="248">
        <f t="shared" si="161"/>
        <v>0</v>
      </c>
      <c r="S25" s="248">
        <f t="shared" si="161"/>
        <v>0</v>
      </c>
      <c r="T25" s="248">
        <f t="shared" si="161"/>
        <v>0</v>
      </c>
      <c r="U25" s="248">
        <f t="shared" si="161"/>
        <v>0</v>
      </c>
      <c r="V25" s="248">
        <f t="shared" si="161"/>
        <v>0</v>
      </c>
      <c r="W25" s="248">
        <f t="shared" si="161"/>
        <v>0</v>
      </c>
      <c r="X25" s="248">
        <f t="shared" si="161"/>
        <v>0</v>
      </c>
      <c r="Y25" s="248">
        <f t="shared" si="161"/>
        <v>0</v>
      </c>
      <c r="Z25" s="248">
        <f t="shared" si="161"/>
        <v>0</v>
      </c>
      <c r="AA25" s="248">
        <f t="shared" si="161"/>
        <v>0</v>
      </c>
      <c r="AB25" s="248">
        <f t="shared" si="161"/>
        <v>0</v>
      </c>
      <c r="AC25" s="248">
        <f t="shared" si="161"/>
        <v>0</v>
      </c>
      <c r="AD25" s="248">
        <f t="shared" si="161"/>
        <v>0</v>
      </c>
      <c r="AE25" s="248">
        <f t="shared" si="161"/>
        <v>0</v>
      </c>
      <c r="AF25" s="248">
        <f t="shared" si="161"/>
        <v>0</v>
      </c>
      <c r="AG25" s="248">
        <f t="shared" si="161"/>
        <v>0</v>
      </c>
      <c r="AH25" s="248">
        <f t="shared" ref="AH25:BM25" si="162">SUM(AH22:AH24)</f>
        <v>0</v>
      </c>
      <c r="AI25" s="248">
        <f t="shared" si="162"/>
        <v>0</v>
      </c>
      <c r="AJ25" s="248">
        <f t="shared" si="162"/>
        <v>0</v>
      </c>
      <c r="AK25" s="248">
        <f t="shared" si="162"/>
        <v>0</v>
      </c>
      <c r="AL25" s="248">
        <f t="shared" si="162"/>
        <v>0</v>
      </c>
      <c r="AM25" s="248">
        <f t="shared" si="162"/>
        <v>0</v>
      </c>
      <c r="AN25" s="248">
        <f t="shared" si="162"/>
        <v>0</v>
      </c>
      <c r="AO25" s="248">
        <f t="shared" si="162"/>
        <v>0</v>
      </c>
      <c r="AP25" s="248">
        <f t="shared" si="162"/>
        <v>0</v>
      </c>
      <c r="AQ25" s="248">
        <f t="shared" si="162"/>
        <v>0</v>
      </c>
      <c r="AR25" s="248">
        <f t="shared" si="162"/>
        <v>0</v>
      </c>
      <c r="AS25" s="248">
        <f t="shared" si="162"/>
        <v>0</v>
      </c>
      <c r="AT25" s="248">
        <f t="shared" si="162"/>
        <v>0</v>
      </c>
      <c r="AU25" s="248">
        <f t="shared" si="162"/>
        <v>0</v>
      </c>
      <c r="AV25" s="248">
        <f t="shared" si="162"/>
        <v>0</v>
      </c>
      <c r="AW25" s="248">
        <f t="shared" si="162"/>
        <v>0</v>
      </c>
      <c r="AX25" s="248">
        <f t="shared" si="162"/>
        <v>0</v>
      </c>
      <c r="AY25" s="248">
        <f t="shared" si="162"/>
        <v>0</v>
      </c>
      <c r="AZ25" s="248">
        <f t="shared" si="162"/>
        <v>0</v>
      </c>
      <c r="BA25" s="248">
        <f t="shared" si="162"/>
        <v>0</v>
      </c>
      <c r="BB25" s="248">
        <f t="shared" si="162"/>
        <v>0</v>
      </c>
      <c r="BC25" s="248">
        <f t="shared" si="162"/>
        <v>0</v>
      </c>
      <c r="BD25" s="248">
        <f t="shared" si="162"/>
        <v>0</v>
      </c>
      <c r="BE25" s="248">
        <f t="shared" si="162"/>
        <v>0</v>
      </c>
      <c r="BF25" s="248">
        <f t="shared" si="162"/>
        <v>0</v>
      </c>
      <c r="BG25" s="248">
        <f t="shared" si="162"/>
        <v>0</v>
      </c>
      <c r="BH25" s="248">
        <f t="shared" si="162"/>
        <v>0</v>
      </c>
      <c r="BI25" s="248">
        <f t="shared" si="162"/>
        <v>0</v>
      </c>
      <c r="BJ25" s="248">
        <f t="shared" si="162"/>
        <v>0</v>
      </c>
      <c r="BK25" s="248">
        <f t="shared" si="162"/>
        <v>0</v>
      </c>
      <c r="BL25" s="248">
        <f t="shared" si="162"/>
        <v>0</v>
      </c>
      <c r="BM25" s="248">
        <f t="shared" si="162"/>
        <v>0</v>
      </c>
    </row>
    <row r="26" spans="2:65" ht="15" customHeight="1">
      <c r="B26" s="37"/>
      <c r="C26" s="37"/>
      <c r="D26" s="37"/>
      <c r="E26" s="37"/>
      <c r="F26" s="37"/>
      <c r="G26" s="37"/>
      <c r="H26" s="37"/>
      <c r="I26" s="37"/>
      <c r="J26" s="37"/>
      <c r="K26" s="37"/>
      <c r="L26" s="37"/>
      <c r="M26" s="37"/>
      <c r="N26" s="37"/>
      <c r="O26" s="37"/>
      <c r="P26" s="37"/>
      <c r="Q26" s="37"/>
      <c r="R26" s="37"/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7"/>
      <c r="AD26" s="37"/>
      <c r="AE26" s="37"/>
      <c r="AF26" s="37"/>
      <c r="AG26" s="37"/>
      <c r="AH26" s="37"/>
      <c r="AI26" s="37"/>
      <c r="AJ26" s="37"/>
      <c r="AK26" s="37"/>
      <c r="AL26" s="37"/>
      <c r="AM26" s="37"/>
      <c r="AN26" s="37"/>
      <c r="AO26" s="37"/>
      <c r="AP26" s="37"/>
      <c r="AQ26" s="37"/>
      <c r="AR26" s="37"/>
      <c r="AS26" s="37"/>
      <c r="AT26" s="37"/>
      <c r="AU26" s="37"/>
      <c r="AV26" s="37"/>
      <c r="AW26" s="37"/>
      <c r="AX26" s="37"/>
      <c r="AY26" s="37"/>
      <c r="AZ26" s="37"/>
      <c r="BA26" s="37"/>
      <c r="BB26" s="37"/>
      <c r="BC26" s="37"/>
      <c r="BD26" s="37"/>
      <c r="BE26" s="37"/>
      <c r="BF26" s="37"/>
      <c r="BG26" s="37"/>
      <c r="BH26" s="37"/>
      <c r="BI26" s="37"/>
      <c r="BJ26" s="37"/>
      <c r="BK26" s="37"/>
      <c r="BL26" s="37"/>
      <c r="BM26" s="37"/>
    </row>
    <row r="27" spans="2:65" ht="21">
      <c r="B27" s="40" t="str">
        <f>IF(ISBLANK(Предпосылки!C194),"Кредитор (займодавец) не указан",Предпосылки!C194)</f>
        <v>Кредитор (займодавец) не указан</v>
      </c>
      <c r="C27" s="37"/>
      <c r="D27" s="37"/>
      <c r="E27" s="37"/>
      <c r="F27" s="37"/>
      <c r="G27" s="37"/>
      <c r="H27" s="37"/>
      <c r="I27" s="37"/>
      <c r="J27" s="37"/>
      <c r="K27" s="37"/>
      <c r="L27" s="37"/>
      <c r="M27" s="37"/>
      <c r="N27" s="37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37"/>
      <c r="Z27" s="37"/>
      <c r="AA27" s="37"/>
      <c r="AB27" s="37"/>
      <c r="AC27" s="37"/>
      <c r="AD27" s="37"/>
      <c r="AE27" s="37"/>
      <c r="AF27" s="37"/>
      <c r="AG27" s="37"/>
      <c r="AH27" s="37"/>
      <c r="AI27" s="37"/>
      <c r="AJ27" s="37"/>
      <c r="AK27" s="37"/>
      <c r="AL27" s="37"/>
      <c r="AM27" s="37"/>
      <c r="AN27" s="37"/>
      <c r="AO27" s="37"/>
      <c r="AP27" s="37"/>
      <c r="AQ27" s="37"/>
      <c r="AR27" s="37"/>
      <c r="AS27" s="37"/>
      <c r="AT27" s="37"/>
      <c r="AU27" s="37"/>
      <c r="AV27" s="37"/>
      <c r="AW27" s="37"/>
      <c r="AX27" s="37"/>
      <c r="AY27" s="37"/>
      <c r="AZ27" s="37"/>
      <c r="BA27" s="37"/>
      <c r="BB27" s="37"/>
      <c r="BC27" s="37"/>
      <c r="BD27" s="37"/>
      <c r="BE27" s="37"/>
      <c r="BF27" s="37"/>
      <c r="BG27" s="37"/>
      <c r="BH27" s="37"/>
      <c r="BI27" s="37"/>
      <c r="BJ27" s="37"/>
      <c r="BK27" s="37"/>
      <c r="BL27" s="37"/>
      <c r="BM27" s="37"/>
    </row>
    <row r="28" spans="2:65" ht="15" customHeight="1">
      <c r="B28" s="118" t="str">
        <f>"ОСВ: Основной долг - "&amp;Предпосылки!C194</f>
        <v xml:space="preserve">ОСВ: Основной долг - </v>
      </c>
      <c r="C28" s="37"/>
      <c r="D28" s="37"/>
      <c r="E28" s="37"/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  <c r="AL28" s="37"/>
      <c r="AM28" s="37"/>
      <c r="AN28" s="37"/>
      <c r="AO28" s="37"/>
      <c r="AP28" s="37"/>
      <c r="AQ28" s="37"/>
      <c r="AR28" s="37"/>
      <c r="AS28" s="37"/>
      <c r="AT28" s="37"/>
      <c r="AU28" s="37"/>
      <c r="AV28" s="37"/>
      <c r="AW28" s="37"/>
      <c r="AX28" s="37"/>
      <c r="AY28" s="37"/>
      <c r="AZ28" s="37"/>
      <c r="BA28" s="37"/>
      <c r="BB28" s="37"/>
      <c r="BC28" s="37"/>
      <c r="BD28" s="37"/>
      <c r="BE28" s="37"/>
      <c r="BF28" s="37"/>
      <c r="BG28" s="37"/>
      <c r="BH28" s="37"/>
      <c r="BI28" s="37"/>
      <c r="BJ28" s="37"/>
      <c r="BK28" s="37"/>
      <c r="BL28" s="37"/>
      <c r="BM28" s="37"/>
    </row>
    <row r="29" spans="2:65" ht="15" customHeight="1">
      <c r="B29" s="112" t="s">
        <v>65</v>
      </c>
      <c r="C29" s="113" t="str">
        <f>Единица_измерения</f>
        <v>тыс. руб.</v>
      </c>
      <c r="D29" s="114"/>
      <c r="E29" s="114">
        <f t="shared" ref="E29" si="163">D32</f>
        <v>0</v>
      </c>
      <c r="F29" s="114">
        <f t="shared" ref="F29" si="164">E32</f>
        <v>0</v>
      </c>
      <c r="G29" s="114">
        <f t="shared" ref="G29" si="165">F32</f>
        <v>0</v>
      </c>
      <c r="H29" s="114">
        <f t="shared" ref="H29" si="166">G32</f>
        <v>0</v>
      </c>
      <c r="I29" s="114">
        <f t="shared" ref="I29" si="167">H32</f>
        <v>0</v>
      </c>
      <c r="J29" s="114">
        <f t="shared" ref="J29" si="168">I32</f>
        <v>0</v>
      </c>
      <c r="K29" s="114">
        <f t="shared" ref="K29" si="169">J32</f>
        <v>0</v>
      </c>
      <c r="L29" s="114">
        <f t="shared" ref="L29" si="170">K32</f>
        <v>0</v>
      </c>
      <c r="M29" s="114">
        <f t="shared" ref="M29" si="171">L32</f>
        <v>0</v>
      </c>
      <c r="N29" s="114">
        <f t="shared" ref="N29" si="172">M32</f>
        <v>0</v>
      </c>
      <c r="O29" s="114">
        <f t="shared" ref="O29" si="173">N32</f>
        <v>0</v>
      </c>
      <c r="P29" s="114">
        <f t="shared" ref="P29" si="174">O32</f>
        <v>0</v>
      </c>
      <c r="Q29" s="114">
        <f t="shared" ref="Q29" si="175">P32</f>
        <v>0</v>
      </c>
      <c r="R29" s="114">
        <f t="shared" ref="R29" si="176">Q32</f>
        <v>0</v>
      </c>
      <c r="S29" s="114">
        <f t="shared" ref="S29" si="177">R32</f>
        <v>0</v>
      </c>
      <c r="T29" s="114">
        <f t="shared" ref="T29" si="178">S32</f>
        <v>0</v>
      </c>
      <c r="U29" s="114">
        <f t="shared" ref="U29" si="179">T32</f>
        <v>0</v>
      </c>
      <c r="V29" s="114">
        <f t="shared" ref="V29" si="180">U32</f>
        <v>0</v>
      </c>
      <c r="W29" s="114">
        <f t="shared" ref="W29" si="181">V32</f>
        <v>0</v>
      </c>
      <c r="X29" s="114">
        <f t="shared" ref="X29" si="182">W32</f>
        <v>0</v>
      </c>
      <c r="Y29" s="114">
        <f t="shared" ref="Y29" si="183">X32</f>
        <v>0</v>
      </c>
      <c r="Z29" s="114">
        <f t="shared" ref="Z29" si="184">Y32</f>
        <v>0</v>
      </c>
      <c r="AA29" s="114">
        <f t="shared" ref="AA29" si="185">Z32</f>
        <v>0</v>
      </c>
      <c r="AB29" s="114">
        <f t="shared" ref="AB29" si="186">AA32</f>
        <v>0</v>
      </c>
      <c r="AC29" s="114">
        <f t="shared" ref="AC29" si="187">AB32</f>
        <v>0</v>
      </c>
      <c r="AD29" s="114">
        <f t="shared" ref="AD29" si="188">AC32</f>
        <v>0</v>
      </c>
      <c r="AE29" s="114">
        <f t="shared" ref="AE29" si="189">AD32</f>
        <v>0</v>
      </c>
      <c r="AF29" s="114">
        <f t="shared" ref="AF29" si="190">AE32</f>
        <v>0</v>
      </c>
      <c r="AG29" s="114">
        <f t="shared" ref="AG29" si="191">AF32</f>
        <v>0</v>
      </c>
      <c r="AH29" s="114">
        <f t="shared" ref="AH29" si="192">AG32</f>
        <v>0</v>
      </c>
      <c r="AI29" s="114">
        <f t="shared" ref="AI29" si="193">AH32</f>
        <v>0</v>
      </c>
      <c r="AJ29" s="114">
        <f t="shared" ref="AJ29" si="194">AI32</f>
        <v>0</v>
      </c>
      <c r="AK29" s="114">
        <f t="shared" ref="AK29" si="195">AJ32</f>
        <v>0</v>
      </c>
      <c r="AL29" s="114">
        <f t="shared" ref="AL29" si="196">AK32</f>
        <v>0</v>
      </c>
      <c r="AM29" s="114">
        <f t="shared" ref="AM29" si="197">AL32</f>
        <v>0</v>
      </c>
      <c r="AN29" s="114">
        <f t="shared" ref="AN29" si="198">AM32</f>
        <v>0</v>
      </c>
      <c r="AO29" s="114">
        <f t="shared" ref="AO29" si="199">AN32</f>
        <v>0</v>
      </c>
      <c r="AP29" s="114">
        <f t="shared" ref="AP29" si="200">AO32</f>
        <v>0</v>
      </c>
      <c r="AQ29" s="114">
        <f t="shared" ref="AQ29" si="201">AP32</f>
        <v>0</v>
      </c>
      <c r="AR29" s="114">
        <f t="shared" ref="AR29" si="202">AQ32</f>
        <v>0</v>
      </c>
      <c r="AS29" s="114">
        <f t="shared" ref="AS29" si="203">AR32</f>
        <v>0</v>
      </c>
      <c r="AT29" s="114">
        <f t="shared" ref="AT29" si="204">AS32</f>
        <v>0</v>
      </c>
      <c r="AU29" s="114">
        <f t="shared" ref="AU29" si="205">AT32</f>
        <v>0</v>
      </c>
      <c r="AV29" s="114">
        <f t="shared" ref="AV29" si="206">AU32</f>
        <v>0</v>
      </c>
      <c r="AW29" s="114">
        <f t="shared" ref="AW29" si="207">AV32</f>
        <v>0</v>
      </c>
      <c r="AX29" s="114">
        <f t="shared" ref="AX29" si="208">AW32</f>
        <v>0</v>
      </c>
      <c r="AY29" s="114">
        <f t="shared" ref="AY29" si="209">AX32</f>
        <v>0</v>
      </c>
      <c r="AZ29" s="114">
        <f t="shared" ref="AZ29" si="210">AY32</f>
        <v>0</v>
      </c>
      <c r="BA29" s="114">
        <f t="shared" ref="BA29" si="211">AZ32</f>
        <v>0</v>
      </c>
      <c r="BB29" s="114">
        <f t="shared" ref="BB29" si="212">BA32</f>
        <v>0</v>
      </c>
      <c r="BC29" s="114">
        <f t="shared" ref="BC29" si="213">BB32</f>
        <v>0</v>
      </c>
      <c r="BD29" s="114">
        <f t="shared" ref="BD29" si="214">BC32</f>
        <v>0</v>
      </c>
      <c r="BE29" s="114">
        <f t="shared" ref="BE29" si="215">BD32</f>
        <v>0</v>
      </c>
      <c r="BF29" s="114">
        <f t="shared" ref="BF29" si="216">BE32</f>
        <v>0</v>
      </c>
      <c r="BG29" s="114">
        <f t="shared" ref="BG29" si="217">BF32</f>
        <v>0</v>
      </c>
      <c r="BH29" s="114">
        <f t="shared" ref="BH29" si="218">BG32</f>
        <v>0</v>
      </c>
      <c r="BI29" s="114">
        <f t="shared" ref="BI29" si="219">BH32</f>
        <v>0</v>
      </c>
      <c r="BJ29" s="114">
        <f t="shared" ref="BJ29" si="220">BI32</f>
        <v>0</v>
      </c>
      <c r="BK29" s="114">
        <f t="shared" ref="BK29" si="221">BJ32</f>
        <v>0</v>
      </c>
      <c r="BL29" s="114">
        <f t="shared" ref="BL29" si="222">BK32</f>
        <v>0</v>
      </c>
      <c r="BM29" s="114">
        <f t="shared" ref="BM29" si="223">BL32</f>
        <v>0</v>
      </c>
    </row>
    <row r="30" spans="2:65" ht="15" customHeight="1">
      <c r="B30" s="112" t="s">
        <v>119</v>
      </c>
      <c r="C30" s="113" t="str">
        <f>Единица_измерения</f>
        <v>тыс. руб.</v>
      </c>
      <c r="D30" s="114"/>
      <c r="E30" s="114">
        <f>Предпосылки!D202</f>
        <v>0</v>
      </c>
      <c r="F30" s="114">
        <f>Предпосылки!E202</f>
        <v>0</v>
      </c>
      <c r="G30" s="114">
        <f>Предпосылки!F202</f>
        <v>0</v>
      </c>
      <c r="H30" s="114">
        <f>Предпосылки!G202</f>
        <v>0</v>
      </c>
      <c r="I30" s="114">
        <f>Предпосылки!H202</f>
        <v>0</v>
      </c>
      <c r="J30" s="114">
        <f>Предпосылки!I202</f>
        <v>0</v>
      </c>
      <c r="K30" s="114">
        <f>Предпосылки!J202</f>
        <v>0</v>
      </c>
      <c r="L30" s="114">
        <f>Предпосылки!K202</f>
        <v>0</v>
      </c>
      <c r="M30" s="114">
        <f>Предпосылки!L202</f>
        <v>0</v>
      </c>
      <c r="N30" s="114">
        <f>Предпосылки!M202</f>
        <v>0</v>
      </c>
      <c r="O30" s="114">
        <f>Предпосылки!N202</f>
        <v>0</v>
      </c>
      <c r="P30" s="114">
        <f>Предпосылки!O202</f>
        <v>0</v>
      </c>
      <c r="Q30" s="114">
        <f>Предпосылки!P202</f>
        <v>0</v>
      </c>
      <c r="R30" s="114">
        <f>Предпосылки!Q202</f>
        <v>0</v>
      </c>
      <c r="S30" s="114">
        <f>Предпосылки!R202</f>
        <v>0</v>
      </c>
      <c r="T30" s="114">
        <f>Предпосылки!S202</f>
        <v>0</v>
      </c>
      <c r="U30" s="114">
        <f>Предпосылки!T202</f>
        <v>0</v>
      </c>
      <c r="V30" s="114">
        <f>Предпосылки!U202</f>
        <v>0</v>
      </c>
      <c r="W30" s="114">
        <f>Предпосылки!V202</f>
        <v>0</v>
      </c>
      <c r="X30" s="114">
        <f>Предпосылки!W202</f>
        <v>0</v>
      </c>
      <c r="Y30" s="114">
        <f>Предпосылки!X202</f>
        <v>0</v>
      </c>
      <c r="Z30" s="114">
        <f>Предпосылки!Y202</f>
        <v>0</v>
      </c>
      <c r="AA30" s="114">
        <f>Предпосылки!Z202</f>
        <v>0</v>
      </c>
      <c r="AB30" s="114">
        <f>Предпосылки!AA202</f>
        <v>0</v>
      </c>
      <c r="AC30" s="114">
        <f>Предпосылки!AB202</f>
        <v>0</v>
      </c>
      <c r="AD30" s="114">
        <f>Предпосылки!AC202</f>
        <v>0</v>
      </c>
      <c r="AE30" s="114">
        <f>Предпосылки!AD202</f>
        <v>0</v>
      </c>
      <c r="AF30" s="114">
        <f>Предпосылки!AE202</f>
        <v>0</v>
      </c>
      <c r="AG30" s="114">
        <f>Предпосылки!AF202</f>
        <v>0</v>
      </c>
      <c r="AH30" s="114">
        <f>Предпосылки!AG202</f>
        <v>0</v>
      </c>
      <c r="AI30" s="114">
        <f>Предпосылки!AH202</f>
        <v>0</v>
      </c>
      <c r="AJ30" s="114">
        <f>Предпосылки!AI202</f>
        <v>0</v>
      </c>
      <c r="AK30" s="114">
        <f>Предпосылки!AJ202</f>
        <v>0</v>
      </c>
      <c r="AL30" s="114">
        <f>Предпосылки!AK202</f>
        <v>0</v>
      </c>
      <c r="AM30" s="114">
        <f>Предпосылки!AL202</f>
        <v>0</v>
      </c>
      <c r="AN30" s="114">
        <f>Предпосылки!AM202</f>
        <v>0</v>
      </c>
      <c r="AO30" s="114">
        <f>Предпосылки!AN202</f>
        <v>0</v>
      </c>
      <c r="AP30" s="114">
        <f>Предпосылки!AO202</f>
        <v>0</v>
      </c>
      <c r="AQ30" s="114">
        <f>Предпосылки!AP202</f>
        <v>0</v>
      </c>
      <c r="AR30" s="114">
        <f>Предпосылки!AQ202</f>
        <v>0</v>
      </c>
      <c r="AS30" s="114">
        <f>Предпосылки!AR202</f>
        <v>0</v>
      </c>
      <c r="AT30" s="114">
        <f>Предпосылки!AS202</f>
        <v>0</v>
      </c>
      <c r="AU30" s="114">
        <f>Предпосылки!AT202</f>
        <v>0</v>
      </c>
      <c r="AV30" s="114">
        <f>Предпосылки!AU202</f>
        <v>0</v>
      </c>
      <c r="AW30" s="114">
        <f>Предпосылки!AV202</f>
        <v>0</v>
      </c>
      <c r="AX30" s="114">
        <f>Предпосылки!AW202</f>
        <v>0</v>
      </c>
      <c r="AY30" s="114">
        <f>Предпосылки!AX202</f>
        <v>0</v>
      </c>
      <c r="AZ30" s="114">
        <f>Предпосылки!AY202</f>
        <v>0</v>
      </c>
      <c r="BA30" s="114">
        <f>Предпосылки!AZ202</f>
        <v>0</v>
      </c>
      <c r="BB30" s="114">
        <f>Предпосылки!BA202</f>
        <v>0</v>
      </c>
      <c r="BC30" s="114">
        <f>Предпосылки!BB202</f>
        <v>0</v>
      </c>
      <c r="BD30" s="114">
        <f>Предпосылки!BC202</f>
        <v>0</v>
      </c>
      <c r="BE30" s="114">
        <f>Предпосылки!BD202</f>
        <v>0</v>
      </c>
      <c r="BF30" s="114">
        <f>Предпосылки!BE202</f>
        <v>0</v>
      </c>
      <c r="BG30" s="114">
        <f>Предпосылки!BF202</f>
        <v>0</v>
      </c>
      <c r="BH30" s="114">
        <f>Предпосылки!BG202</f>
        <v>0</v>
      </c>
      <c r="BI30" s="114">
        <f>Предпосылки!BH202</f>
        <v>0</v>
      </c>
      <c r="BJ30" s="114">
        <f>Предпосылки!BI202</f>
        <v>0</v>
      </c>
      <c r="BK30" s="114">
        <f>Предпосылки!BJ202</f>
        <v>0</v>
      </c>
      <c r="BL30" s="114">
        <f>Предпосылки!BK202</f>
        <v>0</v>
      </c>
      <c r="BM30" s="114">
        <f>Предпосылки!BL202</f>
        <v>0</v>
      </c>
    </row>
    <row r="31" spans="2:65" ht="15" customHeight="1">
      <c r="B31" s="112" t="s">
        <v>118</v>
      </c>
      <c r="C31" s="113" t="str">
        <f>Единица_измерения</f>
        <v>тыс. руб.</v>
      </c>
      <c r="D31" s="114"/>
      <c r="E31" s="114">
        <f>-Предпосылки!D203</f>
        <v>0</v>
      </c>
      <c r="F31" s="114">
        <f>-Предпосылки!E203</f>
        <v>0</v>
      </c>
      <c r="G31" s="114">
        <f>-Предпосылки!F203</f>
        <v>0</v>
      </c>
      <c r="H31" s="114">
        <f>-Предпосылки!G203</f>
        <v>0</v>
      </c>
      <c r="I31" s="114">
        <f>-Предпосылки!H203</f>
        <v>0</v>
      </c>
      <c r="J31" s="114">
        <f>-Предпосылки!I203</f>
        <v>0</v>
      </c>
      <c r="K31" s="114">
        <f>-Предпосылки!J203</f>
        <v>0</v>
      </c>
      <c r="L31" s="114">
        <f>-Предпосылки!K203</f>
        <v>0</v>
      </c>
      <c r="M31" s="114">
        <f>-Предпосылки!L203</f>
        <v>0</v>
      </c>
      <c r="N31" s="114">
        <f>-Предпосылки!M203</f>
        <v>0</v>
      </c>
      <c r="O31" s="114">
        <f>-Предпосылки!N203</f>
        <v>0</v>
      </c>
      <c r="P31" s="114">
        <f>-Предпосылки!O203</f>
        <v>0</v>
      </c>
      <c r="Q31" s="114">
        <f>-Предпосылки!P203</f>
        <v>0</v>
      </c>
      <c r="R31" s="114">
        <f>-Предпосылки!Q203</f>
        <v>0</v>
      </c>
      <c r="S31" s="114">
        <f>-Предпосылки!R203</f>
        <v>0</v>
      </c>
      <c r="T31" s="114">
        <f>-Предпосылки!S203</f>
        <v>0</v>
      </c>
      <c r="U31" s="114">
        <f>-Предпосылки!T203</f>
        <v>0</v>
      </c>
      <c r="V31" s="114">
        <f>-Предпосылки!U203</f>
        <v>0</v>
      </c>
      <c r="W31" s="114">
        <f>-Предпосылки!V203</f>
        <v>0</v>
      </c>
      <c r="X31" s="114">
        <f>-Предпосылки!W203</f>
        <v>0</v>
      </c>
      <c r="Y31" s="114">
        <f>-Предпосылки!X203</f>
        <v>0</v>
      </c>
      <c r="Z31" s="114">
        <f>-Предпосылки!Y203</f>
        <v>0</v>
      </c>
      <c r="AA31" s="114">
        <f>-Предпосылки!Z203</f>
        <v>0</v>
      </c>
      <c r="AB31" s="114">
        <f>-Предпосылки!AA203</f>
        <v>0</v>
      </c>
      <c r="AC31" s="114">
        <f>-Предпосылки!AB203</f>
        <v>0</v>
      </c>
      <c r="AD31" s="114">
        <f>-Предпосылки!AC203</f>
        <v>0</v>
      </c>
      <c r="AE31" s="114">
        <f>-Предпосылки!AD203</f>
        <v>0</v>
      </c>
      <c r="AF31" s="114">
        <f>-Предпосылки!AE203</f>
        <v>0</v>
      </c>
      <c r="AG31" s="114">
        <f>-Предпосылки!AF203</f>
        <v>0</v>
      </c>
      <c r="AH31" s="114">
        <f>-Предпосылки!AG203</f>
        <v>0</v>
      </c>
      <c r="AI31" s="114">
        <f>-Предпосылки!AH203</f>
        <v>0</v>
      </c>
      <c r="AJ31" s="114">
        <f>-Предпосылки!AI203</f>
        <v>0</v>
      </c>
      <c r="AK31" s="114">
        <f>-Предпосылки!AJ203</f>
        <v>0</v>
      </c>
      <c r="AL31" s="114">
        <f>-Предпосылки!AK203</f>
        <v>0</v>
      </c>
      <c r="AM31" s="114">
        <f>-Предпосылки!AL203</f>
        <v>0</v>
      </c>
      <c r="AN31" s="114">
        <f>-Предпосылки!AM203</f>
        <v>0</v>
      </c>
      <c r="AO31" s="114">
        <f>-Предпосылки!AN203</f>
        <v>0</v>
      </c>
      <c r="AP31" s="114">
        <f>-Предпосылки!AO203</f>
        <v>0</v>
      </c>
      <c r="AQ31" s="114">
        <f>-Предпосылки!AP203</f>
        <v>0</v>
      </c>
      <c r="AR31" s="114">
        <f>-Предпосылки!AQ203</f>
        <v>0</v>
      </c>
      <c r="AS31" s="114">
        <f>-Предпосылки!AR203</f>
        <v>0</v>
      </c>
      <c r="AT31" s="114">
        <f>-Предпосылки!AS203</f>
        <v>0</v>
      </c>
      <c r="AU31" s="114">
        <f>-Предпосылки!AT203</f>
        <v>0</v>
      </c>
      <c r="AV31" s="114">
        <f>-Предпосылки!AU203</f>
        <v>0</v>
      </c>
      <c r="AW31" s="114">
        <f>-Предпосылки!AV203</f>
        <v>0</v>
      </c>
      <c r="AX31" s="114">
        <f>-Предпосылки!AW203</f>
        <v>0</v>
      </c>
      <c r="AY31" s="114">
        <f>-Предпосылки!AX203</f>
        <v>0</v>
      </c>
      <c r="AZ31" s="114">
        <f>-Предпосылки!AY203</f>
        <v>0</v>
      </c>
      <c r="BA31" s="114">
        <f>-Предпосылки!AZ203</f>
        <v>0</v>
      </c>
      <c r="BB31" s="114">
        <f>-Предпосылки!BA203</f>
        <v>0</v>
      </c>
      <c r="BC31" s="114">
        <f>-Предпосылки!BB203</f>
        <v>0</v>
      </c>
      <c r="BD31" s="114">
        <f>-Предпосылки!BC203</f>
        <v>0</v>
      </c>
      <c r="BE31" s="114">
        <f>-Предпосылки!BD203</f>
        <v>0</v>
      </c>
      <c r="BF31" s="114">
        <f>-Предпосылки!BE203</f>
        <v>0</v>
      </c>
      <c r="BG31" s="114">
        <f>-Предпосылки!BF203</f>
        <v>0</v>
      </c>
      <c r="BH31" s="114">
        <f>-Предпосылки!BG203</f>
        <v>0</v>
      </c>
      <c r="BI31" s="114">
        <f>-Предпосылки!BH203</f>
        <v>0</v>
      </c>
      <c r="BJ31" s="114">
        <f>-Предпосылки!BI203</f>
        <v>0</v>
      </c>
      <c r="BK31" s="114">
        <f>-Предпосылки!BJ203</f>
        <v>0</v>
      </c>
      <c r="BL31" s="114">
        <f>-Предпосылки!BK203</f>
        <v>0</v>
      </c>
      <c r="BM31" s="114">
        <f>-Предпосылки!BL203</f>
        <v>0</v>
      </c>
    </row>
    <row r="32" spans="2:65" ht="15" customHeight="1">
      <c r="B32" s="259" t="s">
        <v>66</v>
      </c>
      <c r="C32" s="260" t="str">
        <f>Единица_измерения</f>
        <v>тыс. руб.</v>
      </c>
      <c r="D32" s="248">
        <f>Предпосылки!C196</f>
        <v>0</v>
      </c>
      <c r="E32" s="248">
        <f t="shared" ref="E32" si="224">SUM(E29:E31)</f>
        <v>0</v>
      </c>
      <c r="F32" s="248">
        <f t="shared" ref="F32:AG32" si="225">SUM(F29:F31)</f>
        <v>0</v>
      </c>
      <c r="G32" s="248">
        <f t="shared" si="225"/>
        <v>0</v>
      </c>
      <c r="H32" s="248">
        <f t="shared" si="225"/>
        <v>0</v>
      </c>
      <c r="I32" s="248">
        <f t="shared" si="225"/>
        <v>0</v>
      </c>
      <c r="J32" s="248">
        <f t="shared" si="225"/>
        <v>0</v>
      </c>
      <c r="K32" s="248">
        <f t="shared" si="225"/>
        <v>0</v>
      </c>
      <c r="L32" s="248">
        <f t="shared" si="225"/>
        <v>0</v>
      </c>
      <c r="M32" s="248">
        <f t="shared" si="225"/>
        <v>0</v>
      </c>
      <c r="N32" s="248">
        <f t="shared" si="225"/>
        <v>0</v>
      </c>
      <c r="O32" s="248">
        <f t="shared" si="225"/>
        <v>0</v>
      </c>
      <c r="P32" s="248">
        <f t="shared" si="225"/>
        <v>0</v>
      </c>
      <c r="Q32" s="248">
        <f t="shared" si="225"/>
        <v>0</v>
      </c>
      <c r="R32" s="248">
        <f t="shared" si="225"/>
        <v>0</v>
      </c>
      <c r="S32" s="248">
        <f t="shared" si="225"/>
        <v>0</v>
      </c>
      <c r="T32" s="248">
        <f t="shared" si="225"/>
        <v>0</v>
      </c>
      <c r="U32" s="248">
        <f t="shared" si="225"/>
        <v>0</v>
      </c>
      <c r="V32" s="248">
        <f t="shared" si="225"/>
        <v>0</v>
      </c>
      <c r="W32" s="248">
        <f t="shared" si="225"/>
        <v>0</v>
      </c>
      <c r="X32" s="248">
        <f t="shared" si="225"/>
        <v>0</v>
      </c>
      <c r="Y32" s="248">
        <f t="shared" si="225"/>
        <v>0</v>
      </c>
      <c r="Z32" s="248">
        <f t="shared" si="225"/>
        <v>0</v>
      </c>
      <c r="AA32" s="248">
        <f t="shared" si="225"/>
        <v>0</v>
      </c>
      <c r="AB32" s="248">
        <f t="shared" si="225"/>
        <v>0</v>
      </c>
      <c r="AC32" s="248">
        <f t="shared" si="225"/>
        <v>0</v>
      </c>
      <c r="AD32" s="248">
        <f t="shared" si="225"/>
        <v>0</v>
      </c>
      <c r="AE32" s="248">
        <f t="shared" si="225"/>
        <v>0</v>
      </c>
      <c r="AF32" s="248">
        <f t="shared" si="225"/>
        <v>0</v>
      </c>
      <c r="AG32" s="248">
        <f t="shared" si="225"/>
        <v>0</v>
      </c>
      <c r="AH32" s="248">
        <f t="shared" ref="AH32:BM32" si="226">SUM(AH29:AH31)</f>
        <v>0</v>
      </c>
      <c r="AI32" s="248">
        <f t="shared" si="226"/>
        <v>0</v>
      </c>
      <c r="AJ32" s="248">
        <f t="shared" si="226"/>
        <v>0</v>
      </c>
      <c r="AK32" s="248">
        <f t="shared" si="226"/>
        <v>0</v>
      </c>
      <c r="AL32" s="248">
        <f t="shared" si="226"/>
        <v>0</v>
      </c>
      <c r="AM32" s="248">
        <f t="shared" si="226"/>
        <v>0</v>
      </c>
      <c r="AN32" s="248">
        <f t="shared" si="226"/>
        <v>0</v>
      </c>
      <c r="AO32" s="248">
        <f t="shared" si="226"/>
        <v>0</v>
      </c>
      <c r="AP32" s="248">
        <f t="shared" si="226"/>
        <v>0</v>
      </c>
      <c r="AQ32" s="248">
        <f t="shared" si="226"/>
        <v>0</v>
      </c>
      <c r="AR32" s="248">
        <f t="shared" si="226"/>
        <v>0</v>
      </c>
      <c r="AS32" s="248">
        <f t="shared" si="226"/>
        <v>0</v>
      </c>
      <c r="AT32" s="248">
        <f t="shared" si="226"/>
        <v>0</v>
      </c>
      <c r="AU32" s="248">
        <f t="shared" si="226"/>
        <v>0</v>
      </c>
      <c r="AV32" s="248">
        <f t="shared" si="226"/>
        <v>0</v>
      </c>
      <c r="AW32" s="248">
        <f t="shared" si="226"/>
        <v>0</v>
      </c>
      <c r="AX32" s="248">
        <f t="shared" si="226"/>
        <v>0</v>
      </c>
      <c r="AY32" s="248">
        <f t="shared" si="226"/>
        <v>0</v>
      </c>
      <c r="AZ32" s="248">
        <f t="shared" si="226"/>
        <v>0</v>
      </c>
      <c r="BA32" s="248">
        <f t="shared" si="226"/>
        <v>0</v>
      </c>
      <c r="BB32" s="248">
        <f t="shared" si="226"/>
        <v>0</v>
      </c>
      <c r="BC32" s="248">
        <f t="shared" si="226"/>
        <v>0</v>
      </c>
      <c r="BD32" s="248">
        <f t="shared" si="226"/>
        <v>0</v>
      </c>
      <c r="BE32" s="248">
        <f t="shared" si="226"/>
        <v>0</v>
      </c>
      <c r="BF32" s="248">
        <f t="shared" si="226"/>
        <v>0</v>
      </c>
      <c r="BG32" s="248">
        <f t="shared" si="226"/>
        <v>0</v>
      </c>
      <c r="BH32" s="248">
        <f t="shared" si="226"/>
        <v>0</v>
      </c>
      <c r="BI32" s="248">
        <f t="shared" si="226"/>
        <v>0</v>
      </c>
      <c r="BJ32" s="248">
        <f t="shared" si="226"/>
        <v>0</v>
      </c>
      <c r="BK32" s="248">
        <f t="shared" si="226"/>
        <v>0</v>
      </c>
      <c r="BL32" s="248">
        <f t="shared" si="226"/>
        <v>0</v>
      </c>
      <c r="BM32" s="248">
        <f t="shared" si="226"/>
        <v>0</v>
      </c>
    </row>
    <row r="33" spans="2:65" ht="15" customHeight="1">
      <c r="B33" s="37"/>
      <c r="C33" s="37"/>
      <c r="D33" s="37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37"/>
      <c r="AL33" s="37"/>
      <c r="AM33" s="37"/>
      <c r="AN33" s="37"/>
      <c r="AO33" s="37"/>
      <c r="AP33" s="37"/>
      <c r="AQ33" s="37"/>
      <c r="AR33" s="37"/>
      <c r="AS33" s="37"/>
      <c r="AT33" s="37"/>
      <c r="AU33" s="37"/>
      <c r="AV33" s="37"/>
      <c r="AW33" s="37"/>
      <c r="AX33" s="37"/>
      <c r="AY33" s="37"/>
      <c r="AZ33" s="37"/>
      <c r="BA33" s="37"/>
      <c r="BB33" s="37"/>
      <c r="BC33" s="37"/>
      <c r="BD33" s="37"/>
      <c r="BE33" s="37"/>
      <c r="BF33" s="37"/>
      <c r="BG33" s="37"/>
      <c r="BH33" s="37"/>
      <c r="BI33" s="37"/>
      <c r="BJ33" s="37"/>
      <c r="BK33" s="37"/>
      <c r="BL33" s="37"/>
      <c r="BM33" s="37"/>
    </row>
    <row r="34" spans="2:65" ht="15" customHeight="1">
      <c r="B34" s="112" t="s">
        <v>125</v>
      </c>
      <c r="C34" s="113" t="str">
        <f>Единица_измерения</f>
        <v>тыс. руб.</v>
      </c>
      <c r="D34" s="114"/>
      <c r="E34" s="116">
        <f>Предпосылки!$C$195*(E$8-E$7)/IF(MOD(YEAR(E$8),4),365,366)</f>
        <v>0</v>
      </c>
      <c r="F34" s="116">
        <f>Предпосылки!$C$195*(F$8-F$7)/IF(MOD(YEAR(F$8),4),365,366)</f>
        <v>0</v>
      </c>
      <c r="G34" s="116">
        <f>Предпосылки!$C$195*(G$8-G$7)/IF(MOD(YEAR(G$8),4),365,366)</f>
        <v>0</v>
      </c>
      <c r="H34" s="116">
        <f>Предпосылки!$C$195*(H$8-H$7)/IF(MOD(YEAR(H$8),4),365,366)</f>
        <v>0</v>
      </c>
      <c r="I34" s="116">
        <f>Предпосылки!$C$195*(I$8-I$7)/IF(MOD(YEAR(I$8),4),365,366)</f>
        <v>0</v>
      </c>
      <c r="J34" s="116">
        <f>Предпосылки!$C$195*(J$8-J$7)/IF(MOD(YEAR(J$8),4),365,366)</f>
        <v>0</v>
      </c>
      <c r="K34" s="116">
        <f>Предпосылки!$C$195*(K$8-K$7)/IF(MOD(YEAR(K$8),4),365,366)</f>
        <v>0</v>
      </c>
      <c r="L34" s="116">
        <f>Предпосылки!$C$195*(L$8-L$7)/IF(MOD(YEAR(L$8),4),365,366)</f>
        <v>0</v>
      </c>
      <c r="M34" s="116">
        <f>Предпосылки!$C$195*(M$8-M$7)/IF(MOD(YEAR(M$8),4),365,366)</f>
        <v>0</v>
      </c>
      <c r="N34" s="116">
        <f>Предпосылки!$C$195*(N$8-N$7)/IF(MOD(YEAR(N$8),4),365,366)</f>
        <v>0</v>
      </c>
      <c r="O34" s="116">
        <f>Предпосылки!$C$195*(O$8-O$7)/IF(MOD(YEAR(O$8),4),365,366)</f>
        <v>0</v>
      </c>
      <c r="P34" s="116">
        <f>Предпосылки!$C$195*(P$8-P$7)/IF(MOD(YEAR(P$8),4),365,366)</f>
        <v>0</v>
      </c>
      <c r="Q34" s="116">
        <f>Предпосылки!$C$195*(Q$8-Q$7)/IF(MOD(YEAR(Q$8),4),365,366)</f>
        <v>0</v>
      </c>
      <c r="R34" s="116">
        <f>Предпосылки!$C$195*(R$8-R$7)/IF(MOD(YEAR(R$8),4),365,366)</f>
        <v>0</v>
      </c>
      <c r="S34" s="116">
        <f>Предпосылки!$C$195*(S$8-S$7)/IF(MOD(YEAR(S$8),4),365,366)</f>
        <v>0</v>
      </c>
      <c r="T34" s="116">
        <f>Предпосылки!$C$195*(T$8-T$7)/IF(MOD(YEAR(T$8),4),365,366)</f>
        <v>0</v>
      </c>
      <c r="U34" s="116">
        <f>Предпосылки!$C$195*(U$8-U$7)/IF(MOD(YEAR(U$8),4),365,366)</f>
        <v>0</v>
      </c>
      <c r="V34" s="116">
        <f>Предпосылки!$C$195*(V$8-V$7)/IF(MOD(YEAR(V$8),4),365,366)</f>
        <v>0</v>
      </c>
      <c r="W34" s="116">
        <f>Предпосылки!$C$195*(W$8-W$7)/IF(MOD(YEAR(W$8),4),365,366)</f>
        <v>0</v>
      </c>
      <c r="X34" s="116">
        <f>Предпосылки!$C$195*(X$8-X$7)/IF(MOD(YEAR(X$8),4),365,366)</f>
        <v>0</v>
      </c>
      <c r="Y34" s="116">
        <f>Предпосылки!$C$195*(Y$8-Y$7)/IF(MOD(YEAR(Y$8),4),365,366)</f>
        <v>0</v>
      </c>
      <c r="Z34" s="116">
        <f>Предпосылки!$C$195*(Z$8-Z$7)/IF(MOD(YEAR(Z$8),4),365,366)</f>
        <v>0</v>
      </c>
      <c r="AA34" s="116">
        <f>Предпосылки!$C$195*(AA$8-AA$7)/IF(MOD(YEAR(AA$8),4),365,366)</f>
        <v>0</v>
      </c>
      <c r="AB34" s="116">
        <f>Предпосылки!$C$195*(AB$8-AB$7)/IF(MOD(YEAR(AB$8),4),365,366)</f>
        <v>0</v>
      </c>
      <c r="AC34" s="116">
        <f>Предпосылки!$C$195*(AC$8-AC$7)/IF(MOD(YEAR(AC$8),4),365,366)</f>
        <v>0</v>
      </c>
      <c r="AD34" s="116">
        <f>Предпосылки!$C$195*(AD$8-AD$7)/IF(MOD(YEAR(AD$8),4),365,366)</f>
        <v>0</v>
      </c>
      <c r="AE34" s="116">
        <f>Предпосылки!$C$195*(AE$8-AE$7)/IF(MOD(YEAR(AE$8),4),365,366)</f>
        <v>0</v>
      </c>
      <c r="AF34" s="116">
        <f>Предпосылки!$C$195*(AF$8-AF$7)/IF(MOD(YEAR(AF$8),4),365,366)</f>
        <v>0</v>
      </c>
      <c r="AG34" s="116">
        <f>Предпосылки!$C$195*(AG$8-AG$7)/IF(MOD(YEAR(AG$8),4),365,366)</f>
        <v>0</v>
      </c>
      <c r="AH34" s="116">
        <f>Предпосылки!$C$195*(AH$8-AH$7)/IF(MOD(YEAR(AH$8),4),365,366)</f>
        <v>0</v>
      </c>
      <c r="AI34" s="116">
        <f>Предпосылки!$C$195*(AI$8-AI$7)/IF(MOD(YEAR(AI$8),4),365,366)</f>
        <v>0</v>
      </c>
      <c r="AJ34" s="116">
        <f>Предпосылки!$C$195*(AJ$8-AJ$7)/IF(MOD(YEAR(AJ$8),4),365,366)</f>
        <v>0</v>
      </c>
      <c r="AK34" s="116">
        <f>Предпосылки!$C$195*(AK$8-AK$7)/IF(MOD(YEAR(AK$8),4),365,366)</f>
        <v>0</v>
      </c>
      <c r="AL34" s="116">
        <f>Предпосылки!$C$195*(AL$8-AL$7)/IF(MOD(YEAR(AL$8),4),365,366)</f>
        <v>0</v>
      </c>
      <c r="AM34" s="116">
        <f>Предпосылки!$C$195*(AM$8-AM$7)/IF(MOD(YEAR(AM$8),4),365,366)</f>
        <v>0</v>
      </c>
      <c r="AN34" s="116">
        <f>Предпосылки!$C$195*(AN$8-AN$7)/IF(MOD(YEAR(AN$8),4),365,366)</f>
        <v>0</v>
      </c>
      <c r="AO34" s="116">
        <f>Предпосылки!$C$195*(AO$8-AO$7)/IF(MOD(YEAR(AO$8),4),365,366)</f>
        <v>0</v>
      </c>
      <c r="AP34" s="116">
        <f>Предпосылки!$C$195*(AP$8-AP$7)/IF(MOD(YEAR(AP$8),4),365,366)</f>
        <v>0</v>
      </c>
      <c r="AQ34" s="116">
        <f>Предпосылки!$C$195*(AQ$8-AQ$7)/IF(MOD(YEAR(AQ$8),4),365,366)</f>
        <v>0</v>
      </c>
      <c r="AR34" s="116">
        <f>Предпосылки!$C$195*(AR$8-AR$7)/IF(MOD(YEAR(AR$8),4),365,366)</f>
        <v>0</v>
      </c>
      <c r="AS34" s="116">
        <f>Предпосылки!$C$195*(AS$8-AS$7)/IF(MOD(YEAR(AS$8),4),365,366)</f>
        <v>0</v>
      </c>
      <c r="AT34" s="116">
        <f>Предпосылки!$C$195*(AT$8-AT$7)/IF(MOD(YEAR(AT$8),4),365,366)</f>
        <v>0</v>
      </c>
      <c r="AU34" s="116">
        <f>Предпосылки!$C$195*(AU$8-AU$7)/IF(MOD(YEAR(AU$8),4),365,366)</f>
        <v>0</v>
      </c>
      <c r="AV34" s="116">
        <f>Предпосылки!$C$195*(AV$8-AV$7)/IF(MOD(YEAR(AV$8),4),365,366)</f>
        <v>0</v>
      </c>
      <c r="AW34" s="116">
        <f>Предпосылки!$C$195*(AW$8-AW$7)/IF(MOD(YEAR(AW$8),4),365,366)</f>
        <v>0</v>
      </c>
      <c r="AX34" s="116">
        <f>Предпосылки!$C$195*(AX$8-AX$7)/IF(MOD(YEAR(AX$8),4),365,366)</f>
        <v>0</v>
      </c>
      <c r="AY34" s="116">
        <f>Предпосылки!$C$195*(AY$8-AY$7)/IF(MOD(YEAR(AY$8),4),365,366)</f>
        <v>0</v>
      </c>
      <c r="AZ34" s="116">
        <f>Предпосылки!$C$195*(AZ$8-AZ$7)/IF(MOD(YEAR(AZ$8),4),365,366)</f>
        <v>0</v>
      </c>
      <c r="BA34" s="116">
        <f>Предпосылки!$C$195*(BA$8-BA$7)/IF(MOD(YEAR(BA$8),4),365,366)</f>
        <v>0</v>
      </c>
      <c r="BB34" s="116">
        <f>Предпосылки!$C$195*(BB$8-BB$7)/IF(MOD(YEAR(BB$8),4),365,366)</f>
        <v>0</v>
      </c>
      <c r="BC34" s="116">
        <f>Предпосылки!$C$195*(BC$8-BC$7)/IF(MOD(YEAR(BC$8),4),365,366)</f>
        <v>0</v>
      </c>
      <c r="BD34" s="116">
        <f>Предпосылки!$C$195*(BD$8-BD$7)/IF(MOD(YEAR(BD$8),4),365,366)</f>
        <v>0</v>
      </c>
      <c r="BE34" s="116">
        <f>Предпосылки!$C$195*(BE$8-BE$7)/IF(MOD(YEAR(BE$8),4),365,366)</f>
        <v>0</v>
      </c>
      <c r="BF34" s="116">
        <f>Предпосылки!$C$195*(BF$8-BF$7)/IF(MOD(YEAR(BF$8),4),365,366)</f>
        <v>0</v>
      </c>
      <c r="BG34" s="116">
        <f>Предпосылки!$C$195*(BG$8-BG$7)/IF(MOD(YEAR(BG$8),4),365,366)</f>
        <v>0</v>
      </c>
      <c r="BH34" s="116">
        <f>Предпосылки!$C$195*(BH$8-BH$7)/IF(MOD(YEAR(BH$8),4),365,366)</f>
        <v>0</v>
      </c>
      <c r="BI34" s="116">
        <f>Предпосылки!$C$195*(BI$8-BI$7)/IF(MOD(YEAR(BI$8),4),365,366)</f>
        <v>0</v>
      </c>
      <c r="BJ34" s="116">
        <f>Предпосылки!$C$195*(BJ$8-BJ$7)/IF(MOD(YEAR(BJ$8),4),365,366)</f>
        <v>0</v>
      </c>
      <c r="BK34" s="116">
        <f>Предпосылки!$C$195*(BK$8-BK$7)/IF(MOD(YEAR(BK$8),4),365,366)</f>
        <v>0</v>
      </c>
      <c r="BL34" s="116">
        <f>Предпосылки!$C$195*(BL$8-BL$7)/IF(MOD(YEAR(BL$8),4),365,366)</f>
        <v>0</v>
      </c>
      <c r="BM34" s="116">
        <f>Предпосылки!$C$195*(BM$8-BM$7)/IF(MOD(YEAR(BM$8),4),365,366)</f>
        <v>0</v>
      </c>
    </row>
    <row r="35" spans="2:65" ht="15" customHeight="1">
      <c r="B35" s="37"/>
      <c r="C35" s="37"/>
      <c r="D35" s="37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37"/>
      <c r="AJ35" s="37"/>
      <c r="AK35" s="37"/>
      <c r="AL35" s="37"/>
      <c r="AM35" s="37"/>
      <c r="AN35" s="37"/>
      <c r="AO35" s="37"/>
      <c r="AP35" s="37"/>
      <c r="AQ35" s="37"/>
      <c r="AR35" s="37"/>
      <c r="AS35" s="37"/>
      <c r="AT35" s="37"/>
      <c r="AU35" s="37"/>
      <c r="AV35" s="37"/>
      <c r="AW35" s="37"/>
      <c r="AX35" s="37"/>
      <c r="AY35" s="37"/>
      <c r="AZ35" s="37"/>
      <c r="BA35" s="37"/>
      <c r="BB35" s="37"/>
      <c r="BC35" s="37"/>
      <c r="BD35" s="37"/>
      <c r="BE35" s="37"/>
      <c r="BF35" s="37"/>
      <c r="BG35" s="37"/>
      <c r="BH35" s="37"/>
      <c r="BI35" s="37"/>
      <c r="BJ35" s="37"/>
      <c r="BK35" s="37"/>
      <c r="BL35" s="37"/>
      <c r="BM35" s="37"/>
    </row>
    <row r="36" spans="2:65" ht="15" customHeight="1">
      <c r="B36" s="118" t="str">
        <f>"ОСВ: Проценты по "&amp;Предпосылки!C194</f>
        <v xml:space="preserve">ОСВ: Проценты по </v>
      </c>
      <c r="C36" s="37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7"/>
      <c r="AR36" s="37"/>
      <c r="AS36" s="37"/>
      <c r="AT36" s="37"/>
      <c r="AU36" s="37"/>
      <c r="AV36" s="37"/>
      <c r="AW36" s="37"/>
      <c r="AX36" s="37"/>
      <c r="AY36" s="37"/>
      <c r="AZ36" s="37"/>
      <c r="BA36" s="37"/>
      <c r="BB36" s="37"/>
      <c r="BC36" s="37"/>
      <c r="BD36" s="37"/>
      <c r="BE36" s="37"/>
      <c r="BF36" s="37"/>
      <c r="BG36" s="37"/>
      <c r="BH36" s="37"/>
      <c r="BI36" s="37"/>
      <c r="BJ36" s="37"/>
      <c r="BK36" s="37"/>
      <c r="BL36" s="37"/>
      <c r="BM36" s="37"/>
    </row>
    <row r="37" spans="2:65" ht="15" customHeight="1">
      <c r="B37" s="112" t="s">
        <v>65</v>
      </c>
      <c r="C37" s="113" t="str">
        <f>Единица_измерения</f>
        <v>тыс. руб.</v>
      </c>
      <c r="D37" s="114"/>
      <c r="E37" s="114">
        <f t="shared" ref="E37" si="227">D40</f>
        <v>0</v>
      </c>
      <c r="F37" s="114">
        <f t="shared" ref="F37" si="228">E40</f>
        <v>0</v>
      </c>
      <c r="G37" s="114">
        <f t="shared" ref="G37" si="229">F40</f>
        <v>0</v>
      </c>
      <c r="H37" s="114">
        <f t="shared" ref="H37" si="230">G40</f>
        <v>0</v>
      </c>
      <c r="I37" s="114">
        <f t="shared" ref="I37" si="231">H40</f>
        <v>0</v>
      </c>
      <c r="J37" s="114">
        <f t="shared" ref="J37" si="232">I40</f>
        <v>0</v>
      </c>
      <c r="K37" s="114">
        <f t="shared" ref="K37" si="233">J40</f>
        <v>0</v>
      </c>
      <c r="L37" s="114">
        <f t="shared" ref="L37" si="234">K40</f>
        <v>0</v>
      </c>
      <c r="M37" s="114">
        <f t="shared" ref="M37" si="235">L40</f>
        <v>0</v>
      </c>
      <c r="N37" s="114">
        <f t="shared" ref="N37" si="236">M40</f>
        <v>0</v>
      </c>
      <c r="O37" s="114">
        <f t="shared" ref="O37" si="237">N40</f>
        <v>0</v>
      </c>
      <c r="P37" s="114">
        <f t="shared" ref="P37" si="238">O40</f>
        <v>0</v>
      </c>
      <c r="Q37" s="114">
        <f t="shared" ref="Q37" si="239">P40</f>
        <v>0</v>
      </c>
      <c r="R37" s="114">
        <f t="shared" ref="R37" si="240">Q40</f>
        <v>0</v>
      </c>
      <c r="S37" s="114">
        <f t="shared" ref="S37" si="241">R40</f>
        <v>0</v>
      </c>
      <c r="T37" s="114">
        <f t="shared" ref="T37" si="242">S40</f>
        <v>0</v>
      </c>
      <c r="U37" s="114">
        <f t="shared" ref="U37" si="243">T40</f>
        <v>0</v>
      </c>
      <c r="V37" s="114">
        <f t="shared" ref="V37" si="244">U40</f>
        <v>0</v>
      </c>
      <c r="W37" s="114">
        <f t="shared" ref="W37" si="245">V40</f>
        <v>0</v>
      </c>
      <c r="X37" s="114">
        <f t="shared" ref="X37" si="246">W40</f>
        <v>0</v>
      </c>
      <c r="Y37" s="114">
        <f t="shared" ref="Y37" si="247">X40</f>
        <v>0</v>
      </c>
      <c r="Z37" s="114">
        <f t="shared" ref="Z37" si="248">Y40</f>
        <v>0</v>
      </c>
      <c r="AA37" s="114">
        <f t="shared" ref="AA37" si="249">Z40</f>
        <v>0</v>
      </c>
      <c r="AB37" s="114">
        <f t="shared" ref="AB37" si="250">AA40</f>
        <v>0</v>
      </c>
      <c r="AC37" s="114">
        <f t="shared" ref="AC37" si="251">AB40</f>
        <v>0</v>
      </c>
      <c r="AD37" s="114">
        <f t="shared" ref="AD37" si="252">AC40</f>
        <v>0</v>
      </c>
      <c r="AE37" s="114">
        <f t="shared" ref="AE37" si="253">AD40</f>
        <v>0</v>
      </c>
      <c r="AF37" s="114">
        <f t="shared" ref="AF37" si="254">AE40</f>
        <v>0</v>
      </c>
      <c r="AG37" s="114">
        <f t="shared" ref="AG37" si="255">AF40</f>
        <v>0</v>
      </c>
      <c r="AH37" s="114">
        <f t="shared" ref="AH37" si="256">AG40</f>
        <v>0</v>
      </c>
      <c r="AI37" s="114">
        <f t="shared" ref="AI37" si="257">AH40</f>
        <v>0</v>
      </c>
      <c r="AJ37" s="114">
        <f t="shared" ref="AJ37" si="258">AI40</f>
        <v>0</v>
      </c>
      <c r="AK37" s="114">
        <f t="shared" ref="AK37" si="259">AJ40</f>
        <v>0</v>
      </c>
      <c r="AL37" s="114">
        <f t="shared" ref="AL37" si="260">AK40</f>
        <v>0</v>
      </c>
      <c r="AM37" s="114">
        <f t="shared" ref="AM37" si="261">AL40</f>
        <v>0</v>
      </c>
      <c r="AN37" s="114">
        <f t="shared" ref="AN37" si="262">AM40</f>
        <v>0</v>
      </c>
      <c r="AO37" s="114">
        <f t="shared" ref="AO37" si="263">AN40</f>
        <v>0</v>
      </c>
      <c r="AP37" s="114">
        <f t="shared" ref="AP37" si="264">AO40</f>
        <v>0</v>
      </c>
      <c r="AQ37" s="114">
        <f t="shared" ref="AQ37" si="265">AP40</f>
        <v>0</v>
      </c>
      <c r="AR37" s="114">
        <f t="shared" ref="AR37" si="266">AQ40</f>
        <v>0</v>
      </c>
      <c r="AS37" s="114">
        <f t="shared" ref="AS37" si="267">AR40</f>
        <v>0</v>
      </c>
      <c r="AT37" s="114">
        <f t="shared" ref="AT37" si="268">AS40</f>
        <v>0</v>
      </c>
      <c r="AU37" s="114">
        <f t="shared" ref="AU37" si="269">AT40</f>
        <v>0</v>
      </c>
      <c r="AV37" s="114">
        <f t="shared" ref="AV37" si="270">AU40</f>
        <v>0</v>
      </c>
      <c r="AW37" s="114">
        <f t="shared" ref="AW37" si="271">AV40</f>
        <v>0</v>
      </c>
      <c r="AX37" s="114">
        <f t="shared" ref="AX37" si="272">AW40</f>
        <v>0</v>
      </c>
      <c r="AY37" s="114">
        <f t="shared" ref="AY37" si="273">AX40</f>
        <v>0</v>
      </c>
      <c r="AZ37" s="114">
        <f t="shared" ref="AZ37" si="274">AY40</f>
        <v>0</v>
      </c>
      <c r="BA37" s="114">
        <f t="shared" ref="BA37" si="275">AZ40</f>
        <v>0</v>
      </c>
      <c r="BB37" s="114">
        <f t="shared" ref="BB37" si="276">BA40</f>
        <v>0</v>
      </c>
      <c r="BC37" s="114">
        <f t="shared" ref="BC37" si="277">BB40</f>
        <v>0</v>
      </c>
      <c r="BD37" s="114">
        <f t="shared" ref="BD37" si="278">BC40</f>
        <v>0</v>
      </c>
      <c r="BE37" s="114">
        <f t="shared" ref="BE37" si="279">BD40</f>
        <v>0</v>
      </c>
      <c r="BF37" s="114">
        <f t="shared" ref="BF37" si="280">BE40</f>
        <v>0</v>
      </c>
      <c r="BG37" s="114">
        <f t="shared" ref="BG37" si="281">BF40</f>
        <v>0</v>
      </c>
      <c r="BH37" s="114">
        <f t="shared" ref="BH37" si="282">BG40</f>
        <v>0</v>
      </c>
      <c r="BI37" s="114">
        <f t="shared" ref="BI37" si="283">BH40</f>
        <v>0</v>
      </c>
      <c r="BJ37" s="114">
        <f t="shared" ref="BJ37" si="284">BI40</f>
        <v>0</v>
      </c>
      <c r="BK37" s="114">
        <f t="shared" ref="BK37" si="285">BJ40</f>
        <v>0</v>
      </c>
      <c r="BL37" s="114">
        <f t="shared" ref="BL37" si="286">BK40</f>
        <v>0</v>
      </c>
      <c r="BM37" s="114">
        <f t="shared" ref="BM37" si="287">BL40</f>
        <v>0</v>
      </c>
    </row>
    <row r="38" spans="2:65" ht="15" customHeight="1">
      <c r="B38" s="112" t="s">
        <v>117</v>
      </c>
      <c r="C38" s="113" t="str">
        <f>Единица_измерения</f>
        <v>тыс. руб.</v>
      </c>
      <c r="D38" s="114"/>
      <c r="E38" s="114">
        <f t="shared" ref="E38" si="288">E29*E34</f>
        <v>0</v>
      </c>
      <c r="F38" s="114">
        <f t="shared" ref="F38:AG38" si="289">F29*F34</f>
        <v>0</v>
      </c>
      <c r="G38" s="114">
        <f t="shared" si="289"/>
        <v>0</v>
      </c>
      <c r="H38" s="114">
        <f t="shared" si="289"/>
        <v>0</v>
      </c>
      <c r="I38" s="114">
        <f t="shared" si="289"/>
        <v>0</v>
      </c>
      <c r="J38" s="114">
        <f t="shared" si="289"/>
        <v>0</v>
      </c>
      <c r="K38" s="114">
        <f t="shared" si="289"/>
        <v>0</v>
      </c>
      <c r="L38" s="114">
        <f t="shared" si="289"/>
        <v>0</v>
      </c>
      <c r="M38" s="114">
        <f t="shared" si="289"/>
        <v>0</v>
      </c>
      <c r="N38" s="114">
        <f t="shared" si="289"/>
        <v>0</v>
      </c>
      <c r="O38" s="114">
        <f t="shared" si="289"/>
        <v>0</v>
      </c>
      <c r="P38" s="114">
        <f t="shared" si="289"/>
        <v>0</v>
      </c>
      <c r="Q38" s="114">
        <f t="shared" si="289"/>
        <v>0</v>
      </c>
      <c r="R38" s="114">
        <f t="shared" si="289"/>
        <v>0</v>
      </c>
      <c r="S38" s="114">
        <f t="shared" si="289"/>
        <v>0</v>
      </c>
      <c r="T38" s="114">
        <f t="shared" si="289"/>
        <v>0</v>
      </c>
      <c r="U38" s="114">
        <f t="shared" si="289"/>
        <v>0</v>
      </c>
      <c r="V38" s="114">
        <f t="shared" si="289"/>
        <v>0</v>
      </c>
      <c r="W38" s="114">
        <f t="shared" si="289"/>
        <v>0</v>
      </c>
      <c r="X38" s="114">
        <f t="shared" si="289"/>
        <v>0</v>
      </c>
      <c r="Y38" s="114">
        <f t="shared" si="289"/>
        <v>0</v>
      </c>
      <c r="Z38" s="114">
        <f t="shared" si="289"/>
        <v>0</v>
      </c>
      <c r="AA38" s="114">
        <f t="shared" si="289"/>
        <v>0</v>
      </c>
      <c r="AB38" s="114">
        <f t="shared" si="289"/>
        <v>0</v>
      </c>
      <c r="AC38" s="114">
        <f t="shared" si="289"/>
        <v>0</v>
      </c>
      <c r="AD38" s="114">
        <f t="shared" si="289"/>
        <v>0</v>
      </c>
      <c r="AE38" s="114">
        <f t="shared" si="289"/>
        <v>0</v>
      </c>
      <c r="AF38" s="114">
        <f t="shared" si="289"/>
        <v>0</v>
      </c>
      <c r="AG38" s="114">
        <f t="shared" si="289"/>
        <v>0</v>
      </c>
      <c r="AH38" s="114">
        <f t="shared" ref="AH38:BM38" si="290">AH29*AH34</f>
        <v>0</v>
      </c>
      <c r="AI38" s="114">
        <f t="shared" si="290"/>
        <v>0</v>
      </c>
      <c r="AJ38" s="114">
        <f t="shared" si="290"/>
        <v>0</v>
      </c>
      <c r="AK38" s="114">
        <f t="shared" si="290"/>
        <v>0</v>
      </c>
      <c r="AL38" s="114">
        <f t="shared" si="290"/>
        <v>0</v>
      </c>
      <c r="AM38" s="114">
        <f t="shared" si="290"/>
        <v>0</v>
      </c>
      <c r="AN38" s="114">
        <f t="shared" si="290"/>
        <v>0</v>
      </c>
      <c r="AO38" s="114">
        <f t="shared" si="290"/>
        <v>0</v>
      </c>
      <c r="AP38" s="114">
        <f t="shared" si="290"/>
        <v>0</v>
      </c>
      <c r="AQ38" s="114">
        <f t="shared" si="290"/>
        <v>0</v>
      </c>
      <c r="AR38" s="114">
        <f t="shared" si="290"/>
        <v>0</v>
      </c>
      <c r="AS38" s="114">
        <f t="shared" si="290"/>
        <v>0</v>
      </c>
      <c r="AT38" s="114">
        <f t="shared" si="290"/>
        <v>0</v>
      </c>
      <c r="AU38" s="114">
        <f t="shared" si="290"/>
        <v>0</v>
      </c>
      <c r="AV38" s="114">
        <f t="shared" si="290"/>
        <v>0</v>
      </c>
      <c r="AW38" s="114">
        <f t="shared" si="290"/>
        <v>0</v>
      </c>
      <c r="AX38" s="114">
        <f t="shared" si="290"/>
        <v>0</v>
      </c>
      <c r="AY38" s="114">
        <f t="shared" si="290"/>
        <v>0</v>
      </c>
      <c r="AZ38" s="114">
        <f t="shared" si="290"/>
        <v>0</v>
      </c>
      <c r="BA38" s="114">
        <f t="shared" si="290"/>
        <v>0</v>
      </c>
      <c r="BB38" s="114">
        <f t="shared" si="290"/>
        <v>0</v>
      </c>
      <c r="BC38" s="114">
        <f t="shared" si="290"/>
        <v>0</v>
      </c>
      <c r="BD38" s="114">
        <f t="shared" si="290"/>
        <v>0</v>
      </c>
      <c r="BE38" s="114">
        <f t="shared" si="290"/>
        <v>0</v>
      </c>
      <c r="BF38" s="114">
        <f t="shared" si="290"/>
        <v>0</v>
      </c>
      <c r="BG38" s="114">
        <f t="shared" si="290"/>
        <v>0</v>
      </c>
      <c r="BH38" s="114">
        <f t="shared" si="290"/>
        <v>0</v>
      </c>
      <c r="BI38" s="114">
        <f t="shared" si="290"/>
        <v>0</v>
      </c>
      <c r="BJ38" s="114">
        <f t="shared" si="290"/>
        <v>0</v>
      </c>
      <c r="BK38" s="114">
        <f t="shared" si="290"/>
        <v>0</v>
      </c>
      <c r="BL38" s="114">
        <f t="shared" si="290"/>
        <v>0</v>
      </c>
      <c r="BM38" s="114">
        <f t="shared" si="290"/>
        <v>0</v>
      </c>
    </row>
    <row r="39" spans="2:65" ht="15" customHeight="1">
      <c r="B39" s="112" t="s">
        <v>138</v>
      </c>
      <c r="C39" s="113" t="str">
        <f>Единица_измерения</f>
        <v>тыс. руб.</v>
      </c>
      <c r="D39" s="114"/>
      <c r="E39" s="114">
        <f t="shared" ref="E39" si="291">-E38</f>
        <v>0</v>
      </c>
      <c r="F39" s="114">
        <f t="shared" ref="F39:AG39" si="292">-F38</f>
        <v>0</v>
      </c>
      <c r="G39" s="114">
        <f t="shared" si="292"/>
        <v>0</v>
      </c>
      <c r="H39" s="114">
        <f t="shared" si="292"/>
        <v>0</v>
      </c>
      <c r="I39" s="114">
        <f t="shared" si="292"/>
        <v>0</v>
      </c>
      <c r="J39" s="114">
        <f t="shared" si="292"/>
        <v>0</v>
      </c>
      <c r="K39" s="114">
        <f t="shared" si="292"/>
        <v>0</v>
      </c>
      <c r="L39" s="114">
        <f t="shared" si="292"/>
        <v>0</v>
      </c>
      <c r="M39" s="114">
        <f t="shared" si="292"/>
        <v>0</v>
      </c>
      <c r="N39" s="114">
        <f t="shared" si="292"/>
        <v>0</v>
      </c>
      <c r="O39" s="114">
        <f t="shared" si="292"/>
        <v>0</v>
      </c>
      <c r="P39" s="114">
        <f t="shared" si="292"/>
        <v>0</v>
      </c>
      <c r="Q39" s="114">
        <f t="shared" si="292"/>
        <v>0</v>
      </c>
      <c r="R39" s="114">
        <f t="shared" si="292"/>
        <v>0</v>
      </c>
      <c r="S39" s="114">
        <f t="shared" si="292"/>
        <v>0</v>
      </c>
      <c r="T39" s="114">
        <f t="shared" si="292"/>
        <v>0</v>
      </c>
      <c r="U39" s="114">
        <f t="shared" si="292"/>
        <v>0</v>
      </c>
      <c r="V39" s="114">
        <f t="shared" si="292"/>
        <v>0</v>
      </c>
      <c r="W39" s="114">
        <f t="shared" si="292"/>
        <v>0</v>
      </c>
      <c r="X39" s="114">
        <f t="shared" si="292"/>
        <v>0</v>
      </c>
      <c r="Y39" s="114">
        <f t="shared" si="292"/>
        <v>0</v>
      </c>
      <c r="Z39" s="114">
        <f t="shared" si="292"/>
        <v>0</v>
      </c>
      <c r="AA39" s="114">
        <f t="shared" si="292"/>
        <v>0</v>
      </c>
      <c r="AB39" s="114">
        <f t="shared" si="292"/>
        <v>0</v>
      </c>
      <c r="AC39" s="114">
        <f t="shared" si="292"/>
        <v>0</v>
      </c>
      <c r="AD39" s="114">
        <f t="shared" si="292"/>
        <v>0</v>
      </c>
      <c r="AE39" s="114">
        <f t="shared" si="292"/>
        <v>0</v>
      </c>
      <c r="AF39" s="114">
        <f t="shared" si="292"/>
        <v>0</v>
      </c>
      <c r="AG39" s="114">
        <f t="shared" si="292"/>
        <v>0</v>
      </c>
      <c r="AH39" s="114">
        <f t="shared" ref="AH39:BM39" si="293">-AH38</f>
        <v>0</v>
      </c>
      <c r="AI39" s="114">
        <f t="shared" si="293"/>
        <v>0</v>
      </c>
      <c r="AJ39" s="114">
        <f t="shared" si="293"/>
        <v>0</v>
      </c>
      <c r="AK39" s="114">
        <f t="shared" si="293"/>
        <v>0</v>
      </c>
      <c r="AL39" s="114">
        <f t="shared" si="293"/>
        <v>0</v>
      </c>
      <c r="AM39" s="114">
        <f t="shared" si="293"/>
        <v>0</v>
      </c>
      <c r="AN39" s="114">
        <f t="shared" si="293"/>
        <v>0</v>
      </c>
      <c r="AO39" s="114">
        <f t="shared" si="293"/>
        <v>0</v>
      </c>
      <c r="AP39" s="114">
        <f t="shared" si="293"/>
        <v>0</v>
      </c>
      <c r="AQ39" s="114">
        <f t="shared" si="293"/>
        <v>0</v>
      </c>
      <c r="AR39" s="114">
        <f t="shared" si="293"/>
        <v>0</v>
      </c>
      <c r="AS39" s="114">
        <f t="shared" si="293"/>
        <v>0</v>
      </c>
      <c r="AT39" s="114">
        <f t="shared" si="293"/>
        <v>0</v>
      </c>
      <c r="AU39" s="114">
        <f t="shared" si="293"/>
        <v>0</v>
      </c>
      <c r="AV39" s="114">
        <f t="shared" si="293"/>
        <v>0</v>
      </c>
      <c r="AW39" s="114">
        <f t="shared" si="293"/>
        <v>0</v>
      </c>
      <c r="AX39" s="114">
        <f t="shared" si="293"/>
        <v>0</v>
      </c>
      <c r="AY39" s="114">
        <f t="shared" si="293"/>
        <v>0</v>
      </c>
      <c r="AZ39" s="114">
        <f t="shared" si="293"/>
        <v>0</v>
      </c>
      <c r="BA39" s="114">
        <f t="shared" si="293"/>
        <v>0</v>
      </c>
      <c r="BB39" s="114">
        <f t="shared" si="293"/>
        <v>0</v>
      </c>
      <c r="BC39" s="114">
        <f t="shared" si="293"/>
        <v>0</v>
      </c>
      <c r="BD39" s="114">
        <f t="shared" si="293"/>
        <v>0</v>
      </c>
      <c r="BE39" s="114">
        <f t="shared" si="293"/>
        <v>0</v>
      </c>
      <c r="BF39" s="114">
        <f t="shared" si="293"/>
        <v>0</v>
      </c>
      <c r="BG39" s="114">
        <f t="shared" si="293"/>
        <v>0</v>
      </c>
      <c r="BH39" s="114">
        <f t="shared" si="293"/>
        <v>0</v>
      </c>
      <c r="BI39" s="114">
        <f t="shared" si="293"/>
        <v>0</v>
      </c>
      <c r="BJ39" s="114">
        <f t="shared" si="293"/>
        <v>0</v>
      </c>
      <c r="BK39" s="114">
        <f t="shared" si="293"/>
        <v>0</v>
      </c>
      <c r="BL39" s="114">
        <f t="shared" si="293"/>
        <v>0</v>
      </c>
      <c r="BM39" s="114">
        <f t="shared" si="293"/>
        <v>0</v>
      </c>
    </row>
    <row r="40" spans="2:65" ht="15" customHeight="1">
      <c r="B40" s="259" t="s">
        <v>66</v>
      </c>
      <c r="C40" s="260" t="str">
        <f>Единица_измерения</f>
        <v>тыс. руб.</v>
      </c>
      <c r="D40" s="248"/>
      <c r="E40" s="248">
        <f t="shared" ref="E40" si="294">SUM(E37:E39)</f>
        <v>0</v>
      </c>
      <c r="F40" s="248">
        <f t="shared" ref="F40:AG40" si="295">SUM(F37:F39)</f>
        <v>0</v>
      </c>
      <c r="G40" s="248">
        <f t="shared" si="295"/>
        <v>0</v>
      </c>
      <c r="H40" s="248">
        <f t="shared" si="295"/>
        <v>0</v>
      </c>
      <c r="I40" s="248">
        <f t="shared" si="295"/>
        <v>0</v>
      </c>
      <c r="J40" s="248">
        <f t="shared" si="295"/>
        <v>0</v>
      </c>
      <c r="K40" s="248">
        <f t="shared" si="295"/>
        <v>0</v>
      </c>
      <c r="L40" s="248">
        <f t="shared" si="295"/>
        <v>0</v>
      </c>
      <c r="M40" s="248">
        <f t="shared" si="295"/>
        <v>0</v>
      </c>
      <c r="N40" s="248">
        <f t="shared" si="295"/>
        <v>0</v>
      </c>
      <c r="O40" s="248">
        <f t="shared" si="295"/>
        <v>0</v>
      </c>
      <c r="P40" s="248">
        <f t="shared" si="295"/>
        <v>0</v>
      </c>
      <c r="Q40" s="248">
        <f t="shared" si="295"/>
        <v>0</v>
      </c>
      <c r="R40" s="248">
        <f t="shared" si="295"/>
        <v>0</v>
      </c>
      <c r="S40" s="248">
        <f t="shared" si="295"/>
        <v>0</v>
      </c>
      <c r="T40" s="248">
        <f t="shared" si="295"/>
        <v>0</v>
      </c>
      <c r="U40" s="248">
        <f t="shared" si="295"/>
        <v>0</v>
      </c>
      <c r="V40" s="248">
        <f t="shared" si="295"/>
        <v>0</v>
      </c>
      <c r="W40" s="248">
        <f t="shared" si="295"/>
        <v>0</v>
      </c>
      <c r="X40" s="248">
        <f t="shared" si="295"/>
        <v>0</v>
      </c>
      <c r="Y40" s="248">
        <f t="shared" si="295"/>
        <v>0</v>
      </c>
      <c r="Z40" s="248">
        <f t="shared" si="295"/>
        <v>0</v>
      </c>
      <c r="AA40" s="248">
        <f t="shared" si="295"/>
        <v>0</v>
      </c>
      <c r="AB40" s="248">
        <f t="shared" si="295"/>
        <v>0</v>
      </c>
      <c r="AC40" s="248">
        <f t="shared" si="295"/>
        <v>0</v>
      </c>
      <c r="AD40" s="248">
        <f t="shared" si="295"/>
        <v>0</v>
      </c>
      <c r="AE40" s="248">
        <f t="shared" si="295"/>
        <v>0</v>
      </c>
      <c r="AF40" s="248">
        <f t="shared" si="295"/>
        <v>0</v>
      </c>
      <c r="AG40" s="248">
        <f t="shared" si="295"/>
        <v>0</v>
      </c>
      <c r="AH40" s="248">
        <f t="shared" ref="AH40:BM40" si="296">SUM(AH37:AH39)</f>
        <v>0</v>
      </c>
      <c r="AI40" s="248">
        <f t="shared" si="296"/>
        <v>0</v>
      </c>
      <c r="AJ40" s="248">
        <f t="shared" si="296"/>
        <v>0</v>
      </c>
      <c r="AK40" s="248">
        <f t="shared" si="296"/>
        <v>0</v>
      </c>
      <c r="AL40" s="248">
        <f t="shared" si="296"/>
        <v>0</v>
      </c>
      <c r="AM40" s="248">
        <f t="shared" si="296"/>
        <v>0</v>
      </c>
      <c r="AN40" s="248">
        <f t="shared" si="296"/>
        <v>0</v>
      </c>
      <c r="AO40" s="248">
        <f t="shared" si="296"/>
        <v>0</v>
      </c>
      <c r="AP40" s="248">
        <f t="shared" si="296"/>
        <v>0</v>
      </c>
      <c r="AQ40" s="248">
        <f t="shared" si="296"/>
        <v>0</v>
      </c>
      <c r="AR40" s="248">
        <f t="shared" si="296"/>
        <v>0</v>
      </c>
      <c r="AS40" s="248">
        <f t="shared" si="296"/>
        <v>0</v>
      </c>
      <c r="AT40" s="248">
        <f t="shared" si="296"/>
        <v>0</v>
      </c>
      <c r="AU40" s="248">
        <f t="shared" si="296"/>
        <v>0</v>
      </c>
      <c r="AV40" s="248">
        <f t="shared" si="296"/>
        <v>0</v>
      </c>
      <c r="AW40" s="248">
        <f t="shared" si="296"/>
        <v>0</v>
      </c>
      <c r="AX40" s="248">
        <f t="shared" si="296"/>
        <v>0</v>
      </c>
      <c r="AY40" s="248">
        <f t="shared" si="296"/>
        <v>0</v>
      </c>
      <c r="AZ40" s="248">
        <f t="shared" si="296"/>
        <v>0</v>
      </c>
      <c r="BA40" s="248">
        <f t="shared" si="296"/>
        <v>0</v>
      </c>
      <c r="BB40" s="248">
        <f t="shared" si="296"/>
        <v>0</v>
      </c>
      <c r="BC40" s="248">
        <f t="shared" si="296"/>
        <v>0</v>
      </c>
      <c r="BD40" s="248">
        <f t="shared" si="296"/>
        <v>0</v>
      </c>
      <c r="BE40" s="248">
        <f t="shared" si="296"/>
        <v>0</v>
      </c>
      <c r="BF40" s="248">
        <f t="shared" si="296"/>
        <v>0</v>
      </c>
      <c r="BG40" s="248">
        <f t="shared" si="296"/>
        <v>0</v>
      </c>
      <c r="BH40" s="248">
        <f t="shared" si="296"/>
        <v>0</v>
      </c>
      <c r="BI40" s="248">
        <f t="shared" si="296"/>
        <v>0</v>
      </c>
      <c r="BJ40" s="248">
        <f t="shared" si="296"/>
        <v>0</v>
      </c>
      <c r="BK40" s="248">
        <f t="shared" si="296"/>
        <v>0</v>
      </c>
      <c r="BL40" s="248">
        <f t="shared" si="296"/>
        <v>0</v>
      </c>
      <c r="BM40" s="248">
        <f t="shared" si="296"/>
        <v>0</v>
      </c>
    </row>
    <row r="41" spans="2:65" ht="15" customHeight="1">
      <c r="B41" s="37"/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7"/>
      <c r="Z41" s="37"/>
      <c r="AA41" s="37"/>
      <c r="AB41" s="37"/>
      <c r="AC41" s="37"/>
      <c r="AD41" s="37"/>
      <c r="AE41" s="37"/>
      <c r="AF41" s="37"/>
      <c r="AG41" s="37"/>
      <c r="AH41" s="37"/>
      <c r="AI41" s="37"/>
      <c r="AJ41" s="37"/>
      <c r="AK41" s="37"/>
      <c r="AL41" s="37"/>
      <c r="AM41" s="37"/>
      <c r="AN41" s="37"/>
      <c r="AO41" s="37"/>
      <c r="AP41" s="37"/>
      <c r="AQ41" s="37"/>
      <c r="AR41" s="37"/>
      <c r="AS41" s="37"/>
      <c r="AT41" s="37"/>
      <c r="AU41" s="37"/>
      <c r="AV41" s="37"/>
      <c r="AW41" s="37"/>
      <c r="AX41" s="37"/>
      <c r="AY41" s="37"/>
      <c r="AZ41" s="37"/>
      <c r="BA41" s="37"/>
      <c r="BB41" s="37"/>
      <c r="BC41" s="37"/>
      <c r="BD41" s="37"/>
      <c r="BE41" s="37"/>
      <c r="BF41" s="37"/>
      <c r="BG41" s="37"/>
      <c r="BH41" s="37"/>
      <c r="BI41" s="37"/>
      <c r="BJ41" s="37"/>
      <c r="BK41" s="37"/>
      <c r="BL41" s="37"/>
      <c r="BM41" s="37"/>
    </row>
    <row r="42" spans="2:65" ht="21">
      <c r="B42" s="40" t="str">
        <f>IF(ISBLANK(Предпосылки!C209),"Кредитор (займодавец) не указан",Предпосылки!C209)</f>
        <v>Кредитор (займодавец) не указан</v>
      </c>
      <c r="C42" s="37"/>
      <c r="D42" s="37"/>
      <c r="E42" s="37"/>
      <c r="F42" s="37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37"/>
      <c r="U42" s="37"/>
      <c r="V42" s="37"/>
      <c r="W42" s="37"/>
      <c r="X42" s="37"/>
      <c r="Y42" s="37"/>
      <c r="Z42" s="37"/>
      <c r="AA42" s="37"/>
      <c r="AB42" s="37"/>
      <c r="AC42" s="37"/>
      <c r="AD42" s="37"/>
      <c r="AE42" s="37"/>
      <c r="AF42" s="37"/>
      <c r="AG42" s="37"/>
      <c r="AH42" s="37"/>
      <c r="AI42" s="37"/>
      <c r="AJ42" s="37"/>
      <c r="AK42" s="37"/>
      <c r="AL42" s="37"/>
      <c r="AM42" s="37"/>
      <c r="AN42" s="37"/>
      <c r="AO42" s="37"/>
      <c r="AP42" s="37"/>
      <c r="AQ42" s="37"/>
      <c r="AR42" s="37"/>
      <c r="AS42" s="37"/>
      <c r="AT42" s="37"/>
      <c r="AU42" s="37"/>
      <c r="AV42" s="37"/>
      <c r="AW42" s="37"/>
      <c r="AX42" s="37"/>
      <c r="AY42" s="37"/>
      <c r="AZ42" s="37"/>
      <c r="BA42" s="37"/>
      <c r="BB42" s="37"/>
      <c r="BC42" s="37"/>
      <c r="BD42" s="37"/>
      <c r="BE42" s="37"/>
      <c r="BF42" s="37"/>
      <c r="BG42" s="37"/>
      <c r="BH42" s="37"/>
      <c r="BI42" s="37"/>
      <c r="BJ42" s="37"/>
      <c r="BK42" s="37"/>
      <c r="BL42" s="37"/>
      <c r="BM42" s="37"/>
    </row>
    <row r="43" spans="2:65" ht="15" customHeight="1">
      <c r="B43" s="118" t="str">
        <f>"ОСВ: Основной долг - "&amp;Предпосылки!C209</f>
        <v xml:space="preserve">ОСВ: Основной долг - </v>
      </c>
      <c r="C43" s="37"/>
      <c r="D43" s="37"/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37"/>
      <c r="U43" s="37"/>
      <c r="V43" s="37"/>
      <c r="W43" s="37"/>
      <c r="X43" s="37"/>
      <c r="Y43" s="37"/>
      <c r="Z43" s="37"/>
      <c r="AA43" s="37"/>
      <c r="AB43" s="37"/>
      <c r="AC43" s="37"/>
      <c r="AD43" s="37"/>
      <c r="AE43" s="37"/>
      <c r="AF43" s="37"/>
      <c r="AG43" s="37"/>
      <c r="AH43" s="37"/>
      <c r="AI43" s="37"/>
      <c r="AJ43" s="37"/>
      <c r="AK43" s="37"/>
      <c r="AL43" s="37"/>
      <c r="AM43" s="37"/>
      <c r="AN43" s="37"/>
      <c r="AO43" s="37"/>
      <c r="AP43" s="37"/>
      <c r="AQ43" s="37"/>
      <c r="AR43" s="37"/>
      <c r="AS43" s="37"/>
      <c r="AT43" s="37"/>
      <c r="AU43" s="37"/>
      <c r="AV43" s="37"/>
      <c r="AW43" s="37"/>
      <c r="AX43" s="37"/>
      <c r="AY43" s="37"/>
      <c r="AZ43" s="37"/>
      <c r="BA43" s="37"/>
      <c r="BB43" s="37"/>
      <c r="BC43" s="37"/>
      <c r="BD43" s="37"/>
      <c r="BE43" s="37"/>
      <c r="BF43" s="37"/>
      <c r="BG43" s="37"/>
      <c r="BH43" s="37"/>
      <c r="BI43" s="37"/>
      <c r="BJ43" s="37"/>
      <c r="BK43" s="37"/>
      <c r="BL43" s="37"/>
      <c r="BM43" s="37"/>
    </row>
    <row r="44" spans="2:65" ht="15" customHeight="1">
      <c r="B44" s="112" t="s">
        <v>65</v>
      </c>
      <c r="C44" s="113" t="str">
        <f>Единица_измерения</f>
        <v>тыс. руб.</v>
      </c>
      <c r="D44" s="114"/>
      <c r="E44" s="114">
        <f t="shared" ref="E44" si="297">D47</f>
        <v>0</v>
      </c>
      <c r="F44" s="114">
        <f t="shared" ref="F44" si="298">E47</f>
        <v>0</v>
      </c>
      <c r="G44" s="114">
        <f t="shared" ref="G44" si="299">F47</f>
        <v>0</v>
      </c>
      <c r="H44" s="114">
        <f t="shared" ref="H44" si="300">G47</f>
        <v>0</v>
      </c>
      <c r="I44" s="114">
        <f t="shared" ref="I44" si="301">H47</f>
        <v>0</v>
      </c>
      <c r="J44" s="114">
        <f t="shared" ref="J44" si="302">I47</f>
        <v>0</v>
      </c>
      <c r="K44" s="114">
        <f t="shared" ref="K44" si="303">J47</f>
        <v>0</v>
      </c>
      <c r="L44" s="114">
        <f t="shared" ref="L44" si="304">K47</f>
        <v>0</v>
      </c>
      <c r="M44" s="114">
        <f t="shared" ref="M44" si="305">L47</f>
        <v>0</v>
      </c>
      <c r="N44" s="114">
        <f t="shared" ref="N44" si="306">M47</f>
        <v>0</v>
      </c>
      <c r="O44" s="114">
        <f t="shared" ref="O44" si="307">N47</f>
        <v>0</v>
      </c>
      <c r="P44" s="114">
        <f t="shared" ref="P44" si="308">O47</f>
        <v>0</v>
      </c>
      <c r="Q44" s="114">
        <f t="shared" ref="Q44" si="309">P47</f>
        <v>0</v>
      </c>
      <c r="R44" s="114">
        <f t="shared" ref="R44" si="310">Q47</f>
        <v>0</v>
      </c>
      <c r="S44" s="114">
        <f t="shared" ref="S44" si="311">R47</f>
        <v>0</v>
      </c>
      <c r="T44" s="114">
        <f t="shared" ref="T44" si="312">S47</f>
        <v>0</v>
      </c>
      <c r="U44" s="114">
        <f t="shared" ref="U44" si="313">T47</f>
        <v>0</v>
      </c>
      <c r="V44" s="114">
        <f t="shared" ref="V44" si="314">U47</f>
        <v>0</v>
      </c>
      <c r="W44" s="114">
        <f t="shared" ref="W44" si="315">V47</f>
        <v>0</v>
      </c>
      <c r="X44" s="114">
        <f t="shared" ref="X44" si="316">W47</f>
        <v>0</v>
      </c>
      <c r="Y44" s="114">
        <f t="shared" ref="Y44" si="317">X47</f>
        <v>0</v>
      </c>
      <c r="Z44" s="114">
        <f t="shared" ref="Z44" si="318">Y47</f>
        <v>0</v>
      </c>
      <c r="AA44" s="114">
        <f t="shared" ref="AA44" si="319">Z47</f>
        <v>0</v>
      </c>
      <c r="AB44" s="114">
        <f t="shared" ref="AB44" si="320">AA47</f>
        <v>0</v>
      </c>
      <c r="AC44" s="114">
        <f t="shared" ref="AC44" si="321">AB47</f>
        <v>0</v>
      </c>
      <c r="AD44" s="114">
        <f t="shared" ref="AD44" si="322">AC47</f>
        <v>0</v>
      </c>
      <c r="AE44" s="114">
        <f t="shared" ref="AE44" si="323">AD47</f>
        <v>0</v>
      </c>
      <c r="AF44" s="114">
        <f t="shared" ref="AF44" si="324">AE47</f>
        <v>0</v>
      </c>
      <c r="AG44" s="114">
        <f t="shared" ref="AG44" si="325">AF47</f>
        <v>0</v>
      </c>
      <c r="AH44" s="114">
        <f t="shared" ref="AH44" si="326">AG47</f>
        <v>0</v>
      </c>
      <c r="AI44" s="114">
        <f t="shared" ref="AI44" si="327">AH47</f>
        <v>0</v>
      </c>
      <c r="AJ44" s="114">
        <f t="shared" ref="AJ44" si="328">AI47</f>
        <v>0</v>
      </c>
      <c r="AK44" s="114">
        <f t="shared" ref="AK44" si="329">AJ47</f>
        <v>0</v>
      </c>
      <c r="AL44" s="114">
        <f t="shared" ref="AL44" si="330">AK47</f>
        <v>0</v>
      </c>
      <c r="AM44" s="114">
        <f t="shared" ref="AM44" si="331">AL47</f>
        <v>0</v>
      </c>
      <c r="AN44" s="114">
        <f t="shared" ref="AN44" si="332">AM47</f>
        <v>0</v>
      </c>
      <c r="AO44" s="114">
        <f t="shared" ref="AO44" si="333">AN47</f>
        <v>0</v>
      </c>
      <c r="AP44" s="114">
        <f t="shared" ref="AP44" si="334">AO47</f>
        <v>0</v>
      </c>
      <c r="AQ44" s="114">
        <f t="shared" ref="AQ44" si="335">AP47</f>
        <v>0</v>
      </c>
      <c r="AR44" s="114">
        <f t="shared" ref="AR44" si="336">AQ47</f>
        <v>0</v>
      </c>
      <c r="AS44" s="114">
        <f t="shared" ref="AS44" si="337">AR47</f>
        <v>0</v>
      </c>
      <c r="AT44" s="114">
        <f t="shared" ref="AT44" si="338">AS47</f>
        <v>0</v>
      </c>
      <c r="AU44" s="114">
        <f t="shared" ref="AU44" si="339">AT47</f>
        <v>0</v>
      </c>
      <c r="AV44" s="114">
        <f t="shared" ref="AV44" si="340">AU47</f>
        <v>0</v>
      </c>
      <c r="AW44" s="114">
        <f t="shared" ref="AW44" si="341">AV47</f>
        <v>0</v>
      </c>
      <c r="AX44" s="114">
        <f t="shared" ref="AX44" si="342">AW47</f>
        <v>0</v>
      </c>
      <c r="AY44" s="114">
        <f t="shared" ref="AY44" si="343">AX47</f>
        <v>0</v>
      </c>
      <c r="AZ44" s="114">
        <f t="shared" ref="AZ44" si="344">AY47</f>
        <v>0</v>
      </c>
      <c r="BA44" s="114">
        <f t="shared" ref="BA44" si="345">AZ47</f>
        <v>0</v>
      </c>
      <c r="BB44" s="114">
        <f t="shared" ref="BB44" si="346">BA47</f>
        <v>0</v>
      </c>
      <c r="BC44" s="114">
        <f t="shared" ref="BC44" si="347">BB47</f>
        <v>0</v>
      </c>
      <c r="BD44" s="114">
        <f t="shared" ref="BD44" si="348">BC47</f>
        <v>0</v>
      </c>
      <c r="BE44" s="114">
        <f t="shared" ref="BE44" si="349">BD47</f>
        <v>0</v>
      </c>
      <c r="BF44" s="114">
        <f t="shared" ref="BF44" si="350">BE47</f>
        <v>0</v>
      </c>
      <c r="BG44" s="114">
        <f t="shared" ref="BG44" si="351">BF47</f>
        <v>0</v>
      </c>
      <c r="BH44" s="114">
        <f t="shared" ref="BH44" si="352">BG47</f>
        <v>0</v>
      </c>
      <c r="BI44" s="114">
        <f t="shared" ref="BI44" si="353">BH47</f>
        <v>0</v>
      </c>
      <c r="BJ44" s="114">
        <f t="shared" ref="BJ44" si="354">BI47</f>
        <v>0</v>
      </c>
      <c r="BK44" s="114">
        <f t="shared" ref="BK44" si="355">BJ47</f>
        <v>0</v>
      </c>
      <c r="BL44" s="114">
        <f t="shared" ref="BL44" si="356">BK47</f>
        <v>0</v>
      </c>
      <c r="BM44" s="114">
        <f t="shared" ref="BM44" si="357">BL47</f>
        <v>0</v>
      </c>
    </row>
    <row r="45" spans="2:65" ht="15" customHeight="1">
      <c r="B45" s="112" t="s">
        <v>119</v>
      </c>
      <c r="C45" s="113" t="str">
        <f>Единица_измерения</f>
        <v>тыс. руб.</v>
      </c>
      <c r="D45" s="114"/>
      <c r="E45" s="114">
        <f>Предпосылки!D217</f>
        <v>0</v>
      </c>
      <c r="F45" s="114">
        <f>Предпосылки!E217</f>
        <v>0</v>
      </c>
      <c r="G45" s="114">
        <f>Предпосылки!F217</f>
        <v>0</v>
      </c>
      <c r="H45" s="114">
        <f>Предпосылки!G217</f>
        <v>0</v>
      </c>
      <c r="I45" s="114">
        <f>Предпосылки!H217</f>
        <v>0</v>
      </c>
      <c r="J45" s="114">
        <f>Предпосылки!I217</f>
        <v>0</v>
      </c>
      <c r="K45" s="114">
        <f>Предпосылки!J217</f>
        <v>0</v>
      </c>
      <c r="L45" s="114">
        <f>Предпосылки!K217</f>
        <v>0</v>
      </c>
      <c r="M45" s="114">
        <f>Предпосылки!L217</f>
        <v>0</v>
      </c>
      <c r="N45" s="114">
        <f>Предпосылки!M217</f>
        <v>0</v>
      </c>
      <c r="O45" s="114">
        <f>Предпосылки!N217</f>
        <v>0</v>
      </c>
      <c r="P45" s="114">
        <f>Предпосылки!O217</f>
        <v>0</v>
      </c>
      <c r="Q45" s="114">
        <f>Предпосылки!P217</f>
        <v>0</v>
      </c>
      <c r="R45" s="114">
        <f>Предпосылки!Q217</f>
        <v>0</v>
      </c>
      <c r="S45" s="114">
        <f>Предпосылки!R217</f>
        <v>0</v>
      </c>
      <c r="T45" s="114">
        <f>Предпосылки!S217</f>
        <v>0</v>
      </c>
      <c r="U45" s="114">
        <f>Предпосылки!T217</f>
        <v>0</v>
      </c>
      <c r="V45" s="114">
        <f>Предпосылки!U217</f>
        <v>0</v>
      </c>
      <c r="W45" s="114">
        <f>Предпосылки!V217</f>
        <v>0</v>
      </c>
      <c r="X45" s="114">
        <f>Предпосылки!W217</f>
        <v>0</v>
      </c>
      <c r="Y45" s="114">
        <f>Предпосылки!X217</f>
        <v>0</v>
      </c>
      <c r="Z45" s="114">
        <f>Предпосылки!Y217</f>
        <v>0</v>
      </c>
      <c r="AA45" s="114">
        <f>Предпосылки!Z217</f>
        <v>0</v>
      </c>
      <c r="AB45" s="114">
        <f>Предпосылки!AA217</f>
        <v>0</v>
      </c>
      <c r="AC45" s="114">
        <f>Предпосылки!AB217</f>
        <v>0</v>
      </c>
      <c r="AD45" s="114">
        <f>Предпосылки!AC217</f>
        <v>0</v>
      </c>
      <c r="AE45" s="114">
        <f>Предпосылки!AD217</f>
        <v>0</v>
      </c>
      <c r="AF45" s="114">
        <f>Предпосылки!AE217</f>
        <v>0</v>
      </c>
      <c r="AG45" s="114">
        <f>Предпосылки!AF217</f>
        <v>0</v>
      </c>
      <c r="AH45" s="114">
        <f>Предпосылки!AG217</f>
        <v>0</v>
      </c>
      <c r="AI45" s="114">
        <f>Предпосылки!AH217</f>
        <v>0</v>
      </c>
      <c r="AJ45" s="114">
        <f>Предпосылки!AI217</f>
        <v>0</v>
      </c>
      <c r="AK45" s="114">
        <f>Предпосылки!AJ217</f>
        <v>0</v>
      </c>
      <c r="AL45" s="114">
        <f>Предпосылки!AK217</f>
        <v>0</v>
      </c>
      <c r="AM45" s="114">
        <f>Предпосылки!AL217</f>
        <v>0</v>
      </c>
      <c r="AN45" s="114">
        <f>Предпосылки!AM217</f>
        <v>0</v>
      </c>
      <c r="AO45" s="114">
        <f>Предпосылки!AN217</f>
        <v>0</v>
      </c>
      <c r="AP45" s="114">
        <f>Предпосылки!AO217</f>
        <v>0</v>
      </c>
      <c r="AQ45" s="114">
        <f>Предпосылки!AP217</f>
        <v>0</v>
      </c>
      <c r="AR45" s="114">
        <f>Предпосылки!AQ217</f>
        <v>0</v>
      </c>
      <c r="AS45" s="114">
        <f>Предпосылки!AR217</f>
        <v>0</v>
      </c>
      <c r="AT45" s="114">
        <f>Предпосылки!AS217</f>
        <v>0</v>
      </c>
      <c r="AU45" s="114">
        <f>Предпосылки!AT217</f>
        <v>0</v>
      </c>
      <c r="AV45" s="114">
        <f>Предпосылки!AU217</f>
        <v>0</v>
      </c>
      <c r="AW45" s="114">
        <f>Предпосылки!AV217</f>
        <v>0</v>
      </c>
      <c r="AX45" s="114">
        <f>Предпосылки!AW217</f>
        <v>0</v>
      </c>
      <c r="AY45" s="114">
        <f>Предпосылки!AX217</f>
        <v>0</v>
      </c>
      <c r="AZ45" s="114">
        <f>Предпосылки!AY217</f>
        <v>0</v>
      </c>
      <c r="BA45" s="114">
        <f>Предпосылки!AZ217</f>
        <v>0</v>
      </c>
      <c r="BB45" s="114">
        <f>Предпосылки!BA217</f>
        <v>0</v>
      </c>
      <c r="BC45" s="114">
        <f>Предпосылки!BB217</f>
        <v>0</v>
      </c>
      <c r="BD45" s="114">
        <f>Предпосылки!BC217</f>
        <v>0</v>
      </c>
      <c r="BE45" s="114">
        <f>Предпосылки!BD217</f>
        <v>0</v>
      </c>
      <c r="BF45" s="114">
        <f>Предпосылки!BE217</f>
        <v>0</v>
      </c>
      <c r="BG45" s="114">
        <f>Предпосылки!BF217</f>
        <v>0</v>
      </c>
      <c r="BH45" s="114">
        <f>Предпосылки!BG217</f>
        <v>0</v>
      </c>
      <c r="BI45" s="114">
        <f>Предпосылки!BH217</f>
        <v>0</v>
      </c>
      <c r="BJ45" s="114">
        <f>Предпосылки!BI217</f>
        <v>0</v>
      </c>
      <c r="BK45" s="114">
        <f>Предпосылки!BJ217</f>
        <v>0</v>
      </c>
      <c r="BL45" s="114">
        <f>Предпосылки!BK217</f>
        <v>0</v>
      </c>
      <c r="BM45" s="114">
        <f>Предпосылки!BL217</f>
        <v>0</v>
      </c>
    </row>
    <row r="46" spans="2:65" ht="15" customHeight="1">
      <c r="B46" s="112" t="s">
        <v>118</v>
      </c>
      <c r="C46" s="113" t="str">
        <f>Единица_измерения</f>
        <v>тыс. руб.</v>
      </c>
      <c r="D46" s="114"/>
      <c r="E46" s="114">
        <f>-Предпосылки!D218</f>
        <v>0</v>
      </c>
      <c r="F46" s="114">
        <f>-Предпосылки!E218</f>
        <v>0</v>
      </c>
      <c r="G46" s="114">
        <f>-Предпосылки!F218</f>
        <v>0</v>
      </c>
      <c r="H46" s="114">
        <f>-Предпосылки!G218</f>
        <v>0</v>
      </c>
      <c r="I46" s="114">
        <f>-Предпосылки!H218</f>
        <v>0</v>
      </c>
      <c r="J46" s="114">
        <f>-Предпосылки!I218</f>
        <v>0</v>
      </c>
      <c r="K46" s="114">
        <f>-Предпосылки!J218</f>
        <v>0</v>
      </c>
      <c r="L46" s="114">
        <f>-Предпосылки!K218</f>
        <v>0</v>
      </c>
      <c r="M46" s="114">
        <f>-Предпосылки!L218</f>
        <v>0</v>
      </c>
      <c r="N46" s="114">
        <f>-Предпосылки!M218</f>
        <v>0</v>
      </c>
      <c r="O46" s="114">
        <f>-Предпосылки!N218</f>
        <v>0</v>
      </c>
      <c r="P46" s="114">
        <f>-Предпосылки!O218</f>
        <v>0</v>
      </c>
      <c r="Q46" s="114">
        <f>-Предпосылки!P218</f>
        <v>0</v>
      </c>
      <c r="R46" s="114">
        <f>-Предпосылки!Q218</f>
        <v>0</v>
      </c>
      <c r="S46" s="114">
        <f>-Предпосылки!R218</f>
        <v>0</v>
      </c>
      <c r="T46" s="114">
        <f>-Предпосылки!S218</f>
        <v>0</v>
      </c>
      <c r="U46" s="114">
        <f>-Предпосылки!T218</f>
        <v>0</v>
      </c>
      <c r="V46" s="114">
        <f>-Предпосылки!U218</f>
        <v>0</v>
      </c>
      <c r="W46" s="114">
        <f>-Предпосылки!V218</f>
        <v>0</v>
      </c>
      <c r="X46" s="114">
        <f>-Предпосылки!W218</f>
        <v>0</v>
      </c>
      <c r="Y46" s="114">
        <f>-Предпосылки!X218</f>
        <v>0</v>
      </c>
      <c r="Z46" s="114">
        <f>-Предпосылки!Y218</f>
        <v>0</v>
      </c>
      <c r="AA46" s="114">
        <f>-Предпосылки!Z218</f>
        <v>0</v>
      </c>
      <c r="AB46" s="114">
        <f>-Предпосылки!AA218</f>
        <v>0</v>
      </c>
      <c r="AC46" s="114">
        <f>-Предпосылки!AB218</f>
        <v>0</v>
      </c>
      <c r="AD46" s="114">
        <f>-Предпосылки!AC218</f>
        <v>0</v>
      </c>
      <c r="AE46" s="114">
        <f>-Предпосылки!AD218</f>
        <v>0</v>
      </c>
      <c r="AF46" s="114">
        <f>-Предпосылки!AE218</f>
        <v>0</v>
      </c>
      <c r="AG46" s="114">
        <f>-Предпосылки!AF218</f>
        <v>0</v>
      </c>
      <c r="AH46" s="114">
        <f>-Предпосылки!AG218</f>
        <v>0</v>
      </c>
      <c r="AI46" s="114">
        <f>-Предпосылки!AH218</f>
        <v>0</v>
      </c>
      <c r="AJ46" s="114">
        <f>-Предпосылки!AI218</f>
        <v>0</v>
      </c>
      <c r="AK46" s="114">
        <f>-Предпосылки!AJ218</f>
        <v>0</v>
      </c>
      <c r="AL46" s="114">
        <f>-Предпосылки!AK218</f>
        <v>0</v>
      </c>
      <c r="AM46" s="114">
        <f>-Предпосылки!AL218</f>
        <v>0</v>
      </c>
      <c r="AN46" s="114">
        <f>-Предпосылки!AM218</f>
        <v>0</v>
      </c>
      <c r="AO46" s="114">
        <f>-Предпосылки!AN218</f>
        <v>0</v>
      </c>
      <c r="AP46" s="114">
        <f>-Предпосылки!AO218</f>
        <v>0</v>
      </c>
      <c r="AQ46" s="114">
        <f>-Предпосылки!AP218</f>
        <v>0</v>
      </c>
      <c r="AR46" s="114">
        <f>-Предпосылки!AQ218</f>
        <v>0</v>
      </c>
      <c r="AS46" s="114">
        <f>-Предпосылки!AR218</f>
        <v>0</v>
      </c>
      <c r="AT46" s="114">
        <f>-Предпосылки!AS218</f>
        <v>0</v>
      </c>
      <c r="AU46" s="114">
        <f>-Предпосылки!AT218</f>
        <v>0</v>
      </c>
      <c r="AV46" s="114">
        <f>-Предпосылки!AU218</f>
        <v>0</v>
      </c>
      <c r="AW46" s="114">
        <f>-Предпосылки!AV218</f>
        <v>0</v>
      </c>
      <c r="AX46" s="114">
        <f>-Предпосылки!AW218</f>
        <v>0</v>
      </c>
      <c r="AY46" s="114">
        <f>-Предпосылки!AX218</f>
        <v>0</v>
      </c>
      <c r="AZ46" s="114">
        <f>-Предпосылки!AY218</f>
        <v>0</v>
      </c>
      <c r="BA46" s="114">
        <f>-Предпосылки!AZ218</f>
        <v>0</v>
      </c>
      <c r="BB46" s="114">
        <f>-Предпосылки!BA218</f>
        <v>0</v>
      </c>
      <c r="BC46" s="114">
        <f>-Предпосылки!BB218</f>
        <v>0</v>
      </c>
      <c r="BD46" s="114">
        <f>-Предпосылки!BC218</f>
        <v>0</v>
      </c>
      <c r="BE46" s="114">
        <f>-Предпосылки!BD218</f>
        <v>0</v>
      </c>
      <c r="BF46" s="114">
        <f>-Предпосылки!BE218</f>
        <v>0</v>
      </c>
      <c r="BG46" s="114">
        <f>-Предпосылки!BF218</f>
        <v>0</v>
      </c>
      <c r="BH46" s="114">
        <f>-Предпосылки!BG218</f>
        <v>0</v>
      </c>
      <c r="BI46" s="114">
        <f>-Предпосылки!BH218</f>
        <v>0</v>
      </c>
      <c r="BJ46" s="114">
        <f>-Предпосылки!BI218</f>
        <v>0</v>
      </c>
      <c r="BK46" s="114">
        <f>-Предпосылки!BJ218</f>
        <v>0</v>
      </c>
      <c r="BL46" s="114">
        <f>-Предпосылки!BK218</f>
        <v>0</v>
      </c>
      <c r="BM46" s="114">
        <f>-Предпосылки!BL218</f>
        <v>0</v>
      </c>
    </row>
    <row r="47" spans="2:65" ht="15" customHeight="1">
      <c r="B47" s="259" t="s">
        <v>66</v>
      </c>
      <c r="C47" s="260" t="str">
        <f>Единица_измерения</f>
        <v>тыс. руб.</v>
      </c>
      <c r="D47" s="248">
        <f>Предпосылки!C211</f>
        <v>0</v>
      </c>
      <c r="E47" s="248">
        <f t="shared" ref="E47" si="358">SUM(E44:E46)</f>
        <v>0</v>
      </c>
      <c r="F47" s="248">
        <f t="shared" ref="F47:BM47" si="359">SUM(F44:F46)</f>
        <v>0</v>
      </c>
      <c r="G47" s="248">
        <f t="shared" si="359"/>
        <v>0</v>
      </c>
      <c r="H47" s="248">
        <f t="shared" si="359"/>
        <v>0</v>
      </c>
      <c r="I47" s="248">
        <f t="shared" si="359"/>
        <v>0</v>
      </c>
      <c r="J47" s="248">
        <f t="shared" si="359"/>
        <v>0</v>
      </c>
      <c r="K47" s="248">
        <f t="shared" si="359"/>
        <v>0</v>
      </c>
      <c r="L47" s="248">
        <f t="shared" si="359"/>
        <v>0</v>
      </c>
      <c r="M47" s="248">
        <f t="shared" si="359"/>
        <v>0</v>
      </c>
      <c r="N47" s="248">
        <f t="shared" si="359"/>
        <v>0</v>
      </c>
      <c r="O47" s="248">
        <f t="shared" si="359"/>
        <v>0</v>
      </c>
      <c r="P47" s="248">
        <f t="shared" si="359"/>
        <v>0</v>
      </c>
      <c r="Q47" s="248">
        <f t="shared" si="359"/>
        <v>0</v>
      </c>
      <c r="R47" s="248">
        <f t="shared" si="359"/>
        <v>0</v>
      </c>
      <c r="S47" s="248">
        <f t="shared" si="359"/>
        <v>0</v>
      </c>
      <c r="T47" s="248">
        <f t="shared" si="359"/>
        <v>0</v>
      </c>
      <c r="U47" s="248">
        <f t="shared" si="359"/>
        <v>0</v>
      </c>
      <c r="V47" s="248">
        <f t="shared" si="359"/>
        <v>0</v>
      </c>
      <c r="W47" s="248">
        <f t="shared" si="359"/>
        <v>0</v>
      </c>
      <c r="X47" s="248">
        <f t="shared" si="359"/>
        <v>0</v>
      </c>
      <c r="Y47" s="248">
        <f t="shared" si="359"/>
        <v>0</v>
      </c>
      <c r="Z47" s="248">
        <f t="shared" si="359"/>
        <v>0</v>
      </c>
      <c r="AA47" s="248">
        <f t="shared" si="359"/>
        <v>0</v>
      </c>
      <c r="AB47" s="248">
        <f t="shared" si="359"/>
        <v>0</v>
      </c>
      <c r="AC47" s="248">
        <f t="shared" si="359"/>
        <v>0</v>
      </c>
      <c r="AD47" s="248">
        <f t="shared" si="359"/>
        <v>0</v>
      </c>
      <c r="AE47" s="248">
        <f t="shared" si="359"/>
        <v>0</v>
      </c>
      <c r="AF47" s="248">
        <f t="shared" si="359"/>
        <v>0</v>
      </c>
      <c r="AG47" s="248">
        <f t="shared" si="359"/>
        <v>0</v>
      </c>
      <c r="AH47" s="248">
        <f t="shared" si="359"/>
        <v>0</v>
      </c>
      <c r="AI47" s="248">
        <f t="shared" si="359"/>
        <v>0</v>
      </c>
      <c r="AJ47" s="248">
        <f t="shared" si="359"/>
        <v>0</v>
      </c>
      <c r="AK47" s="248">
        <f t="shared" si="359"/>
        <v>0</v>
      </c>
      <c r="AL47" s="248">
        <f t="shared" si="359"/>
        <v>0</v>
      </c>
      <c r="AM47" s="248">
        <f t="shared" si="359"/>
        <v>0</v>
      </c>
      <c r="AN47" s="248">
        <f t="shared" si="359"/>
        <v>0</v>
      </c>
      <c r="AO47" s="248">
        <f t="shared" si="359"/>
        <v>0</v>
      </c>
      <c r="AP47" s="248">
        <f t="shared" si="359"/>
        <v>0</v>
      </c>
      <c r="AQ47" s="248">
        <f t="shared" si="359"/>
        <v>0</v>
      </c>
      <c r="AR47" s="248">
        <f t="shared" si="359"/>
        <v>0</v>
      </c>
      <c r="AS47" s="248">
        <f t="shared" si="359"/>
        <v>0</v>
      </c>
      <c r="AT47" s="248">
        <f t="shared" si="359"/>
        <v>0</v>
      </c>
      <c r="AU47" s="248">
        <f t="shared" si="359"/>
        <v>0</v>
      </c>
      <c r="AV47" s="248">
        <f t="shared" si="359"/>
        <v>0</v>
      </c>
      <c r="AW47" s="248">
        <f t="shared" si="359"/>
        <v>0</v>
      </c>
      <c r="AX47" s="248">
        <f t="shared" si="359"/>
        <v>0</v>
      </c>
      <c r="AY47" s="248">
        <f t="shared" si="359"/>
        <v>0</v>
      </c>
      <c r="AZ47" s="248">
        <f t="shared" si="359"/>
        <v>0</v>
      </c>
      <c r="BA47" s="248">
        <f t="shared" si="359"/>
        <v>0</v>
      </c>
      <c r="BB47" s="248">
        <f t="shared" si="359"/>
        <v>0</v>
      </c>
      <c r="BC47" s="248">
        <f t="shared" si="359"/>
        <v>0</v>
      </c>
      <c r="BD47" s="248">
        <f t="shared" si="359"/>
        <v>0</v>
      </c>
      <c r="BE47" s="248">
        <f t="shared" si="359"/>
        <v>0</v>
      </c>
      <c r="BF47" s="248">
        <f t="shared" si="359"/>
        <v>0</v>
      </c>
      <c r="BG47" s="248">
        <f t="shared" si="359"/>
        <v>0</v>
      </c>
      <c r="BH47" s="248">
        <f t="shared" si="359"/>
        <v>0</v>
      </c>
      <c r="BI47" s="248">
        <f t="shared" si="359"/>
        <v>0</v>
      </c>
      <c r="BJ47" s="248">
        <f t="shared" si="359"/>
        <v>0</v>
      </c>
      <c r="BK47" s="248">
        <f t="shared" si="359"/>
        <v>0</v>
      </c>
      <c r="BL47" s="248">
        <f t="shared" si="359"/>
        <v>0</v>
      </c>
      <c r="BM47" s="248">
        <f t="shared" si="359"/>
        <v>0</v>
      </c>
    </row>
    <row r="48" spans="2:65" ht="15" customHeight="1">
      <c r="B48" s="37"/>
      <c r="C48" s="37"/>
      <c r="D48" s="37"/>
      <c r="E48" s="37"/>
      <c r="F48" s="37"/>
      <c r="G48" s="37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37"/>
      <c r="T48" s="37"/>
      <c r="U48" s="37"/>
      <c r="V48" s="37"/>
      <c r="W48" s="37"/>
      <c r="X48" s="37"/>
      <c r="Y48" s="37"/>
      <c r="Z48" s="37"/>
      <c r="AA48" s="37"/>
      <c r="AB48" s="37"/>
      <c r="AC48" s="37"/>
      <c r="AD48" s="37"/>
      <c r="AE48" s="37"/>
      <c r="AF48" s="37"/>
      <c r="AG48" s="37"/>
      <c r="AH48" s="37"/>
      <c r="AI48" s="37"/>
      <c r="AJ48" s="37"/>
      <c r="AK48" s="37"/>
      <c r="AL48" s="37"/>
      <c r="AM48" s="37"/>
      <c r="AN48" s="37"/>
      <c r="AO48" s="37"/>
      <c r="AP48" s="37"/>
      <c r="AQ48" s="37"/>
      <c r="AR48" s="37"/>
      <c r="AS48" s="37"/>
      <c r="AT48" s="37"/>
      <c r="AU48" s="37"/>
      <c r="AV48" s="37"/>
      <c r="AW48" s="37"/>
      <c r="AX48" s="37"/>
      <c r="AY48" s="37"/>
      <c r="AZ48" s="37"/>
      <c r="BA48" s="37"/>
      <c r="BB48" s="37"/>
      <c r="BC48" s="37"/>
      <c r="BD48" s="37"/>
      <c r="BE48" s="37"/>
      <c r="BF48" s="37"/>
      <c r="BG48" s="37"/>
      <c r="BH48" s="37"/>
      <c r="BI48" s="37"/>
      <c r="BJ48" s="37"/>
      <c r="BK48" s="37"/>
      <c r="BL48" s="37"/>
      <c r="BM48" s="37"/>
    </row>
    <row r="49" spans="2:71" ht="15" customHeight="1">
      <c r="B49" s="112" t="s">
        <v>125</v>
      </c>
      <c r="C49" s="113" t="str">
        <f>Единица_измерения</f>
        <v>тыс. руб.</v>
      </c>
      <c r="D49" s="114"/>
      <c r="E49" s="116">
        <f>Предпосылки!$C$210*(E$8-E$7)/IF(MOD(YEAR(E$8),4),365,366)</f>
        <v>0</v>
      </c>
      <c r="F49" s="116">
        <f>Предпосылки!$C$210*(F$8-F$7)/IF(MOD(YEAR(F$8),4),365,366)</f>
        <v>0</v>
      </c>
      <c r="G49" s="116">
        <f>Предпосылки!$C$210*(G$8-G$7)/IF(MOD(YEAR(G$8),4),365,366)</f>
        <v>0</v>
      </c>
      <c r="H49" s="116">
        <f>Предпосылки!$C$210*(H$8-H$7)/IF(MOD(YEAR(H$8),4),365,366)</f>
        <v>0</v>
      </c>
      <c r="I49" s="116">
        <f>Предпосылки!$C$210*(I$8-I$7)/IF(MOD(YEAR(I$8),4),365,366)</f>
        <v>0</v>
      </c>
      <c r="J49" s="116">
        <f>Предпосылки!$C$210*(J$8-J$7)/IF(MOD(YEAR(J$8),4),365,366)</f>
        <v>0</v>
      </c>
      <c r="K49" s="116">
        <f>Предпосылки!$C$210*(K$8-K$7)/IF(MOD(YEAR(K$8),4),365,366)</f>
        <v>0</v>
      </c>
      <c r="L49" s="116">
        <f>Предпосылки!$C$210*(L$8-L$7)/IF(MOD(YEAR(L$8),4),365,366)</f>
        <v>0</v>
      </c>
      <c r="M49" s="116">
        <f>Предпосылки!$C$210*(M$8-M$7)/IF(MOD(YEAR(M$8),4),365,366)</f>
        <v>0</v>
      </c>
      <c r="N49" s="116">
        <f>Предпосылки!$C$210*(N$8-N$7)/IF(MOD(YEAR(N$8),4),365,366)</f>
        <v>0</v>
      </c>
      <c r="O49" s="116">
        <f>Предпосылки!$C$210*(O$8-O$7)/IF(MOD(YEAR(O$8),4),365,366)</f>
        <v>0</v>
      </c>
      <c r="P49" s="116">
        <f>Предпосылки!$C$210*(P$8-P$7)/IF(MOD(YEAR(P$8),4),365,366)</f>
        <v>0</v>
      </c>
      <c r="Q49" s="116">
        <f>Предпосылки!$C$210*(Q$8-Q$7)/IF(MOD(YEAR(Q$8),4),365,366)</f>
        <v>0</v>
      </c>
      <c r="R49" s="116">
        <f>Предпосылки!$C$210*(R$8-R$7)/IF(MOD(YEAR(R$8),4),365,366)</f>
        <v>0</v>
      </c>
      <c r="S49" s="116">
        <f>Предпосылки!$C$210*(S$8-S$7)/IF(MOD(YEAR(S$8),4),365,366)</f>
        <v>0</v>
      </c>
      <c r="T49" s="116">
        <f>Предпосылки!$C$210*(T$8-T$7)/IF(MOD(YEAR(T$8),4),365,366)</f>
        <v>0</v>
      </c>
      <c r="U49" s="116">
        <f>Предпосылки!$C$210*(U$8-U$7)/IF(MOD(YEAR(U$8),4),365,366)</f>
        <v>0</v>
      </c>
      <c r="V49" s="116">
        <f>Предпосылки!$C$210*(V$8-V$7)/IF(MOD(YEAR(V$8),4),365,366)</f>
        <v>0</v>
      </c>
      <c r="W49" s="116">
        <f>Предпосылки!$C$210*(W$8-W$7)/IF(MOD(YEAR(W$8),4),365,366)</f>
        <v>0</v>
      </c>
      <c r="X49" s="116">
        <f>Предпосылки!$C$210*(X$8-X$7)/IF(MOD(YEAR(X$8),4),365,366)</f>
        <v>0</v>
      </c>
      <c r="Y49" s="116">
        <f>Предпосылки!$C$210*(Y$8-Y$7)/IF(MOD(YEAR(Y$8),4),365,366)</f>
        <v>0</v>
      </c>
      <c r="Z49" s="116">
        <f>Предпосылки!$C$210*(Z$8-Z$7)/IF(MOD(YEAR(Z$8),4),365,366)</f>
        <v>0</v>
      </c>
      <c r="AA49" s="116">
        <f>Предпосылки!$C$210*(AA$8-AA$7)/IF(MOD(YEAR(AA$8),4),365,366)</f>
        <v>0</v>
      </c>
      <c r="AB49" s="116">
        <f>Предпосылки!$C$210*(AB$8-AB$7)/IF(MOD(YEAR(AB$8),4),365,366)</f>
        <v>0</v>
      </c>
      <c r="AC49" s="116">
        <f>Предпосылки!$C$210*(AC$8-AC$7)/IF(MOD(YEAR(AC$8),4),365,366)</f>
        <v>0</v>
      </c>
      <c r="AD49" s="116">
        <f>Предпосылки!$C$210*(AD$8-AD$7)/IF(MOD(YEAR(AD$8),4),365,366)</f>
        <v>0</v>
      </c>
      <c r="AE49" s="116">
        <f>Предпосылки!$C$210*(AE$8-AE$7)/IF(MOD(YEAR(AE$8),4),365,366)</f>
        <v>0</v>
      </c>
      <c r="AF49" s="116">
        <f>Предпосылки!$C$210*(AF$8-AF$7)/IF(MOD(YEAR(AF$8),4),365,366)</f>
        <v>0</v>
      </c>
      <c r="AG49" s="116">
        <f>Предпосылки!$C$210*(AG$8-AG$7)/IF(MOD(YEAR(AG$8),4),365,366)</f>
        <v>0</v>
      </c>
      <c r="AH49" s="116">
        <f>Предпосылки!$C$210*(AH$8-AH$7)/IF(MOD(YEAR(AH$8),4),365,366)</f>
        <v>0</v>
      </c>
      <c r="AI49" s="116">
        <f>Предпосылки!$C$210*(AI$8-AI$7)/IF(MOD(YEAR(AI$8),4),365,366)</f>
        <v>0</v>
      </c>
      <c r="AJ49" s="116">
        <f>Предпосылки!$C$210*(AJ$8-AJ$7)/IF(MOD(YEAR(AJ$8),4),365,366)</f>
        <v>0</v>
      </c>
      <c r="AK49" s="116">
        <f>Предпосылки!$C$210*(AK$8-AK$7)/IF(MOD(YEAR(AK$8),4),365,366)</f>
        <v>0</v>
      </c>
      <c r="AL49" s="116">
        <f>Предпосылки!$C$210*(AL$8-AL$7)/IF(MOD(YEAR(AL$8),4),365,366)</f>
        <v>0</v>
      </c>
      <c r="AM49" s="116">
        <f>Предпосылки!$C$210*(AM$8-AM$7)/IF(MOD(YEAR(AM$8),4),365,366)</f>
        <v>0</v>
      </c>
      <c r="AN49" s="116">
        <f>Предпосылки!$C$210*(AN$8-AN$7)/IF(MOD(YEAR(AN$8),4),365,366)</f>
        <v>0</v>
      </c>
      <c r="AO49" s="116">
        <f>Предпосылки!$C$210*(AO$8-AO$7)/IF(MOD(YEAR(AO$8),4),365,366)</f>
        <v>0</v>
      </c>
      <c r="AP49" s="116">
        <f>Предпосылки!$C$210*(AP$8-AP$7)/IF(MOD(YEAR(AP$8),4),365,366)</f>
        <v>0</v>
      </c>
      <c r="AQ49" s="116">
        <f>Предпосылки!$C$210*(AQ$8-AQ$7)/IF(MOD(YEAR(AQ$8),4),365,366)</f>
        <v>0</v>
      </c>
      <c r="AR49" s="116">
        <f>Предпосылки!$C$210*(AR$8-AR$7)/IF(MOD(YEAR(AR$8),4),365,366)</f>
        <v>0</v>
      </c>
      <c r="AS49" s="116">
        <f>Предпосылки!$C$210*(AS$8-AS$7)/IF(MOD(YEAR(AS$8),4),365,366)</f>
        <v>0</v>
      </c>
      <c r="AT49" s="116">
        <f>Предпосылки!$C$210*(AT$8-AT$7)/IF(MOD(YEAR(AT$8),4),365,366)</f>
        <v>0</v>
      </c>
      <c r="AU49" s="116">
        <f>Предпосылки!$C$210*(AU$8-AU$7)/IF(MOD(YEAR(AU$8),4),365,366)</f>
        <v>0</v>
      </c>
      <c r="AV49" s="116">
        <f>Предпосылки!$C$210*(AV$8-AV$7)/IF(MOD(YEAR(AV$8),4),365,366)</f>
        <v>0</v>
      </c>
      <c r="AW49" s="116">
        <f>Предпосылки!$C$210*(AW$8-AW$7)/IF(MOD(YEAR(AW$8),4),365,366)</f>
        <v>0</v>
      </c>
      <c r="AX49" s="116">
        <f>Предпосылки!$C$210*(AX$8-AX$7)/IF(MOD(YEAR(AX$8),4),365,366)</f>
        <v>0</v>
      </c>
      <c r="AY49" s="116">
        <f>Предпосылки!$C$210*(AY$8-AY$7)/IF(MOD(YEAR(AY$8),4),365,366)</f>
        <v>0</v>
      </c>
      <c r="AZ49" s="116">
        <f>Предпосылки!$C$210*(AZ$8-AZ$7)/IF(MOD(YEAR(AZ$8),4),365,366)</f>
        <v>0</v>
      </c>
      <c r="BA49" s="116">
        <f>Предпосылки!$C$210*(BA$8-BA$7)/IF(MOD(YEAR(BA$8),4),365,366)</f>
        <v>0</v>
      </c>
      <c r="BB49" s="116">
        <f>Предпосылки!$C$210*(BB$8-BB$7)/IF(MOD(YEAR(BB$8),4),365,366)</f>
        <v>0</v>
      </c>
      <c r="BC49" s="116">
        <f>Предпосылки!$C$210*(BC$8-BC$7)/IF(MOD(YEAR(BC$8),4),365,366)</f>
        <v>0</v>
      </c>
      <c r="BD49" s="116">
        <f>Предпосылки!$C$210*(BD$8-BD$7)/IF(MOD(YEAR(BD$8),4),365,366)</f>
        <v>0</v>
      </c>
      <c r="BE49" s="116">
        <f>Предпосылки!$C$210*(BE$8-BE$7)/IF(MOD(YEAR(BE$8),4),365,366)</f>
        <v>0</v>
      </c>
      <c r="BF49" s="116">
        <f>Предпосылки!$C$210*(BF$8-BF$7)/IF(MOD(YEAR(BF$8),4),365,366)</f>
        <v>0</v>
      </c>
      <c r="BG49" s="116">
        <f>Предпосылки!$C$210*(BG$8-BG$7)/IF(MOD(YEAR(BG$8),4),365,366)</f>
        <v>0</v>
      </c>
      <c r="BH49" s="116">
        <f>Предпосылки!$C$210*(BH$8-BH$7)/IF(MOD(YEAR(BH$8),4),365,366)</f>
        <v>0</v>
      </c>
      <c r="BI49" s="116">
        <f>Предпосылки!$C$210*(BI$8-BI$7)/IF(MOD(YEAR(BI$8),4),365,366)</f>
        <v>0</v>
      </c>
      <c r="BJ49" s="116">
        <f>Предпосылки!$C$210*(BJ$8-BJ$7)/IF(MOD(YEAR(BJ$8),4),365,366)</f>
        <v>0</v>
      </c>
      <c r="BK49" s="116">
        <f>Предпосылки!$C$210*(BK$8-BK$7)/IF(MOD(YEAR(BK$8),4),365,366)</f>
        <v>0</v>
      </c>
      <c r="BL49" s="116">
        <f>Предпосылки!$C$210*(BL$8-BL$7)/IF(MOD(YEAR(BL$8),4),365,366)</f>
        <v>0</v>
      </c>
      <c r="BM49" s="116">
        <f>Предпосылки!$C$210*(BM$8-BM$7)/IF(MOD(YEAR(BM$8),4),365,366)</f>
        <v>0</v>
      </c>
    </row>
    <row r="50" spans="2:71" ht="15" customHeight="1">
      <c r="B50" s="37"/>
      <c r="C50" s="37"/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  <c r="AO50" s="37"/>
      <c r="AP50" s="37"/>
      <c r="AQ50" s="37"/>
      <c r="AR50" s="37"/>
      <c r="AS50" s="37"/>
      <c r="AT50" s="37"/>
      <c r="AU50" s="37"/>
      <c r="AV50" s="37"/>
      <c r="AW50" s="37"/>
      <c r="AX50" s="37"/>
      <c r="AY50" s="37"/>
      <c r="AZ50" s="37"/>
      <c r="BA50" s="37"/>
      <c r="BB50" s="37"/>
      <c r="BC50" s="37"/>
      <c r="BD50" s="37"/>
      <c r="BE50" s="37"/>
      <c r="BF50" s="37"/>
      <c r="BG50" s="37"/>
      <c r="BH50" s="37"/>
      <c r="BI50" s="37"/>
      <c r="BJ50" s="37"/>
      <c r="BK50" s="37"/>
      <c r="BL50" s="37"/>
      <c r="BM50" s="37"/>
    </row>
    <row r="51" spans="2:71" ht="15" customHeight="1">
      <c r="B51" s="118" t="str">
        <f>"ОСВ: Проценты - "&amp;Предпосылки!C209</f>
        <v xml:space="preserve">ОСВ: Проценты - </v>
      </c>
      <c r="C51" s="37"/>
      <c r="D51" s="37"/>
      <c r="E51" s="37"/>
      <c r="F51" s="37"/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7"/>
      <c r="S51" s="37"/>
      <c r="T51" s="37"/>
      <c r="U51" s="37"/>
      <c r="V51" s="37"/>
      <c r="W51" s="37"/>
      <c r="X51" s="37"/>
      <c r="Y51" s="37"/>
      <c r="Z51" s="37"/>
      <c r="AA51" s="37"/>
      <c r="AB51" s="37"/>
      <c r="AC51" s="37"/>
      <c r="AD51" s="37"/>
      <c r="AE51" s="37"/>
      <c r="AF51" s="37"/>
      <c r="AG51" s="37"/>
      <c r="AH51" s="37"/>
      <c r="AI51" s="37"/>
      <c r="AJ51" s="37"/>
      <c r="AK51" s="37"/>
      <c r="AL51" s="37"/>
      <c r="AM51" s="37"/>
      <c r="AN51" s="37"/>
      <c r="AO51" s="37"/>
      <c r="AP51" s="37"/>
      <c r="AQ51" s="37"/>
      <c r="AR51" s="37"/>
      <c r="AS51" s="37"/>
      <c r="AT51" s="37"/>
      <c r="AU51" s="37"/>
      <c r="AV51" s="37"/>
      <c r="AW51" s="37"/>
      <c r="AX51" s="37"/>
      <c r="AY51" s="37"/>
      <c r="AZ51" s="37"/>
      <c r="BA51" s="37"/>
      <c r="BB51" s="37"/>
      <c r="BC51" s="37"/>
      <c r="BD51" s="37"/>
      <c r="BE51" s="37"/>
      <c r="BF51" s="37"/>
      <c r="BG51" s="37"/>
      <c r="BH51" s="37"/>
      <c r="BI51" s="37"/>
      <c r="BJ51" s="37"/>
      <c r="BK51" s="37"/>
      <c r="BL51" s="37"/>
      <c r="BM51" s="37"/>
    </row>
    <row r="52" spans="2:71" ht="15" customHeight="1">
      <c r="B52" s="112" t="s">
        <v>65</v>
      </c>
      <c r="C52" s="113" t="str">
        <f>Единица_измерения</f>
        <v>тыс. руб.</v>
      </c>
      <c r="D52" s="114"/>
      <c r="E52" s="114">
        <f t="shared" ref="E52" si="360">D55</f>
        <v>0</v>
      </c>
      <c r="F52" s="114">
        <f t="shared" ref="F52" si="361">E55</f>
        <v>0</v>
      </c>
      <c r="G52" s="114">
        <f t="shared" ref="G52" si="362">F55</f>
        <v>0</v>
      </c>
      <c r="H52" s="114">
        <f t="shared" ref="H52" si="363">G55</f>
        <v>0</v>
      </c>
      <c r="I52" s="114">
        <f t="shared" ref="I52" si="364">H55</f>
        <v>0</v>
      </c>
      <c r="J52" s="114">
        <f t="shared" ref="J52" si="365">I55</f>
        <v>0</v>
      </c>
      <c r="K52" s="114">
        <f t="shared" ref="K52" si="366">J55</f>
        <v>0</v>
      </c>
      <c r="L52" s="114">
        <f t="shared" ref="L52" si="367">K55</f>
        <v>0</v>
      </c>
      <c r="M52" s="114">
        <f t="shared" ref="M52" si="368">L55</f>
        <v>0</v>
      </c>
      <c r="N52" s="114">
        <f t="shared" ref="N52" si="369">M55</f>
        <v>0</v>
      </c>
      <c r="O52" s="114">
        <f t="shared" ref="O52" si="370">N55</f>
        <v>0</v>
      </c>
      <c r="P52" s="114">
        <f t="shared" ref="P52" si="371">O55</f>
        <v>0</v>
      </c>
      <c r="Q52" s="114">
        <f t="shared" ref="Q52" si="372">P55</f>
        <v>0</v>
      </c>
      <c r="R52" s="114">
        <f t="shared" ref="R52" si="373">Q55</f>
        <v>0</v>
      </c>
      <c r="S52" s="114">
        <f t="shared" ref="S52" si="374">R55</f>
        <v>0</v>
      </c>
      <c r="T52" s="114">
        <f t="shared" ref="T52" si="375">S55</f>
        <v>0</v>
      </c>
      <c r="U52" s="114">
        <f t="shared" ref="U52" si="376">T55</f>
        <v>0</v>
      </c>
      <c r="V52" s="114">
        <f t="shared" ref="V52" si="377">U55</f>
        <v>0</v>
      </c>
      <c r="W52" s="114">
        <f t="shared" ref="W52" si="378">V55</f>
        <v>0</v>
      </c>
      <c r="X52" s="114">
        <f t="shared" ref="X52" si="379">W55</f>
        <v>0</v>
      </c>
      <c r="Y52" s="114">
        <f t="shared" ref="Y52" si="380">X55</f>
        <v>0</v>
      </c>
      <c r="Z52" s="114">
        <f t="shared" ref="Z52" si="381">Y55</f>
        <v>0</v>
      </c>
      <c r="AA52" s="114">
        <f t="shared" ref="AA52" si="382">Z55</f>
        <v>0</v>
      </c>
      <c r="AB52" s="114">
        <f t="shared" ref="AB52" si="383">AA55</f>
        <v>0</v>
      </c>
      <c r="AC52" s="114">
        <f t="shared" ref="AC52" si="384">AB55</f>
        <v>0</v>
      </c>
      <c r="AD52" s="114">
        <f t="shared" ref="AD52" si="385">AC55</f>
        <v>0</v>
      </c>
      <c r="AE52" s="114">
        <f t="shared" ref="AE52" si="386">AD55</f>
        <v>0</v>
      </c>
      <c r="AF52" s="114">
        <f t="shared" ref="AF52" si="387">AE55</f>
        <v>0</v>
      </c>
      <c r="AG52" s="114">
        <f t="shared" ref="AG52" si="388">AF55</f>
        <v>0</v>
      </c>
      <c r="AH52" s="114">
        <f t="shared" ref="AH52" si="389">AG55</f>
        <v>0</v>
      </c>
      <c r="AI52" s="114">
        <f t="shared" ref="AI52" si="390">AH55</f>
        <v>0</v>
      </c>
      <c r="AJ52" s="114">
        <f t="shared" ref="AJ52" si="391">AI55</f>
        <v>0</v>
      </c>
      <c r="AK52" s="114">
        <f t="shared" ref="AK52" si="392">AJ55</f>
        <v>0</v>
      </c>
      <c r="AL52" s="114">
        <f t="shared" ref="AL52" si="393">AK55</f>
        <v>0</v>
      </c>
      <c r="AM52" s="114">
        <f t="shared" ref="AM52" si="394">AL55</f>
        <v>0</v>
      </c>
      <c r="AN52" s="114">
        <f t="shared" ref="AN52" si="395">AM55</f>
        <v>0</v>
      </c>
      <c r="AO52" s="114">
        <f t="shared" ref="AO52" si="396">AN55</f>
        <v>0</v>
      </c>
      <c r="AP52" s="114">
        <f t="shared" ref="AP52" si="397">AO55</f>
        <v>0</v>
      </c>
      <c r="AQ52" s="114">
        <f t="shared" ref="AQ52" si="398">AP55</f>
        <v>0</v>
      </c>
      <c r="AR52" s="114">
        <f t="shared" ref="AR52" si="399">AQ55</f>
        <v>0</v>
      </c>
      <c r="AS52" s="114">
        <f t="shared" ref="AS52" si="400">AR55</f>
        <v>0</v>
      </c>
      <c r="AT52" s="114">
        <f t="shared" ref="AT52" si="401">AS55</f>
        <v>0</v>
      </c>
      <c r="AU52" s="114">
        <f t="shared" ref="AU52" si="402">AT55</f>
        <v>0</v>
      </c>
      <c r="AV52" s="114">
        <f t="shared" ref="AV52" si="403">AU55</f>
        <v>0</v>
      </c>
      <c r="AW52" s="114">
        <f t="shared" ref="AW52" si="404">AV55</f>
        <v>0</v>
      </c>
      <c r="AX52" s="114">
        <f t="shared" ref="AX52" si="405">AW55</f>
        <v>0</v>
      </c>
      <c r="AY52" s="114">
        <f t="shared" ref="AY52" si="406">AX55</f>
        <v>0</v>
      </c>
      <c r="AZ52" s="114">
        <f t="shared" ref="AZ52" si="407">AY55</f>
        <v>0</v>
      </c>
      <c r="BA52" s="114">
        <f t="shared" ref="BA52" si="408">AZ55</f>
        <v>0</v>
      </c>
      <c r="BB52" s="114">
        <f t="shared" ref="BB52" si="409">BA55</f>
        <v>0</v>
      </c>
      <c r="BC52" s="114">
        <f t="shared" ref="BC52" si="410">BB55</f>
        <v>0</v>
      </c>
      <c r="BD52" s="114">
        <f t="shared" ref="BD52" si="411">BC55</f>
        <v>0</v>
      </c>
      <c r="BE52" s="114">
        <f t="shared" ref="BE52" si="412">BD55</f>
        <v>0</v>
      </c>
      <c r="BF52" s="114">
        <f t="shared" ref="BF52" si="413">BE55</f>
        <v>0</v>
      </c>
      <c r="BG52" s="114">
        <f t="shared" ref="BG52" si="414">BF55</f>
        <v>0</v>
      </c>
      <c r="BH52" s="114">
        <f t="shared" ref="BH52" si="415">BG55</f>
        <v>0</v>
      </c>
      <c r="BI52" s="114">
        <f t="shared" ref="BI52" si="416">BH55</f>
        <v>0</v>
      </c>
      <c r="BJ52" s="114">
        <f t="shared" ref="BJ52" si="417">BI55</f>
        <v>0</v>
      </c>
      <c r="BK52" s="114">
        <f t="shared" ref="BK52" si="418">BJ55</f>
        <v>0</v>
      </c>
      <c r="BL52" s="114">
        <f t="shared" ref="BL52" si="419">BK55</f>
        <v>0</v>
      </c>
      <c r="BM52" s="114">
        <f t="shared" ref="BM52" si="420">BL55</f>
        <v>0</v>
      </c>
    </row>
    <row r="53" spans="2:71" ht="15" customHeight="1">
      <c r="B53" s="112" t="s">
        <v>117</v>
      </c>
      <c r="C53" s="113" t="str">
        <f>Единица_измерения</f>
        <v>тыс. руб.</v>
      </c>
      <c r="D53" s="114"/>
      <c r="E53" s="114">
        <f t="shared" ref="E53" si="421">E44*E49</f>
        <v>0</v>
      </c>
      <c r="F53" s="114">
        <f t="shared" ref="F53:AG53" si="422">F44*F49</f>
        <v>0</v>
      </c>
      <c r="G53" s="114">
        <f t="shared" si="422"/>
        <v>0</v>
      </c>
      <c r="H53" s="114">
        <f t="shared" si="422"/>
        <v>0</v>
      </c>
      <c r="I53" s="114">
        <f t="shared" si="422"/>
        <v>0</v>
      </c>
      <c r="J53" s="114">
        <f t="shared" si="422"/>
        <v>0</v>
      </c>
      <c r="K53" s="114">
        <f t="shared" si="422"/>
        <v>0</v>
      </c>
      <c r="L53" s="114">
        <f t="shared" si="422"/>
        <v>0</v>
      </c>
      <c r="M53" s="114">
        <f t="shared" si="422"/>
        <v>0</v>
      </c>
      <c r="N53" s="114">
        <f t="shared" si="422"/>
        <v>0</v>
      </c>
      <c r="O53" s="114">
        <f t="shared" si="422"/>
        <v>0</v>
      </c>
      <c r="P53" s="114">
        <f t="shared" si="422"/>
        <v>0</v>
      </c>
      <c r="Q53" s="114">
        <f t="shared" si="422"/>
        <v>0</v>
      </c>
      <c r="R53" s="114">
        <f t="shared" si="422"/>
        <v>0</v>
      </c>
      <c r="S53" s="114">
        <f t="shared" si="422"/>
        <v>0</v>
      </c>
      <c r="T53" s="114">
        <f t="shared" si="422"/>
        <v>0</v>
      </c>
      <c r="U53" s="114">
        <f t="shared" si="422"/>
        <v>0</v>
      </c>
      <c r="V53" s="114">
        <f t="shared" si="422"/>
        <v>0</v>
      </c>
      <c r="W53" s="114">
        <f t="shared" si="422"/>
        <v>0</v>
      </c>
      <c r="X53" s="114">
        <f t="shared" si="422"/>
        <v>0</v>
      </c>
      <c r="Y53" s="114">
        <f t="shared" si="422"/>
        <v>0</v>
      </c>
      <c r="Z53" s="114">
        <f t="shared" si="422"/>
        <v>0</v>
      </c>
      <c r="AA53" s="114">
        <f t="shared" si="422"/>
        <v>0</v>
      </c>
      <c r="AB53" s="114">
        <f t="shared" si="422"/>
        <v>0</v>
      </c>
      <c r="AC53" s="114">
        <f t="shared" si="422"/>
        <v>0</v>
      </c>
      <c r="AD53" s="114">
        <f t="shared" si="422"/>
        <v>0</v>
      </c>
      <c r="AE53" s="114">
        <f t="shared" si="422"/>
        <v>0</v>
      </c>
      <c r="AF53" s="114">
        <f t="shared" si="422"/>
        <v>0</v>
      </c>
      <c r="AG53" s="114">
        <f t="shared" si="422"/>
        <v>0</v>
      </c>
      <c r="AH53" s="114">
        <f t="shared" ref="AH53:BM53" si="423">AH44*AH49</f>
        <v>0</v>
      </c>
      <c r="AI53" s="114">
        <f t="shared" si="423"/>
        <v>0</v>
      </c>
      <c r="AJ53" s="114">
        <f t="shared" si="423"/>
        <v>0</v>
      </c>
      <c r="AK53" s="114">
        <f t="shared" si="423"/>
        <v>0</v>
      </c>
      <c r="AL53" s="114">
        <f t="shared" si="423"/>
        <v>0</v>
      </c>
      <c r="AM53" s="114">
        <f t="shared" si="423"/>
        <v>0</v>
      </c>
      <c r="AN53" s="114">
        <f t="shared" si="423"/>
        <v>0</v>
      </c>
      <c r="AO53" s="114">
        <f t="shared" si="423"/>
        <v>0</v>
      </c>
      <c r="AP53" s="114">
        <f t="shared" si="423"/>
        <v>0</v>
      </c>
      <c r="AQ53" s="114">
        <f t="shared" si="423"/>
        <v>0</v>
      </c>
      <c r="AR53" s="114">
        <f t="shared" si="423"/>
        <v>0</v>
      </c>
      <c r="AS53" s="114">
        <f t="shared" si="423"/>
        <v>0</v>
      </c>
      <c r="AT53" s="114">
        <f t="shared" si="423"/>
        <v>0</v>
      </c>
      <c r="AU53" s="114">
        <f t="shared" si="423"/>
        <v>0</v>
      </c>
      <c r="AV53" s="114">
        <f t="shared" si="423"/>
        <v>0</v>
      </c>
      <c r="AW53" s="114">
        <f t="shared" si="423"/>
        <v>0</v>
      </c>
      <c r="AX53" s="114">
        <f t="shared" si="423"/>
        <v>0</v>
      </c>
      <c r="AY53" s="114">
        <f t="shared" si="423"/>
        <v>0</v>
      </c>
      <c r="AZ53" s="114">
        <f t="shared" si="423"/>
        <v>0</v>
      </c>
      <c r="BA53" s="114">
        <f t="shared" si="423"/>
        <v>0</v>
      </c>
      <c r="BB53" s="114">
        <f t="shared" si="423"/>
        <v>0</v>
      </c>
      <c r="BC53" s="114">
        <f t="shared" si="423"/>
        <v>0</v>
      </c>
      <c r="BD53" s="114">
        <f t="shared" si="423"/>
        <v>0</v>
      </c>
      <c r="BE53" s="114">
        <f t="shared" si="423"/>
        <v>0</v>
      </c>
      <c r="BF53" s="114">
        <f t="shared" si="423"/>
        <v>0</v>
      </c>
      <c r="BG53" s="114">
        <f t="shared" si="423"/>
        <v>0</v>
      </c>
      <c r="BH53" s="114">
        <f t="shared" si="423"/>
        <v>0</v>
      </c>
      <c r="BI53" s="114">
        <f t="shared" si="423"/>
        <v>0</v>
      </c>
      <c r="BJ53" s="114">
        <f t="shared" si="423"/>
        <v>0</v>
      </c>
      <c r="BK53" s="114">
        <f t="shared" si="423"/>
        <v>0</v>
      </c>
      <c r="BL53" s="114">
        <f t="shared" si="423"/>
        <v>0</v>
      </c>
      <c r="BM53" s="114">
        <f t="shared" si="423"/>
        <v>0</v>
      </c>
    </row>
    <row r="54" spans="2:71" ht="15" customHeight="1">
      <c r="B54" s="112" t="s">
        <v>138</v>
      </c>
      <c r="C54" s="113" t="str">
        <f>Единица_измерения</f>
        <v>тыс. руб.</v>
      </c>
      <c r="D54" s="114"/>
      <c r="E54" s="114">
        <f t="shared" ref="E54" si="424">-E53</f>
        <v>0</v>
      </c>
      <c r="F54" s="114">
        <f t="shared" ref="F54:AG54" si="425">-F53</f>
        <v>0</v>
      </c>
      <c r="G54" s="114">
        <f t="shared" si="425"/>
        <v>0</v>
      </c>
      <c r="H54" s="114">
        <f t="shared" si="425"/>
        <v>0</v>
      </c>
      <c r="I54" s="114">
        <f t="shared" si="425"/>
        <v>0</v>
      </c>
      <c r="J54" s="114">
        <f t="shared" si="425"/>
        <v>0</v>
      </c>
      <c r="K54" s="114">
        <f t="shared" si="425"/>
        <v>0</v>
      </c>
      <c r="L54" s="114">
        <f t="shared" si="425"/>
        <v>0</v>
      </c>
      <c r="M54" s="114">
        <f t="shared" si="425"/>
        <v>0</v>
      </c>
      <c r="N54" s="114">
        <f t="shared" si="425"/>
        <v>0</v>
      </c>
      <c r="O54" s="114">
        <f t="shared" si="425"/>
        <v>0</v>
      </c>
      <c r="P54" s="114">
        <f t="shared" si="425"/>
        <v>0</v>
      </c>
      <c r="Q54" s="114">
        <f t="shared" si="425"/>
        <v>0</v>
      </c>
      <c r="R54" s="114">
        <f t="shared" si="425"/>
        <v>0</v>
      </c>
      <c r="S54" s="114">
        <f t="shared" si="425"/>
        <v>0</v>
      </c>
      <c r="T54" s="114">
        <f t="shared" si="425"/>
        <v>0</v>
      </c>
      <c r="U54" s="114">
        <f t="shared" si="425"/>
        <v>0</v>
      </c>
      <c r="V54" s="114">
        <f t="shared" si="425"/>
        <v>0</v>
      </c>
      <c r="W54" s="114">
        <f t="shared" si="425"/>
        <v>0</v>
      </c>
      <c r="X54" s="114">
        <f t="shared" si="425"/>
        <v>0</v>
      </c>
      <c r="Y54" s="114">
        <f t="shared" si="425"/>
        <v>0</v>
      </c>
      <c r="Z54" s="114">
        <f t="shared" si="425"/>
        <v>0</v>
      </c>
      <c r="AA54" s="114">
        <f t="shared" si="425"/>
        <v>0</v>
      </c>
      <c r="AB54" s="114">
        <f t="shared" si="425"/>
        <v>0</v>
      </c>
      <c r="AC54" s="114">
        <f t="shared" si="425"/>
        <v>0</v>
      </c>
      <c r="AD54" s="114">
        <f t="shared" si="425"/>
        <v>0</v>
      </c>
      <c r="AE54" s="114">
        <f t="shared" si="425"/>
        <v>0</v>
      </c>
      <c r="AF54" s="114">
        <f t="shared" si="425"/>
        <v>0</v>
      </c>
      <c r="AG54" s="114">
        <f t="shared" si="425"/>
        <v>0</v>
      </c>
      <c r="AH54" s="114">
        <f t="shared" ref="AH54:BM54" si="426">-AH53</f>
        <v>0</v>
      </c>
      <c r="AI54" s="114">
        <f t="shared" si="426"/>
        <v>0</v>
      </c>
      <c r="AJ54" s="114">
        <f t="shared" si="426"/>
        <v>0</v>
      </c>
      <c r="AK54" s="114">
        <f t="shared" si="426"/>
        <v>0</v>
      </c>
      <c r="AL54" s="114">
        <f t="shared" si="426"/>
        <v>0</v>
      </c>
      <c r="AM54" s="114">
        <f t="shared" si="426"/>
        <v>0</v>
      </c>
      <c r="AN54" s="114">
        <f t="shared" si="426"/>
        <v>0</v>
      </c>
      <c r="AO54" s="114">
        <f t="shared" si="426"/>
        <v>0</v>
      </c>
      <c r="AP54" s="114">
        <f t="shared" si="426"/>
        <v>0</v>
      </c>
      <c r="AQ54" s="114">
        <f t="shared" si="426"/>
        <v>0</v>
      </c>
      <c r="AR54" s="114">
        <f t="shared" si="426"/>
        <v>0</v>
      </c>
      <c r="AS54" s="114">
        <f t="shared" si="426"/>
        <v>0</v>
      </c>
      <c r="AT54" s="114">
        <f t="shared" si="426"/>
        <v>0</v>
      </c>
      <c r="AU54" s="114">
        <f t="shared" si="426"/>
        <v>0</v>
      </c>
      <c r="AV54" s="114">
        <f t="shared" si="426"/>
        <v>0</v>
      </c>
      <c r="AW54" s="114">
        <f t="shared" si="426"/>
        <v>0</v>
      </c>
      <c r="AX54" s="114">
        <f t="shared" si="426"/>
        <v>0</v>
      </c>
      <c r="AY54" s="114">
        <f t="shared" si="426"/>
        <v>0</v>
      </c>
      <c r="AZ54" s="114">
        <f t="shared" si="426"/>
        <v>0</v>
      </c>
      <c r="BA54" s="114">
        <f t="shared" si="426"/>
        <v>0</v>
      </c>
      <c r="BB54" s="114">
        <f t="shared" si="426"/>
        <v>0</v>
      </c>
      <c r="BC54" s="114">
        <f t="shared" si="426"/>
        <v>0</v>
      </c>
      <c r="BD54" s="114">
        <f t="shared" si="426"/>
        <v>0</v>
      </c>
      <c r="BE54" s="114">
        <f t="shared" si="426"/>
        <v>0</v>
      </c>
      <c r="BF54" s="114">
        <f t="shared" si="426"/>
        <v>0</v>
      </c>
      <c r="BG54" s="114">
        <f t="shared" si="426"/>
        <v>0</v>
      </c>
      <c r="BH54" s="114">
        <f t="shared" si="426"/>
        <v>0</v>
      </c>
      <c r="BI54" s="114">
        <f t="shared" si="426"/>
        <v>0</v>
      </c>
      <c r="BJ54" s="114">
        <f t="shared" si="426"/>
        <v>0</v>
      </c>
      <c r="BK54" s="114">
        <f t="shared" si="426"/>
        <v>0</v>
      </c>
      <c r="BL54" s="114">
        <f t="shared" si="426"/>
        <v>0</v>
      </c>
      <c r="BM54" s="114">
        <f t="shared" si="426"/>
        <v>0</v>
      </c>
    </row>
    <row r="55" spans="2:71" ht="15" customHeight="1">
      <c r="B55" s="259" t="s">
        <v>66</v>
      </c>
      <c r="C55" s="260" t="str">
        <f>Единица_измерения</f>
        <v>тыс. руб.</v>
      </c>
      <c r="D55" s="248"/>
      <c r="E55" s="248">
        <f t="shared" ref="E55" si="427">SUM(E52:E54)</f>
        <v>0</v>
      </c>
      <c r="F55" s="248">
        <f t="shared" ref="F55:AG55" si="428">SUM(F52:F54)</f>
        <v>0</v>
      </c>
      <c r="G55" s="248">
        <f t="shared" si="428"/>
        <v>0</v>
      </c>
      <c r="H55" s="248">
        <f t="shared" si="428"/>
        <v>0</v>
      </c>
      <c r="I55" s="248">
        <f t="shared" si="428"/>
        <v>0</v>
      </c>
      <c r="J55" s="248">
        <f t="shared" si="428"/>
        <v>0</v>
      </c>
      <c r="K55" s="248">
        <f t="shared" si="428"/>
        <v>0</v>
      </c>
      <c r="L55" s="248">
        <f t="shared" si="428"/>
        <v>0</v>
      </c>
      <c r="M55" s="248">
        <f t="shared" si="428"/>
        <v>0</v>
      </c>
      <c r="N55" s="248">
        <f t="shared" si="428"/>
        <v>0</v>
      </c>
      <c r="O55" s="248">
        <f t="shared" si="428"/>
        <v>0</v>
      </c>
      <c r="P55" s="248">
        <f t="shared" si="428"/>
        <v>0</v>
      </c>
      <c r="Q55" s="248">
        <f t="shared" si="428"/>
        <v>0</v>
      </c>
      <c r="R55" s="248">
        <f t="shared" si="428"/>
        <v>0</v>
      </c>
      <c r="S55" s="248">
        <f t="shared" si="428"/>
        <v>0</v>
      </c>
      <c r="T55" s="248">
        <f t="shared" si="428"/>
        <v>0</v>
      </c>
      <c r="U55" s="248">
        <f t="shared" si="428"/>
        <v>0</v>
      </c>
      <c r="V55" s="248">
        <f t="shared" si="428"/>
        <v>0</v>
      </c>
      <c r="W55" s="248">
        <f t="shared" si="428"/>
        <v>0</v>
      </c>
      <c r="X55" s="248">
        <f t="shared" si="428"/>
        <v>0</v>
      </c>
      <c r="Y55" s="248">
        <f t="shared" si="428"/>
        <v>0</v>
      </c>
      <c r="Z55" s="248">
        <f t="shared" si="428"/>
        <v>0</v>
      </c>
      <c r="AA55" s="248">
        <f t="shared" si="428"/>
        <v>0</v>
      </c>
      <c r="AB55" s="248">
        <f t="shared" si="428"/>
        <v>0</v>
      </c>
      <c r="AC55" s="248">
        <f t="shared" si="428"/>
        <v>0</v>
      </c>
      <c r="AD55" s="248">
        <f t="shared" si="428"/>
        <v>0</v>
      </c>
      <c r="AE55" s="248">
        <f t="shared" si="428"/>
        <v>0</v>
      </c>
      <c r="AF55" s="248">
        <f t="shared" si="428"/>
        <v>0</v>
      </c>
      <c r="AG55" s="248">
        <f t="shared" si="428"/>
        <v>0</v>
      </c>
      <c r="AH55" s="248">
        <f t="shared" ref="AH55:BM55" si="429">SUM(AH52:AH54)</f>
        <v>0</v>
      </c>
      <c r="AI55" s="248">
        <f t="shared" si="429"/>
        <v>0</v>
      </c>
      <c r="AJ55" s="248">
        <f t="shared" si="429"/>
        <v>0</v>
      </c>
      <c r="AK55" s="248">
        <f t="shared" si="429"/>
        <v>0</v>
      </c>
      <c r="AL55" s="248">
        <f t="shared" si="429"/>
        <v>0</v>
      </c>
      <c r="AM55" s="248">
        <f t="shared" si="429"/>
        <v>0</v>
      </c>
      <c r="AN55" s="248">
        <f t="shared" si="429"/>
        <v>0</v>
      </c>
      <c r="AO55" s="248">
        <f t="shared" si="429"/>
        <v>0</v>
      </c>
      <c r="AP55" s="248">
        <f t="shared" si="429"/>
        <v>0</v>
      </c>
      <c r="AQ55" s="248">
        <f t="shared" si="429"/>
        <v>0</v>
      </c>
      <c r="AR55" s="248">
        <f t="shared" si="429"/>
        <v>0</v>
      </c>
      <c r="AS55" s="248">
        <f t="shared" si="429"/>
        <v>0</v>
      </c>
      <c r="AT55" s="248">
        <f t="shared" si="429"/>
        <v>0</v>
      </c>
      <c r="AU55" s="248">
        <f t="shared" si="429"/>
        <v>0</v>
      </c>
      <c r="AV55" s="248">
        <f t="shared" si="429"/>
        <v>0</v>
      </c>
      <c r="AW55" s="248">
        <f t="shared" si="429"/>
        <v>0</v>
      </c>
      <c r="AX55" s="248">
        <f t="shared" si="429"/>
        <v>0</v>
      </c>
      <c r="AY55" s="248">
        <f t="shared" si="429"/>
        <v>0</v>
      </c>
      <c r="AZ55" s="248">
        <f t="shared" si="429"/>
        <v>0</v>
      </c>
      <c r="BA55" s="248">
        <f t="shared" si="429"/>
        <v>0</v>
      </c>
      <c r="BB55" s="248">
        <f t="shared" si="429"/>
        <v>0</v>
      </c>
      <c r="BC55" s="248">
        <f t="shared" si="429"/>
        <v>0</v>
      </c>
      <c r="BD55" s="248">
        <f t="shared" si="429"/>
        <v>0</v>
      </c>
      <c r="BE55" s="248">
        <f t="shared" si="429"/>
        <v>0</v>
      </c>
      <c r="BF55" s="248">
        <f t="shared" si="429"/>
        <v>0</v>
      </c>
      <c r="BG55" s="248">
        <f t="shared" si="429"/>
        <v>0</v>
      </c>
      <c r="BH55" s="248">
        <f t="shared" si="429"/>
        <v>0</v>
      </c>
      <c r="BI55" s="248">
        <f t="shared" si="429"/>
        <v>0</v>
      </c>
      <c r="BJ55" s="248">
        <f t="shared" si="429"/>
        <v>0</v>
      </c>
      <c r="BK55" s="248">
        <f t="shared" si="429"/>
        <v>0</v>
      </c>
      <c r="BL55" s="248">
        <f t="shared" si="429"/>
        <v>0</v>
      </c>
      <c r="BM55" s="248">
        <f t="shared" si="429"/>
        <v>0</v>
      </c>
    </row>
    <row r="56" spans="2:71" ht="15" customHeight="1">
      <c r="B56" s="37"/>
      <c r="C56" s="37"/>
      <c r="D56" s="37"/>
      <c r="E56" s="37"/>
      <c r="F56" s="37"/>
      <c r="G56" s="37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7"/>
      <c r="T56" s="37"/>
      <c r="U56" s="37"/>
      <c r="V56" s="37"/>
      <c r="W56" s="37"/>
      <c r="X56" s="37"/>
      <c r="Y56" s="37"/>
      <c r="Z56" s="37"/>
      <c r="AA56" s="37"/>
      <c r="AB56" s="37"/>
      <c r="AC56" s="37"/>
      <c r="AD56" s="37"/>
      <c r="AE56" s="37"/>
      <c r="AF56" s="37"/>
      <c r="AG56" s="37"/>
      <c r="AH56" s="37"/>
      <c r="AI56" s="37"/>
      <c r="AJ56" s="37"/>
      <c r="AK56" s="37"/>
      <c r="AL56" s="37"/>
      <c r="AM56" s="37"/>
      <c r="AN56" s="37"/>
      <c r="AO56" s="37"/>
      <c r="AP56" s="37"/>
      <c r="AQ56" s="37"/>
      <c r="AR56" s="37"/>
      <c r="AS56" s="37"/>
      <c r="AT56" s="37"/>
      <c r="AU56" s="37"/>
      <c r="AV56" s="37"/>
      <c r="AW56" s="37"/>
      <c r="AX56" s="37"/>
      <c r="AY56" s="37"/>
      <c r="AZ56" s="37"/>
      <c r="BA56" s="37"/>
      <c r="BB56" s="37"/>
      <c r="BC56" s="37"/>
      <c r="BD56" s="37"/>
      <c r="BE56" s="37"/>
      <c r="BF56" s="37"/>
      <c r="BG56" s="37"/>
      <c r="BH56" s="37"/>
      <c r="BI56" s="37"/>
      <c r="BJ56" s="37"/>
      <c r="BK56" s="37"/>
      <c r="BL56" s="37"/>
      <c r="BM56" s="37"/>
    </row>
    <row r="57" spans="2:71" ht="21">
      <c r="B57" s="359" t="str">
        <f>IF(ISBLANK(Предпосылки!C224),"Лизинговая компания не указана",Предпосылки!C224)</f>
        <v>Лизинговая компания не указана</v>
      </c>
      <c r="C57" s="37"/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37"/>
      <c r="U57" s="37"/>
      <c r="V57" s="37"/>
      <c r="W57" s="37"/>
      <c r="X57" s="37"/>
      <c r="Y57" s="37"/>
      <c r="Z57" s="37"/>
      <c r="AA57" s="37"/>
      <c r="AB57" s="37"/>
      <c r="AC57" s="37"/>
      <c r="AD57" s="37"/>
      <c r="AE57" s="37"/>
      <c r="AF57" s="37"/>
      <c r="AG57" s="37"/>
      <c r="AH57" s="37"/>
      <c r="AI57" s="37"/>
      <c r="AJ57" s="37"/>
      <c r="AK57" s="37"/>
      <c r="AL57" s="37"/>
      <c r="AM57" s="37"/>
      <c r="AN57" s="37"/>
      <c r="AO57" s="37"/>
      <c r="AP57" s="37"/>
      <c r="AQ57" s="37"/>
      <c r="AR57" s="37"/>
      <c r="AS57" s="37"/>
      <c r="AT57" s="37"/>
      <c r="AU57" s="37"/>
      <c r="AV57" s="37"/>
      <c r="AW57" s="37"/>
      <c r="AX57" s="37"/>
      <c r="AY57" s="37"/>
      <c r="AZ57" s="37"/>
      <c r="BA57" s="37"/>
      <c r="BB57" s="37"/>
      <c r="BC57" s="37"/>
      <c r="BD57" s="37"/>
      <c r="BE57" s="37"/>
      <c r="BF57" s="37"/>
      <c r="BG57" s="37"/>
      <c r="BH57" s="37"/>
      <c r="BI57" s="37"/>
      <c r="BJ57" s="37"/>
      <c r="BK57" s="37"/>
      <c r="BL57" s="37"/>
      <c r="BM57" s="37"/>
    </row>
    <row r="58" spans="2:71" ht="15" customHeight="1">
      <c r="B58" s="112" t="s">
        <v>794</v>
      </c>
      <c r="C58" s="113" t="s">
        <v>11</v>
      </c>
      <c r="D58" s="114"/>
      <c r="E58" s="114">
        <f ca="1">IF(Программа="Лизинг",MAX(SUMPRODUCT(Предпосылки!$F$31:$F$70,Предпосылки!J31:J70)-SUM($E$17:E17)-SUM($E$30:E30)-SUM($E$45:E45)-SUM($E$62:E62),0),0)</f>
        <v>0</v>
      </c>
      <c r="F58" s="114">
        <f ca="1">IF(Программа="Лизинг",MAX(SUMPRODUCT(Предпосылки!$F$31:$F$70,Предпосылки!K31:K70),0),0)</f>
        <v>0</v>
      </c>
      <c r="G58" s="114">
        <f ca="1">IF(Программа="Лизинг",MAX(SUMPRODUCT(Предпосылки!$F$31:$F$70,Предпосылки!L31:L70),0),0)</f>
        <v>0</v>
      </c>
      <c r="H58" s="114">
        <f ca="1">IF(Программа="Лизинг",MAX(SUMPRODUCT(Предпосылки!$F$31:$F$70,Предпосылки!M31:M70),0),0)</f>
        <v>0</v>
      </c>
      <c r="I58" s="114">
        <f ca="1">IF(Программа="Лизинг",MAX(SUMPRODUCT(Предпосылки!$F$31:$F$70,Предпосылки!N31:N70),0),0)</f>
        <v>0</v>
      </c>
      <c r="J58" s="114">
        <f ca="1">IF(Программа="Лизинг",MAX(SUMPRODUCT(Предпосылки!$F$31:$F$70,Предпосылки!O31:O70),0),0)</f>
        <v>0</v>
      </c>
      <c r="K58" s="114">
        <f ca="1">IF(Программа="Лизинг",MAX(SUMPRODUCT(Предпосылки!$F$31:$F$70,Предпосылки!P31:P70),0),0)</f>
        <v>0</v>
      </c>
      <c r="L58" s="114">
        <f ca="1">IF(Программа="Лизинг",MAX(SUMPRODUCT(Предпосылки!$F$31:$F$70,Предпосылки!Q31:Q70),0),0)</f>
        <v>0</v>
      </c>
      <c r="M58" s="114">
        <f ca="1">IF(Программа="Лизинг",MAX(SUMPRODUCT(Предпосылки!$F$31:$F$70,Предпосылки!R31:R70),0),0)</f>
        <v>0</v>
      </c>
      <c r="N58" s="114">
        <f ca="1">IF(Программа="Лизинг",MAX(SUMPRODUCT(Предпосылки!$F$31:$F$70,Предпосылки!S31:S70),0),0)</f>
        <v>0</v>
      </c>
      <c r="O58" s="114">
        <f ca="1">IF(Программа="Лизинг",MAX(SUMPRODUCT(Предпосылки!$F$31:$F$70,Предпосылки!T31:T70),0),0)</f>
        <v>0</v>
      </c>
      <c r="P58" s="114">
        <f ca="1">IF(Программа="Лизинг",MAX(SUMPRODUCT(Предпосылки!$F$31:$F$70,Предпосылки!U31:U70),0),0)</f>
        <v>0</v>
      </c>
      <c r="Q58" s="114">
        <f ca="1">IF(Программа="Лизинг",MAX(SUMPRODUCT(Предпосылки!$F$31:$F$70,Предпосылки!V31:V70),0),0)</f>
        <v>0</v>
      </c>
      <c r="R58" s="114">
        <f ca="1">IF(Программа="Лизинг",MAX(SUMPRODUCT(Предпосылки!$F$31:$F$70,Предпосылки!W31:W70),0),0)</f>
        <v>0</v>
      </c>
      <c r="S58" s="114">
        <f ca="1">IF(Программа="Лизинг",MAX(SUMPRODUCT(Предпосылки!$F$31:$F$70,Предпосылки!X31:X70),0),0)</f>
        <v>0</v>
      </c>
      <c r="T58" s="114">
        <f ca="1">IF(Программа="Лизинг",MAX(SUMPRODUCT(Предпосылки!$F$31:$F$70,Предпосылки!Y31:Y70),0),0)</f>
        <v>0</v>
      </c>
      <c r="U58" s="114">
        <f ca="1">IF(Программа="Лизинг",MAX(SUMPRODUCT(Предпосылки!$F$31:$F$70,Предпосылки!Z31:Z70),0),0)</f>
        <v>0</v>
      </c>
      <c r="V58" s="114">
        <f ca="1">IF(Программа="Лизинг",MAX(SUMPRODUCT(Предпосылки!$F$31:$F$70,Предпосылки!AA31:AA70),0),0)</f>
        <v>0</v>
      </c>
      <c r="W58" s="114">
        <f ca="1">IF(Программа="Лизинг",MAX(SUMPRODUCT(Предпосылки!$F$31:$F$70,Предпосылки!AB31:AB70),0),0)</f>
        <v>0</v>
      </c>
      <c r="X58" s="114">
        <f ca="1">IF(Программа="Лизинг",MAX(SUMPRODUCT(Предпосылки!$F$31:$F$70,Предпосылки!AC31:AC70),0),0)</f>
        <v>0</v>
      </c>
      <c r="Y58" s="114">
        <f ca="1">IF(Программа="Лизинг",MAX(SUMPRODUCT(Предпосылки!$F$31:$F$70,Предпосылки!AD31:AD70),0),0)</f>
        <v>0</v>
      </c>
      <c r="Z58" s="114">
        <f ca="1">IF(Программа="Лизинг",MAX(SUMPRODUCT(Предпосылки!$F$31:$F$70,Предпосылки!AE31:AE70),0),0)</f>
        <v>0</v>
      </c>
      <c r="AA58" s="114">
        <f ca="1">IF(Программа="Лизинг",MAX(SUMPRODUCT(Предпосылки!$F$31:$F$70,Предпосылки!AF31:AF70),0),0)</f>
        <v>0</v>
      </c>
      <c r="AB58" s="114">
        <f ca="1">IF(Программа="Лизинг",MAX(SUMPRODUCT(Предпосылки!$F$31:$F$70,Предпосылки!AG31:AG70),0),0)</f>
        <v>0</v>
      </c>
      <c r="AC58" s="114">
        <f ca="1">IF(Программа="Лизинг",MAX(SUMPRODUCT(Предпосылки!$F$31:$F$70,Предпосылки!AH31:AH70),0),0)</f>
        <v>0</v>
      </c>
      <c r="AD58" s="114">
        <f ca="1">IF(Программа="Лизинг",MAX(SUMPRODUCT(Предпосылки!$F$31:$F$70,Предпосылки!AI31:AI70),0),0)</f>
        <v>0</v>
      </c>
      <c r="AE58" s="114">
        <f ca="1">IF(Программа="Лизинг",MAX(SUMPRODUCT(Предпосылки!$F$31:$F$70,Предпосылки!AJ31:AJ70),0),0)</f>
        <v>0</v>
      </c>
      <c r="AF58" s="114">
        <f ca="1">IF(Программа="Лизинг",MAX(SUMPRODUCT(Предпосылки!$F$31:$F$70,Предпосылки!AK31:AK70),0),0)</f>
        <v>0</v>
      </c>
      <c r="AG58" s="114">
        <f ca="1">IF(Программа="Лизинг",MAX(SUMPRODUCT(Предпосылки!$F$31:$F$70,Предпосылки!AL31:AL70),0),0)</f>
        <v>0</v>
      </c>
      <c r="AH58" s="114">
        <f ca="1">IF(Программа="Лизинг",MAX(SUMPRODUCT(Предпосылки!$F$31:$F$70,Предпосылки!AM31:AM70),0),0)</f>
        <v>0</v>
      </c>
      <c r="AI58" s="114">
        <f ca="1">IF(Программа="Лизинг",MAX(SUMPRODUCT(Предпосылки!$F$31:$F$70,Предпосылки!AN31:AN70),0),0)</f>
        <v>0</v>
      </c>
      <c r="AJ58" s="114">
        <f ca="1">IF(Программа="Лизинг",MAX(SUMPRODUCT(Предпосылки!$F$31:$F$70,Предпосылки!AO31:AO70),0),0)</f>
        <v>0</v>
      </c>
      <c r="AK58" s="114">
        <f ca="1">IF(Программа="Лизинг",MAX(SUMPRODUCT(Предпосылки!$F$31:$F$70,Предпосылки!AP31:AP70),0),0)</f>
        <v>0</v>
      </c>
      <c r="AL58" s="114">
        <f ca="1">IF(Программа="Лизинг",MAX(SUMPRODUCT(Предпосылки!$F$31:$F$70,Предпосылки!AQ31:AQ70),0),0)</f>
        <v>0</v>
      </c>
      <c r="AM58" s="114">
        <f ca="1">IF(Программа="Лизинг",MAX(SUMPRODUCT(Предпосылки!$F$31:$F$70,Предпосылки!AR31:AR70),0),0)</f>
        <v>0</v>
      </c>
      <c r="AN58" s="114">
        <f ca="1">IF(Программа="Лизинг",MAX(SUMPRODUCT(Предпосылки!$F$31:$F$70,Предпосылки!AS31:AS70),0),0)</f>
        <v>0</v>
      </c>
      <c r="AO58" s="114">
        <f ca="1">IF(Программа="Лизинг",MAX(SUMPRODUCT(Предпосылки!$F$31:$F$70,Предпосылки!AT31:AT70),0),0)</f>
        <v>0</v>
      </c>
      <c r="AP58" s="114">
        <f ca="1">IF(Программа="Лизинг",MAX(SUMPRODUCT(Предпосылки!$F$31:$F$70,Предпосылки!AU31:AU70),0),0)</f>
        <v>0</v>
      </c>
      <c r="AQ58" s="114">
        <f ca="1">IF(Программа="Лизинг",MAX(SUMPRODUCT(Предпосылки!$F$31:$F$70,Предпосылки!AV31:AV70),0),0)</f>
        <v>0</v>
      </c>
      <c r="AR58" s="114">
        <f ca="1">IF(Программа="Лизинг",MAX(SUMPRODUCT(Предпосылки!$F$31:$F$70,Предпосылки!AW31:AW70),0),0)</f>
        <v>0</v>
      </c>
      <c r="AS58" s="114">
        <f ca="1">IF(Программа="Лизинг",MAX(SUMPRODUCT(Предпосылки!$F$31:$F$70,Предпосылки!AX31:AX70),0),0)</f>
        <v>0</v>
      </c>
      <c r="AT58" s="114">
        <f ca="1">IF(Программа="Лизинг",MAX(SUMPRODUCT(Предпосылки!$F$31:$F$70,Предпосылки!AY31:AY70),0),0)</f>
        <v>0</v>
      </c>
      <c r="AU58" s="114">
        <f ca="1">IF(Программа="Лизинг",MAX(SUMPRODUCT(Предпосылки!$F$31:$F$70,Предпосылки!AZ31:AZ70),0),0)</f>
        <v>0</v>
      </c>
      <c r="AV58" s="114">
        <f ca="1">IF(Программа="Лизинг",MAX(SUMPRODUCT(Предпосылки!$F$31:$F$70,Предпосылки!BA31:BA70),0),0)</f>
        <v>0</v>
      </c>
      <c r="AW58" s="114">
        <f ca="1">IF(Программа="Лизинг",MAX(SUMPRODUCT(Предпосылки!$F$31:$F$70,Предпосылки!BB31:BB70),0),0)</f>
        <v>0</v>
      </c>
      <c r="AX58" s="114">
        <f ca="1">IF(Программа="Лизинг",MAX(SUMPRODUCT(Предпосылки!$F$31:$F$70,Предпосылки!BC31:BC70),0),0)</f>
        <v>0</v>
      </c>
      <c r="AY58" s="114">
        <f ca="1">IF(Программа="Лизинг",MAX(SUMPRODUCT(Предпосылки!$F$31:$F$70,Предпосылки!BD31:BD70),0),0)</f>
        <v>0</v>
      </c>
      <c r="AZ58" s="114">
        <f ca="1">IF(Программа="Лизинг",MAX(SUMPRODUCT(Предпосылки!$F$31:$F$70,Предпосылки!BE31:BE70),0),0)</f>
        <v>0</v>
      </c>
      <c r="BA58" s="114">
        <f ca="1">IF(Программа="Лизинг",MAX(SUMPRODUCT(Предпосылки!$F$31:$F$70,Предпосылки!BF31:BF70),0),0)</f>
        <v>0</v>
      </c>
      <c r="BB58" s="114">
        <f ca="1">IF(Программа="Лизинг",MAX(SUMPRODUCT(Предпосылки!$F$31:$F$70,Предпосылки!BG31:BG70),0),0)</f>
        <v>0</v>
      </c>
      <c r="BC58" s="114">
        <f ca="1">IF(Программа="Лизинг",MAX(SUMPRODUCT(Предпосылки!$F$31:$F$70,Предпосылки!BH31:BH70),0),0)</f>
        <v>0</v>
      </c>
      <c r="BD58" s="114">
        <f ca="1">IF(Программа="Лизинг",MAX(SUMPRODUCT(Предпосылки!$F$31:$F$70,Предпосылки!BI31:BI70),0),0)</f>
        <v>0</v>
      </c>
      <c r="BE58" s="114">
        <f ca="1">IF(Программа="Лизинг",MAX(SUMPRODUCT(Предпосылки!$F$31:$F$70,Предпосылки!BJ31:BJ70),0),0)</f>
        <v>0</v>
      </c>
      <c r="BF58" s="114">
        <f ca="1">IF(Программа="Лизинг",MAX(SUMPRODUCT(Предпосылки!$F$31:$F$70,Предпосылки!BK31:BK70),0),0)</f>
        <v>0</v>
      </c>
      <c r="BG58" s="114">
        <f ca="1">IF(Программа="Лизинг",MAX(SUMPRODUCT(Предпосылки!$F$31:$F$70,Предпосылки!BL31:BL70),0),0)</f>
        <v>0</v>
      </c>
      <c r="BH58" s="114">
        <f ca="1">IF(Программа="Лизинг",MAX(SUMPRODUCT(Предпосылки!$F$31:$F$70,Предпосылки!BM31:BM70),0),0)</f>
        <v>0</v>
      </c>
      <c r="BI58" s="114">
        <f ca="1">IF(Программа="Лизинг",MAX(SUMPRODUCT(Предпосылки!$F$31:$F$70,Предпосылки!BN31:BN70),0),0)</f>
        <v>0</v>
      </c>
      <c r="BJ58" s="114">
        <f ca="1">IF(Программа="Лизинг",MAX(SUMPRODUCT(Предпосылки!$F$31:$F$70,Предпосылки!BO31:BO70),0),0)</f>
        <v>0</v>
      </c>
      <c r="BK58" s="114">
        <f ca="1">IF(Программа="Лизинг",MAX(SUMPRODUCT(Предпосылки!$F$31:$F$70,Предпосылки!BP31:BP70),0),0)</f>
        <v>0</v>
      </c>
      <c r="BL58" s="114">
        <f ca="1">IF(Программа="Лизинг",MAX(SUMPRODUCT(Предпосылки!$F$31:$F$70,Предпосылки!BQ31:BQ70),0),0)</f>
        <v>0</v>
      </c>
      <c r="BM58" s="114">
        <f ca="1">IF(Программа="Лизинг",MAX(SUMPRODUCT(Предпосылки!$F$31:$F$70,Предпосылки!BR31:BR70),0),0)</f>
        <v>0</v>
      </c>
    </row>
    <row r="59" spans="2:71" ht="15" customHeight="1">
      <c r="B59" s="37"/>
      <c r="C59" s="37"/>
      <c r="D59" s="37"/>
      <c r="E59" s="37"/>
      <c r="F59" s="37"/>
      <c r="G59" s="37"/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7"/>
      <c r="T59" s="37"/>
      <c r="U59" s="37"/>
      <c r="V59" s="37"/>
      <c r="W59" s="37"/>
      <c r="X59" s="37"/>
      <c r="Y59" s="37"/>
      <c r="Z59" s="37"/>
      <c r="AA59" s="37"/>
      <c r="AB59" s="37"/>
      <c r="AC59" s="37"/>
      <c r="AD59" s="37"/>
      <c r="AE59" s="37"/>
      <c r="AF59" s="37"/>
      <c r="AG59" s="37"/>
      <c r="AH59" s="37"/>
      <c r="AI59" s="37"/>
      <c r="AJ59" s="37"/>
      <c r="AK59" s="37"/>
      <c r="AL59" s="37"/>
      <c r="AM59" s="37"/>
      <c r="AN59" s="37"/>
      <c r="AO59" s="37"/>
      <c r="AP59" s="37"/>
      <c r="AQ59" s="37"/>
      <c r="AR59" s="37"/>
      <c r="AS59" s="37"/>
      <c r="AT59" s="37"/>
      <c r="AU59" s="37"/>
      <c r="AV59" s="37"/>
      <c r="AW59" s="37"/>
      <c r="AX59" s="37"/>
      <c r="AY59" s="37"/>
      <c r="AZ59" s="37"/>
      <c r="BA59" s="37"/>
      <c r="BB59" s="37"/>
      <c r="BC59" s="37"/>
      <c r="BD59" s="37"/>
      <c r="BE59" s="37"/>
      <c r="BF59" s="37"/>
      <c r="BG59" s="37"/>
      <c r="BH59" s="37"/>
      <c r="BI59" s="37"/>
      <c r="BJ59" s="37"/>
      <c r="BK59" s="37"/>
      <c r="BL59" s="37"/>
      <c r="BM59" s="37"/>
    </row>
    <row r="60" spans="2:71" ht="21">
      <c r="B60" s="40" t="s">
        <v>26</v>
      </c>
      <c r="C60" s="37"/>
      <c r="D60" s="40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  <c r="AF60" s="41"/>
      <c r="AG60" s="41"/>
      <c r="AH60" s="41"/>
      <c r="AI60" s="41"/>
      <c r="AJ60" s="41"/>
      <c r="AK60" s="41"/>
      <c r="AL60" s="41"/>
      <c r="AM60" s="41"/>
      <c r="AN60" s="41"/>
      <c r="AO60" s="41"/>
      <c r="AP60" s="41"/>
      <c r="AQ60" s="41"/>
      <c r="AR60" s="41"/>
      <c r="AS60" s="41"/>
      <c r="AT60" s="41"/>
      <c r="AU60" s="41"/>
      <c r="AV60" s="41"/>
      <c r="AW60" s="41"/>
      <c r="AX60" s="41"/>
      <c r="AY60" s="41"/>
      <c r="AZ60" s="41"/>
      <c r="BA60" s="41"/>
      <c r="BB60" s="41"/>
      <c r="BC60" s="41"/>
      <c r="BD60" s="41"/>
      <c r="BE60" s="41"/>
      <c r="BF60" s="41"/>
      <c r="BG60" s="41"/>
      <c r="BH60" s="41"/>
      <c r="BI60" s="41"/>
      <c r="BJ60" s="41"/>
      <c r="BK60" s="41"/>
      <c r="BL60" s="41"/>
      <c r="BM60" s="41"/>
      <c r="BN60" s="5"/>
      <c r="BO60" s="5"/>
      <c r="BP60" s="5"/>
      <c r="BQ60" s="5"/>
      <c r="BR60" s="5"/>
      <c r="BS60" s="5"/>
    </row>
    <row r="61" spans="2:71" ht="15" customHeight="1">
      <c r="B61" s="118" t="s">
        <v>413</v>
      </c>
      <c r="C61" s="37"/>
      <c r="D61" s="37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7"/>
      <c r="T61" s="37"/>
      <c r="U61" s="37"/>
      <c r="V61" s="37"/>
      <c r="W61" s="37"/>
      <c r="X61" s="37"/>
      <c r="Y61" s="37"/>
      <c r="Z61" s="37"/>
      <c r="AA61" s="37"/>
      <c r="AB61" s="37"/>
      <c r="AC61" s="37"/>
      <c r="AD61" s="37"/>
      <c r="AE61" s="37"/>
      <c r="AF61" s="37"/>
      <c r="AG61" s="37"/>
      <c r="AH61" s="37"/>
      <c r="AI61" s="37"/>
      <c r="AJ61" s="37"/>
      <c r="AK61" s="37"/>
      <c r="AL61" s="37"/>
      <c r="AM61" s="37"/>
      <c r="AN61" s="37"/>
      <c r="AO61" s="37"/>
      <c r="AP61" s="37"/>
      <c r="AQ61" s="37"/>
      <c r="AR61" s="37"/>
      <c r="AS61" s="37"/>
      <c r="AT61" s="37"/>
      <c r="AU61" s="37"/>
      <c r="AV61" s="37"/>
      <c r="AW61" s="37"/>
      <c r="AX61" s="37"/>
      <c r="AY61" s="37"/>
      <c r="AZ61" s="37"/>
      <c r="BA61" s="37"/>
      <c r="BB61" s="37"/>
      <c r="BC61" s="37"/>
      <c r="BD61" s="37"/>
      <c r="BE61" s="37"/>
      <c r="BF61" s="37"/>
      <c r="BG61" s="37"/>
      <c r="BH61" s="37"/>
      <c r="BI61" s="37"/>
      <c r="BJ61" s="37"/>
      <c r="BK61" s="37"/>
      <c r="BL61" s="37"/>
      <c r="BM61" s="37"/>
    </row>
    <row r="62" spans="2:71" ht="15" customHeight="1">
      <c r="B62" s="112" t="s">
        <v>414</v>
      </c>
      <c r="C62" s="113" t="str">
        <f>Единица_измерения</f>
        <v>тыс. руб.</v>
      </c>
      <c r="D62" s="114"/>
      <c r="E62" s="114">
        <f>Предпосылки!D$190</f>
        <v>0</v>
      </c>
      <c r="F62" s="114">
        <f>Предпосылки!E$190</f>
        <v>0</v>
      </c>
      <c r="G62" s="114">
        <f>Предпосылки!F$190</f>
        <v>0</v>
      </c>
      <c r="H62" s="114">
        <f>Предпосылки!G$190</f>
        <v>0</v>
      </c>
      <c r="I62" s="114">
        <f>Предпосылки!H$190</f>
        <v>0</v>
      </c>
      <c r="J62" s="114">
        <f>Предпосылки!I$190</f>
        <v>0</v>
      </c>
      <c r="K62" s="114">
        <f>Предпосылки!J$190</f>
        <v>0</v>
      </c>
      <c r="L62" s="114">
        <f>Предпосылки!K$190</f>
        <v>0</v>
      </c>
      <c r="M62" s="114">
        <f>Предпосылки!L$190</f>
        <v>0</v>
      </c>
      <c r="N62" s="114">
        <f>Предпосылки!M$190</f>
        <v>0</v>
      </c>
      <c r="O62" s="114">
        <f>Предпосылки!N$190</f>
        <v>0</v>
      </c>
      <c r="P62" s="114">
        <f>Предпосылки!O$190</f>
        <v>0</v>
      </c>
      <c r="Q62" s="114">
        <f>Предпосылки!P$190</f>
        <v>0</v>
      </c>
      <c r="R62" s="114">
        <f>Предпосылки!Q$190</f>
        <v>0</v>
      </c>
      <c r="S62" s="114">
        <f>Предпосылки!R$190</f>
        <v>0</v>
      </c>
      <c r="T62" s="114">
        <f>Предпосылки!S$190</f>
        <v>0</v>
      </c>
      <c r="U62" s="114">
        <f>Предпосылки!T$190</f>
        <v>0</v>
      </c>
      <c r="V62" s="114">
        <f>Предпосылки!U$190</f>
        <v>0</v>
      </c>
      <c r="W62" s="114">
        <f>Предпосылки!V$190</f>
        <v>0</v>
      </c>
      <c r="X62" s="114">
        <f>Предпосылки!W$190</f>
        <v>0</v>
      </c>
      <c r="Y62" s="114">
        <f>Предпосылки!X$190</f>
        <v>0</v>
      </c>
      <c r="Z62" s="114">
        <f>Предпосылки!Y$190</f>
        <v>0</v>
      </c>
      <c r="AA62" s="114">
        <f>Предпосылки!Z$190</f>
        <v>0</v>
      </c>
      <c r="AB62" s="114">
        <f>Предпосылки!AA$190</f>
        <v>0</v>
      </c>
      <c r="AC62" s="114">
        <f>Предпосылки!AB$190</f>
        <v>0</v>
      </c>
      <c r="AD62" s="114">
        <f>Предпосылки!AC$190</f>
        <v>0</v>
      </c>
      <c r="AE62" s="114">
        <f>Предпосылки!AD$190</f>
        <v>0</v>
      </c>
      <c r="AF62" s="114">
        <f>Предпосылки!AE$190</f>
        <v>0</v>
      </c>
      <c r="AG62" s="114">
        <f>Предпосылки!AF$190</f>
        <v>0</v>
      </c>
      <c r="AH62" s="114">
        <f>Предпосылки!AG$190</f>
        <v>0</v>
      </c>
      <c r="AI62" s="114">
        <f>Предпосылки!AH$190</f>
        <v>0</v>
      </c>
      <c r="AJ62" s="114">
        <f>Предпосылки!AI$190</f>
        <v>0</v>
      </c>
      <c r="AK62" s="114">
        <f>Предпосылки!AJ$190</f>
        <v>0</v>
      </c>
      <c r="AL62" s="114">
        <f>Предпосылки!AK$190</f>
        <v>0</v>
      </c>
      <c r="AM62" s="114">
        <f>Предпосылки!AL$190</f>
        <v>0</v>
      </c>
      <c r="AN62" s="114">
        <f>Предпосылки!AM$190</f>
        <v>0</v>
      </c>
      <c r="AO62" s="114">
        <f>Предпосылки!AN$190</f>
        <v>0</v>
      </c>
      <c r="AP62" s="114">
        <f>Предпосылки!AO$190</f>
        <v>0</v>
      </c>
      <c r="AQ62" s="114">
        <f>Предпосылки!AP$190</f>
        <v>0</v>
      </c>
      <c r="AR62" s="114">
        <f>Предпосылки!AQ$190</f>
        <v>0</v>
      </c>
      <c r="AS62" s="114">
        <f>Предпосылки!AR$190</f>
        <v>0</v>
      </c>
      <c r="AT62" s="114">
        <f>Предпосылки!AS$190</f>
        <v>0</v>
      </c>
      <c r="AU62" s="114">
        <f>Предпосылки!AT$190</f>
        <v>0</v>
      </c>
      <c r="AV62" s="114">
        <f>Предпосылки!AU$190</f>
        <v>0</v>
      </c>
      <c r="AW62" s="114">
        <f>Предпосылки!AV$190</f>
        <v>0</v>
      </c>
      <c r="AX62" s="114">
        <f>Предпосылки!AW$190</f>
        <v>0</v>
      </c>
      <c r="AY62" s="114">
        <f>Предпосылки!AX$190</f>
        <v>0</v>
      </c>
      <c r="AZ62" s="114">
        <f>Предпосылки!AY$190</f>
        <v>0</v>
      </c>
      <c r="BA62" s="114">
        <f>Предпосылки!AZ$190</f>
        <v>0</v>
      </c>
      <c r="BB62" s="114">
        <f>Предпосылки!BA$190</f>
        <v>0</v>
      </c>
      <c r="BC62" s="114">
        <f>Предпосылки!BB$190</f>
        <v>0</v>
      </c>
      <c r="BD62" s="114">
        <f>Предпосылки!BC$190</f>
        <v>0</v>
      </c>
      <c r="BE62" s="114">
        <f>Предпосылки!BD$190</f>
        <v>0</v>
      </c>
      <c r="BF62" s="114">
        <f>Предпосылки!BE$190</f>
        <v>0</v>
      </c>
      <c r="BG62" s="114">
        <f>Предпосылки!BF$190</f>
        <v>0</v>
      </c>
      <c r="BH62" s="114">
        <f>Предпосылки!BG$190</f>
        <v>0</v>
      </c>
      <c r="BI62" s="114">
        <f>Предпосылки!BH$190</f>
        <v>0</v>
      </c>
      <c r="BJ62" s="114">
        <f>Предпосылки!BI$190</f>
        <v>0</v>
      </c>
      <c r="BK62" s="114">
        <f>Предпосылки!BJ$190</f>
        <v>0</v>
      </c>
      <c r="BL62" s="114">
        <f>Предпосылки!BK$190</f>
        <v>0</v>
      </c>
      <c r="BM62" s="114">
        <f>Предпосылки!BL$190</f>
        <v>0</v>
      </c>
    </row>
    <row r="63" spans="2:71" ht="15" customHeight="1">
      <c r="B63" s="37"/>
      <c r="C63" s="37"/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37"/>
      <c r="U63" s="37"/>
      <c r="V63" s="37"/>
      <c r="W63" s="37"/>
      <c r="X63" s="37"/>
      <c r="Y63" s="37"/>
      <c r="Z63" s="37"/>
      <c r="AA63" s="37"/>
      <c r="AB63" s="37"/>
      <c r="AC63" s="37"/>
      <c r="AD63" s="37"/>
      <c r="AE63" s="37"/>
      <c r="AF63" s="37"/>
      <c r="AG63" s="37"/>
      <c r="AH63" s="37"/>
      <c r="AI63" s="37"/>
      <c r="AJ63" s="37"/>
      <c r="AK63" s="37"/>
      <c r="AL63" s="37"/>
      <c r="AM63" s="37"/>
      <c r="AN63" s="37"/>
      <c r="AO63" s="37"/>
      <c r="AP63" s="37"/>
      <c r="AQ63" s="37"/>
      <c r="AR63" s="37"/>
      <c r="AS63" s="37"/>
      <c r="AT63" s="37"/>
      <c r="AU63" s="37"/>
      <c r="AV63" s="37"/>
      <c r="AW63" s="37"/>
      <c r="AX63" s="37"/>
      <c r="AY63" s="37"/>
      <c r="AZ63" s="37"/>
      <c r="BA63" s="37"/>
      <c r="BB63" s="37"/>
      <c r="BC63" s="37"/>
      <c r="BD63" s="37"/>
      <c r="BE63" s="37"/>
      <c r="BF63" s="37"/>
      <c r="BG63" s="37"/>
      <c r="BH63" s="37"/>
      <c r="BI63" s="37"/>
      <c r="BJ63" s="37"/>
      <c r="BK63" s="37"/>
      <c r="BL63" s="37"/>
      <c r="BM63" s="37"/>
    </row>
    <row r="64" spans="2:71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</sheetData>
  <sheetProtection algorithmName="SHA-512" hashValue="LY4LOglUuD0vBaWwu2vDeqhNvTxRFty8BS/+mv5LPIdFc3aJKoSI0FMkcCec0boaRJARv1ZEImtbjPNrBdKLCQ==" saltValue="Z/+JWF6lKV0r+t9orn1BkA==" spinCount="100000" sheet="1" objects="1" scenarios="1"/>
  <dataConsolidate link="1"/>
  <mergeCells count="5">
    <mergeCell ref="B6:B8"/>
    <mergeCell ref="C6:C8"/>
    <mergeCell ref="D6:D8"/>
    <mergeCell ref="E2:H2"/>
    <mergeCell ref="E4:G4"/>
  </mergeCells>
  <conditionalFormatting sqref="E4">
    <cfRule type="expression" dxfId="109" priority="6">
      <formula>$H$4="Q"</formula>
    </cfRule>
    <cfRule type="expression" dxfId="108" priority="7">
      <formula>$H$4="R"</formula>
    </cfRule>
  </conditionalFormatting>
  <conditionalFormatting sqref="H4">
    <cfRule type="cellIs" dxfId="107" priority="4" operator="equal">
      <formula>"Q"</formula>
    </cfRule>
    <cfRule type="cellIs" dxfId="106" priority="5" operator="equal">
      <formula>"R"</formula>
    </cfRule>
  </conditionalFormatting>
  <conditionalFormatting sqref="E12">
    <cfRule type="cellIs" dxfId="105" priority="3" operator="equal">
      <formula>1</formula>
    </cfRule>
  </conditionalFormatting>
  <conditionalFormatting sqref="F12:BM12">
    <cfRule type="cellIs" dxfId="104" priority="2" operator="equal">
      <formula>1</formula>
    </cfRule>
  </conditionalFormatting>
  <hyperlinks>
    <hyperlink ref="E4:G4" location="Проверка!A1" tooltip="Перейти на лист Проверка" display="Проверка!A1"/>
    <hyperlink ref="E3" location="Руководство!A1" tooltip="Перейти на лист Руководство" display="Руководство"/>
    <hyperlink ref="F3" location="'Параметры займа'!A1" tooltip="Перейти на лист Параметры займа" display="Параметры займа"/>
    <hyperlink ref="G3" location="Предпосылки!A1" tooltip="Перейти на лист Предпосылки" display="Предпосылки"/>
    <hyperlink ref="H3" location="Выводы!A1" tooltip="Перейти на лист Выводы" display="Выводы"/>
    <hyperlink ref="H4" location="Проверка!A1" tooltip="Перейти на лист Проверка" display="Проверка!A1"/>
    <hyperlink ref="E2:H2" r:id="rId1" tooltip="Написать в Техподдержку" display="Техподдержка финансовой модели Фонда: fm@frprf.ru"/>
  </hyperlinks>
  <pageMargins left="0.7" right="0.7" top="0.75" bottom="0.75" header="0.3" footer="0.3"/>
  <pageSetup paperSize="9" scale="11" fitToHeight="0" orientation="landscape" r:id="rId2"/>
  <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BEA09E60-D58D-485D-8384-5675D4C538C0}">
            <xm:f>IF('Параметры займа'!$E$7&lt;&gt;"Лизинг",TRUE,FALSE)</xm:f>
            <x14:dxf>
              <fill>
                <patternFill patternType="mediumGray"/>
              </fill>
            </x14:dxf>
          </x14:cfRule>
          <xm:sqref>E58:BM58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6">
    <tabColor rgb="FFFFF6DD"/>
    <pageSetUpPr fitToPage="1"/>
  </sheetPr>
  <dimension ref="A1:CE519"/>
  <sheetViews>
    <sheetView showGridLines="0" zoomScale="80" zoomScaleNormal="80" workbookViewId="0">
      <pane xSplit="4" ySplit="8" topLeftCell="E9" activePane="bottomRight" state="frozen"/>
      <selection activeCell="K3" sqref="K3"/>
      <selection pane="topRight" activeCell="K3" sqref="K3"/>
      <selection pane="bottomLeft" activeCell="K3" sqref="K3"/>
      <selection pane="bottomRight" activeCell="K3" sqref="K3"/>
    </sheetView>
  </sheetViews>
  <sheetFormatPr defaultColWidth="0" defaultRowHeight="15" customHeight="1" zeroHeight="1"/>
  <cols>
    <col min="1" max="1" width="2.7109375" customWidth="1"/>
    <col min="2" max="2" width="50.140625" customWidth="1"/>
    <col min="3" max="65" width="17.28515625" customWidth="1"/>
    <col min="66" max="66" width="2.85546875" customWidth="1"/>
    <col min="67" max="71" width="15.7109375" hidden="1" customWidth="1"/>
    <col min="72" max="72" width="2.85546875" hidden="1" customWidth="1"/>
    <col min="73" max="83" width="0" hidden="1" customWidth="1"/>
    <col min="84" max="16384" width="9.140625" hidden="1"/>
  </cols>
  <sheetData>
    <row r="1" spans="2:71" ht="15" customHeight="1"/>
    <row r="2" spans="2:71">
      <c r="E2" s="520" t="s">
        <v>401</v>
      </c>
      <c r="F2" s="521"/>
      <c r="G2" s="521"/>
      <c r="H2" s="522"/>
    </row>
    <row r="3" spans="2:71" ht="15" customHeight="1">
      <c r="E3" s="65" t="s">
        <v>250</v>
      </c>
      <c r="F3" s="65" t="s">
        <v>28</v>
      </c>
      <c r="G3" s="65" t="s">
        <v>1</v>
      </c>
      <c r="H3" s="65" t="s">
        <v>172</v>
      </c>
      <c r="J3" t="s">
        <v>447</v>
      </c>
      <c r="K3" s="302">
        <v>48213</v>
      </c>
    </row>
    <row r="4" spans="2:71" ht="15" customHeight="1">
      <c r="E4" s="511" t="str">
        <f>IF(H4="R","Все расчёты корректны","Имеются некорректные данные")</f>
        <v>Имеются некорректные данные</v>
      </c>
      <c r="F4" s="512"/>
      <c r="G4" s="513"/>
      <c r="H4" s="73" t="str">
        <f>Проверка</f>
        <v>Q</v>
      </c>
    </row>
    <row r="5" spans="2:71" ht="31.5">
      <c r="B5" s="7" t="s">
        <v>231</v>
      </c>
      <c r="D5" s="7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</row>
    <row r="6" spans="2:71" ht="15" customHeight="1">
      <c r="B6" s="526" t="s">
        <v>9</v>
      </c>
      <c r="C6" s="526" t="s">
        <v>13</v>
      </c>
      <c r="D6" s="526"/>
      <c r="E6" s="232">
        <f>SUM(D6,1)</f>
        <v>1</v>
      </c>
      <c r="F6" s="232">
        <f t="shared" ref="F6:AG6" si="0">SUM(E6,1)</f>
        <v>2</v>
      </c>
      <c r="G6" s="232">
        <f t="shared" si="0"/>
        <v>3</v>
      </c>
      <c r="H6" s="232">
        <f t="shared" si="0"/>
        <v>4</v>
      </c>
      <c r="I6" s="232">
        <f t="shared" si="0"/>
        <v>5</v>
      </c>
      <c r="J6" s="232">
        <f t="shared" si="0"/>
        <v>6</v>
      </c>
      <c r="K6" s="232">
        <f t="shared" si="0"/>
        <v>7</v>
      </c>
      <c r="L6" s="232">
        <f t="shared" si="0"/>
        <v>8</v>
      </c>
      <c r="M6" s="232">
        <f t="shared" si="0"/>
        <v>9</v>
      </c>
      <c r="N6" s="232">
        <f t="shared" si="0"/>
        <v>10</v>
      </c>
      <c r="O6" s="232">
        <f t="shared" si="0"/>
        <v>11</v>
      </c>
      <c r="P6" s="232">
        <f t="shared" si="0"/>
        <v>12</v>
      </c>
      <c r="Q6" s="232">
        <f t="shared" si="0"/>
        <v>13</v>
      </c>
      <c r="R6" s="232">
        <f t="shared" si="0"/>
        <v>14</v>
      </c>
      <c r="S6" s="232">
        <f t="shared" si="0"/>
        <v>15</v>
      </c>
      <c r="T6" s="232">
        <f t="shared" si="0"/>
        <v>16</v>
      </c>
      <c r="U6" s="232">
        <f t="shared" si="0"/>
        <v>17</v>
      </c>
      <c r="V6" s="232">
        <f t="shared" si="0"/>
        <v>18</v>
      </c>
      <c r="W6" s="232">
        <f t="shared" si="0"/>
        <v>19</v>
      </c>
      <c r="X6" s="232">
        <f t="shared" si="0"/>
        <v>20</v>
      </c>
      <c r="Y6" s="232">
        <f t="shared" si="0"/>
        <v>21</v>
      </c>
      <c r="Z6" s="232">
        <f t="shared" si="0"/>
        <v>22</v>
      </c>
      <c r="AA6" s="232">
        <f t="shared" si="0"/>
        <v>23</v>
      </c>
      <c r="AB6" s="232">
        <f t="shared" si="0"/>
        <v>24</v>
      </c>
      <c r="AC6" s="232">
        <f t="shared" si="0"/>
        <v>25</v>
      </c>
      <c r="AD6" s="232">
        <f t="shared" si="0"/>
        <v>26</v>
      </c>
      <c r="AE6" s="232">
        <f t="shared" si="0"/>
        <v>27</v>
      </c>
      <c r="AF6" s="232">
        <f t="shared" si="0"/>
        <v>28</v>
      </c>
      <c r="AG6" s="232">
        <f t="shared" si="0"/>
        <v>29</v>
      </c>
      <c r="AH6" s="232">
        <f t="shared" ref="AH6" si="1">SUM(AG6,1)</f>
        <v>30</v>
      </c>
      <c r="AI6" s="232">
        <f t="shared" ref="AI6" si="2">SUM(AH6,1)</f>
        <v>31</v>
      </c>
      <c r="AJ6" s="232">
        <f t="shared" ref="AJ6" si="3">SUM(AI6,1)</f>
        <v>32</v>
      </c>
      <c r="AK6" s="232">
        <f t="shared" ref="AK6" si="4">SUM(AJ6,1)</f>
        <v>33</v>
      </c>
      <c r="AL6" s="232">
        <f t="shared" ref="AL6" si="5">SUM(AK6,1)</f>
        <v>34</v>
      </c>
      <c r="AM6" s="232">
        <f t="shared" ref="AM6" si="6">SUM(AL6,1)</f>
        <v>35</v>
      </c>
      <c r="AN6" s="232">
        <f t="shared" ref="AN6" si="7">SUM(AM6,1)</f>
        <v>36</v>
      </c>
      <c r="AO6" s="232">
        <f t="shared" ref="AO6" si="8">SUM(AN6,1)</f>
        <v>37</v>
      </c>
      <c r="AP6" s="232">
        <f t="shared" ref="AP6" si="9">SUM(AO6,1)</f>
        <v>38</v>
      </c>
      <c r="AQ6" s="232">
        <f t="shared" ref="AQ6" si="10">SUM(AP6,1)</f>
        <v>39</v>
      </c>
      <c r="AR6" s="232">
        <f t="shared" ref="AR6" si="11">SUM(AQ6,1)</f>
        <v>40</v>
      </c>
      <c r="AS6" s="232">
        <f t="shared" ref="AS6" si="12">SUM(AR6,1)</f>
        <v>41</v>
      </c>
      <c r="AT6" s="232">
        <f t="shared" ref="AT6" si="13">SUM(AS6,1)</f>
        <v>42</v>
      </c>
      <c r="AU6" s="232">
        <f t="shared" ref="AU6" si="14">SUM(AT6,1)</f>
        <v>43</v>
      </c>
      <c r="AV6" s="232">
        <f t="shared" ref="AV6" si="15">SUM(AU6,1)</f>
        <v>44</v>
      </c>
      <c r="AW6" s="232">
        <f t="shared" ref="AW6" si="16">SUM(AV6,1)</f>
        <v>45</v>
      </c>
      <c r="AX6" s="232">
        <f t="shared" ref="AX6" si="17">SUM(AW6,1)</f>
        <v>46</v>
      </c>
      <c r="AY6" s="232">
        <f t="shared" ref="AY6" si="18">SUM(AX6,1)</f>
        <v>47</v>
      </c>
      <c r="AZ6" s="232">
        <f t="shared" ref="AZ6" si="19">SUM(AY6,1)</f>
        <v>48</v>
      </c>
      <c r="BA6" s="232">
        <f t="shared" ref="BA6" si="20">SUM(AZ6,1)</f>
        <v>49</v>
      </c>
      <c r="BB6" s="232">
        <f t="shared" ref="BB6" si="21">SUM(BA6,1)</f>
        <v>50</v>
      </c>
      <c r="BC6" s="232">
        <f t="shared" ref="BC6" si="22">SUM(BB6,1)</f>
        <v>51</v>
      </c>
      <c r="BD6" s="232">
        <f t="shared" ref="BD6" si="23">SUM(BC6,1)</f>
        <v>52</v>
      </c>
      <c r="BE6" s="232">
        <f t="shared" ref="BE6" si="24">SUM(BD6,1)</f>
        <v>53</v>
      </c>
      <c r="BF6" s="232">
        <f t="shared" ref="BF6" si="25">SUM(BE6,1)</f>
        <v>54</v>
      </c>
      <c r="BG6" s="232">
        <f t="shared" ref="BG6" si="26">SUM(BF6,1)</f>
        <v>55</v>
      </c>
      <c r="BH6" s="232">
        <f t="shared" ref="BH6" si="27">SUM(BG6,1)</f>
        <v>56</v>
      </c>
      <c r="BI6" s="232">
        <f t="shared" ref="BI6" si="28">SUM(BH6,1)</f>
        <v>57</v>
      </c>
      <c r="BJ6" s="232">
        <f t="shared" ref="BJ6" si="29">SUM(BI6,1)</f>
        <v>58</v>
      </c>
      <c r="BK6" s="232">
        <f t="shared" ref="BK6:BM6" si="30">SUM(BJ6,1)</f>
        <v>59</v>
      </c>
      <c r="BL6" s="232">
        <f t="shared" si="30"/>
        <v>60</v>
      </c>
      <c r="BM6" s="232">
        <f t="shared" si="30"/>
        <v>61</v>
      </c>
    </row>
    <row r="7" spans="2:71" ht="15" customHeight="1">
      <c r="B7" s="527"/>
      <c r="C7" s="527"/>
      <c r="D7" s="527"/>
      <c r="E7" s="227">
        <f>IF(E$6=1,Предпосылки!$C$13,D8+1)</f>
        <v>46204</v>
      </c>
      <c r="F7" s="227">
        <f>IF(F$6=1,Предпосылки!$C$13,E8+1)</f>
        <v>46296</v>
      </c>
      <c r="G7" s="227">
        <f>IF(G$6=1,Предпосылки!$C$13,F8+1)</f>
        <v>46388</v>
      </c>
      <c r="H7" s="227">
        <f>IF(H$6=1,Предпосылки!$C$13,G8+1)</f>
        <v>46478</v>
      </c>
      <c r="I7" s="227">
        <f>IF(I$6=1,Предпосылки!$C$13,H8+1)</f>
        <v>46569</v>
      </c>
      <c r="J7" s="227">
        <f>IF(J$6=1,Предпосылки!$C$13,I8+1)</f>
        <v>46661</v>
      </c>
      <c r="K7" s="227">
        <f>IF(K$6=1,Предпосылки!$C$13,J8+1)</f>
        <v>46753</v>
      </c>
      <c r="L7" s="227">
        <f>IF(L$6=1,Предпосылки!$C$13,K8+1)</f>
        <v>46844</v>
      </c>
      <c r="M7" s="227">
        <f>IF(M$6=1,Предпосылки!$C$13,L8+1)</f>
        <v>46935</v>
      </c>
      <c r="N7" s="227">
        <f>IF(N$6=1,Предпосылки!$C$13,M8+1)</f>
        <v>47027</v>
      </c>
      <c r="O7" s="227">
        <f>IF(O$6=1,Предпосылки!$C$13,N8+1)</f>
        <v>47119</v>
      </c>
      <c r="P7" s="227">
        <f>IF(P$6=1,Предпосылки!$C$13,O8+1)</f>
        <v>47209</v>
      </c>
      <c r="Q7" s="227">
        <f>IF(Q$6=1,Предпосылки!$C$13,P8+1)</f>
        <v>47300</v>
      </c>
      <c r="R7" s="227">
        <f>IF(R$6=1,Предпосылки!$C$13,Q8+1)</f>
        <v>47392</v>
      </c>
      <c r="S7" s="227">
        <f>IF(S$6=1,Предпосылки!$C$13,R8+1)</f>
        <v>47484</v>
      </c>
      <c r="T7" s="227">
        <f>IF(T$6=1,Предпосылки!$C$13,S8+1)</f>
        <v>47574</v>
      </c>
      <c r="U7" s="227">
        <f>IF(U$6=1,Предпосылки!$C$13,T8+1)</f>
        <v>47665</v>
      </c>
      <c r="V7" s="227">
        <f>IF(V$6=1,Предпосылки!$C$13,U8+1)</f>
        <v>47757</v>
      </c>
      <c r="W7" s="227">
        <f>IF(W$6=1,Предпосылки!$C$13,V8+1)</f>
        <v>47849</v>
      </c>
      <c r="X7" s="227">
        <f>IF(X$6=1,Предпосылки!$C$13,W8+1)</f>
        <v>47939</v>
      </c>
      <c r="Y7" s="227">
        <f>IF(Y$6=1,Предпосылки!$C$13,X8+1)</f>
        <v>48030</v>
      </c>
      <c r="Z7" s="227">
        <f>IF(Z$6=1,Предпосылки!$C$13,Y8+1)</f>
        <v>48122</v>
      </c>
      <c r="AA7" s="227">
        <f>IF(AA$6=1,Предпосылки!$C$13,Z8+1)</f>
        <v>48214</v>
      </c>
      <c r="AB7" s="227">
        <f>IF(AB$6=1,Предпосылки!$C$13,AA8+1)</f>
        <v>48305</v>
      </c>
      <c r="AC7" s="227">
        <f>IF(AC$6=1,Предпосылки!$C$13,AB8+1)</f>
        <v>48396</v>
      </c>
      <c r="AD7" s="227">
        <f>IF(AD$6=1,Предпосылки!$C$13,AC8+1)</f>
        <v>48488</v>
      </c>
      <c r="AE7" s="227">
        <f>IF(AE$6=1,Предпосылки!$C$13,AD8+1)</f>
        <v>48580</v>
      </c>
      <c r="AF7" s="227">
        <f>IF(AF$6=1,Предпосылки!$C$13,AE8+1)</f>
        <v>48670</v>
      </c>
      <c r="AG7" s="227">
        <f>IF(AG$6=1,Предпосылки!$C$13,AF8+1)</f>
        <v>48761</v>
      </c>
      <c r="AH7" s="227">
        <f>IF(AH$6=1,Предпосылки!$C$13,AG8+1)</f>
        <v>48853</v>
      </c>
      <c r="AI7" s="227">
        <f>IF(AI$6=1,Предпосылки!$C$13,AH8+1)</f>
        <v>48945</v>
      </c>
      <c r="AJ7" s="227">
        <f>IF(AJ$6=1,Предпосылки!$C$13,AI8+1)</f>
        <v>49035</v>
      </c>
      <c r="AK7" s="227">
        <f>IF(AK$6=1,Предпосылки!$C$13,AJ8+1)</f>
        <v>49126</v>
      </c>
      <c r="AL7" s="227">
        <f>IF(AL$6=1,Предпосылки!$C$13,AK8+1)</f>
        <v>49218</v>
      </c>
      <c r="AM7" s="227">
        <f>IF(AM$6=1,Предпосылки!$C$13,AL8+1)</f>
        <v>49310</v>
      </c>
      <c r="AN7" s="227">
        <f>IF(AN$6=1,Предпосылки!$C$13,AM8+1)</f>
        <v>49400</v>
      </c>
      <c r="AO7" s="227">
        <f>IF(AO$6=1,Предпосылки!$C$13,AN8+1)</f>
        <v>49491</v>
      </c>
      <c r="AP7" s="227">
        <f>IF(AP$6=1,Предпосылки!$C$13,AO8+1)</f>
        <v>49583</v>
      </c>
      <c r="AQ7" s="227">
        <f>IF(AQ$6=1,Предпосылки!$C$13,AP8+1)</f>
        <v>49675</v>
      </c>
      <c r="AR7" s="227">
        <f>IF(AR$6=1,Предпосылки!$C$13,AQ8+1)</f>
        <v>49766</v>
      </c>
      <c r="AS7" s="227">
        <f>IF(AS$6=1,Предпосылки!$C$13,AR8+1)</f>
        <v>49857</v>
      </c>
      <c r="AT7" s="227">
        <f>IF(AT$6=1,Предпосылки!$C$13,AS8+1)</f>
        <v>49949</v>
      </c>
      <c r="AU7" s="227">
        <f>IF(AU$6=1,Предпосылки!$C$13,AT8+1)</f>
        <v>50041</v>
      </c>
      <c r="AV7" s="227">
        <f>IF(AV$6=1,Предпосылки!$C$13,AU8+1)</f>
        <v>50131</v>
      </c>
      <c r="AW7" s="227">
        <f>IF(AW$6=1,Предпосылки!$C$13,AV8+1)</f>
        <v>50222</v>
      </c>
      <c r="AX7" s="227">
        <f>IF(AX$6=1,Предпосылки!$C$13,AW8+1)</f>
        <v>50314</v>
      </c>
      <c r="AY7" s="227">
        <f>IF(AY$6=1,Предпосылки!$C$13,AX8+1)</f>
        <v>50406</v>
      </c>
      <c r="AZ7" s="227">
        <f>IF(AZ$6=1,Предпосылки!$C$13,AY8+1)</f>
        <v>50496</v>
      </c>
      <c r="BA7" s="227">
        <f>IF(BA$6=1,Предпосылки!$C$13,AZ8+1)</f>
        <v>50587</v>
      </c>
      <c r="BB7" s="227">
        <f>IF(BB$6=1,Предпосылки!$C$13,BA8+1)</f>
        <v>50679</v>
      </c>
      <c r="BC7" s="227">
        <f>IF(BC$6=1,Предпосылки!$C$13,BB8+1)</f>
        <v>50771</v>
      </c>
      <c r="BD7" s="227">
        <f>IF(BD$6=1,Предпосылки!$C$13,BC8+1)</f>
        <v>50861</v>
      </c>
      <c r="BE7" s="227">
        <f>IF(BE$6=1,Предпосылки!$C$13,BD8+1)</f>
        <v>50952</v>
      </c>
      <c r="BF7" s="227">
        <f>IF(BF$6=1,Предпосылки!$C$13,BE8+1)</f>
        <v>51044</v>
      </c>
      <c r="BG7" s="227">
        <f>IF(BG$6=1,Предпосылки!$C$13,BF8+1)</f>
        <v>51136</v>
      </c>
      <c r="BH7" s="227">
        <f>IF(BH$6=1,Предпосылки!$C$13,BG8+1)</f>
        <v>51227</v>
      </c>
      <c r="BI7" s="227">
        <f>IF(BI$6=1,Предпосылки!$C$13,BH8+1)</f>
        <v>51318</v>
      </c>
      <c r="BJ7" s="227">
        <f>IF(BJ$6=1,Предпосылки!$C$13,BI8+1)</f>
        <v>51410</v>
      </c>
      <c r="BK7" s="227">
        <f>IF(BK$6=1,Предпосылки!$C$13,BJ8+1)</f>
        <v>51502</v>
      </c>
      <c r="BL7" s="227">
        <f>IF(BL$6=1,Предпосылки!$C$13,BK8+1)</f>
        <v>51592</v>
      </c>
      <c r="BM7" s="227">
        <f>IF(BM$6=1,Предпосылки!$C$13,BL8+1)</f>
        <v>51683</v>
      </c>
    </row>
    <row r="8" spans="2:71" ht="15" customHeight="1">
      <c r="B8" s="528"/>
      <c r="C8" s="528"/>
      <c r="D8" s="528"/>
      <c r="E8" s="227">
        <f t="shared" ref="E8:AJ8" si="31">EOMONTH(E7,Месяцев_в_квартале-1)</f>
        <v>46295</v>
      </c>
      <c r="F8" s="227">
        <f t="shared" si="31"/>
        <v>46387</v>
      </c>
      <c r="G8" s="227">
        <f t="shared" si="31"/>
        <v>46477</v>
      </c>
      <c r="H8" s="227">
        <f t="shared" si="31"/>
        <v>46568</v>
      </c>
      <c r="I8" s="227">
        <f t="shared" si="31"/>
        <v>46660</v>
      </c>
      <c r="J8" s="227">
        <f t="shared" si="31"/>
        <v>46752</v>
      </c>
      <c r="K8" s="227">
        <f t="shared" si="31"/>
        <v>46843</v>
      </c>
      <c r="L8" s="227">
        <f t="shared" si="31"/>
        <v>46934</v>
      </c>
      <c r="M8" s="227">
        <f t="shared" si="31"/>
        <v>47026</v>
      </c>
      <c r="N8" s="227">
        <f t="shared" si="31"/>
        <v>47118</v>
      </c>
      <c r="O8" s="227">
        <f t="shared" si="31"/>
        <v>47208</v>
      </c>
      <c r="P8" s="227">
        <f t="shared" si="31"/>
        <v>47299</v>
      </c>
      <c r="Q8" s="227">
        <f t="shared" si="31"/>
        <v>47391</v>
      </c>
      <c r="R8" s="227">
        <f t="shared" si="31"/>
        <v>47483</v>
      </c>
      <c r="S8" s="227">
        <f t="shared" si="31"/>
        <v>47573</v>
      </c>
      <c r="T8" s="227">
        <f t="shared" si="31"/>
        <v>47664</v>
      </c>
      <c r="U8" s="227">
        <f t="shared" si="31"/>
        <v>47756</v>
      </c>
      <c r="V8" s="227">
        <f t="shared" si="31"/>
        <v>47848</v>
      </c>
      <c r="W8" s="227">
        <f t="shared" si="31"/>
        <v>47938</v>
      </c>
      <c r="X8" s="227">
        <f t="shared" si="31"/>
        <v>48029</v>
      </c>
      <c r="Y8" s="227">
        <f t="shared" si="31"/>
        <v>48121</v>
      </c>
      <c r="Z8" s="227">
        <f t="shared" si="31"/>
        <v>48213</v>
      </c>
      <c r="AA8" s="227">
        <f t="shared" si="31"/>
        <v>48304</v>
      </c>
      <c r="AB8" s="227">
        <f t="shared" si="31"/>
        <v>48395</v>
      </c>
      <c r="AC8" s="227">
        <f t="shared" si="31"/>
        <v>48487</v>
      </c>
      <c r="AD8" s="227">
        <f t="shared" si="31"/>
        <v>48579</v>
      </c>
      <c r="AE8" s="227">
        <f t="shared" si="31"/>
        <v>48669</v>
      </c>
      <c r="AF8" s="227">
        <f t="shared" si="31"/>
        <v>48760</v>
      </c>
      <c r="AG8" s="227">
        <f t="shared" si="31"/>
        <v>48852</v>
      </c>
      <c r="AH8" s="227">
        <f t="shared" si="31"/>
        <v>48944</v>
      </c>
      <c r="AI8" s="227">
        <f t="shared" si="31"/>
        <v>49034</v>
      </c>
      <c r="AJ8" s="227">
        <f t="shared" si="31"/>
        <v>49125</v>
      </c>
      <c r="AK8" s="227">
        <f t="shared" ref="AK8:BM8" si="32">EOMONTH(AK7,Месяцев_в_квартале-1)</f>
        <v>49217</v>
      </c>
      <c r="AL8" s="227">
        <f t="shared" si="32"/>
        <v>49309</v>
      </c>
      <c r="AM8" s="227">
        <f t="shared" si="32"/>
        <v>49399</v>
      </c>
      <c r="AN8" s="227">
        <f t="shared" si="32"/>
        <v>49490</v>
      </c>
      <c r="AO8" s="227">
        <f t="shared" si="32"/>
        <v>49582</v>
      </c>
      <c r="AP8" s="227">
        <f t="shared" si="32"/>
        <v>49674</v>
      </c>
      <c r="AQ8" s="227">
        <f t="shared" si="32"/>
        <v>49765</v>
      </c>
      <c r="AR8" s="227">
        <f t="shared" si="32"/>
        <v>49856</v>
      </c>
      <c r="AS8" s="227">
        <f t="shared" si="32"/>
        <v>49948</v>
      </c>
      <c r="AT8" s="227">
        <f t="shared" si="32"/>
        <v>50040</v>
      </c>
      <c r="AU8" s="227">
        <f t="shared" si="32"/>
        <v>50130</v>
      </c>
      <c r="AV8" s="227">
        <f t="shared" si="32"/>
        <v>50221</v>
      </c>
      <c r="AW8" s="227">
        <f t="shared" si="32"/>
        <v>50313</v>
      </c>
      <c r="AX8" s="227">
        <f t="shared" si="32"/>
        <v>50405</v>
      </c>
      <c r="AY8" s="227">
        <f t="shared" si="32"/>
        <v>50495</v>
      </c>
      <c r="AZ8" s="227">
        <f t="shared" si="32"/>
        <v>50586</v>
      </c>
      <c r="BA8" s="227">
        <f t="shared" si="32"/>
        <v>50678</v>
      </c>
      <c r="BB8" s="227">
        <f t="shared" si="32"/>
        <v>50770</v>
      </c>
      <c r="BC8" s="227">
        <f t="shared" si="32"/>
        <v>50860</v>
      </c>
      <c r="BD8" s="227">
        <f t="shared" si="32"/>
        <v>50951</v>
      </c>
      <c r="BE8" s="227">
        <f t="shared" si="32"/>
        <v>51043</v>
      </c>
      <c r="BF8" s="227">
        <f t="shared" si="32"/>
        <v>51135</v>
      </c>
      <c r="BG8" s="227">
        <f t="shared" si="32"/>
        <v>51226</v>
      </c>
      <c r="BH8" s="227">
        <f t="shared" si="32"/>
        <v>51317</v>
      </c>
      <c r="BI8" s="227">
        <f t="shared" si="32"/>
        <v>51409</v>
      </c>
      <c r="BJ8" s="227">
        <f t="shared" si="32"/>
        <v>51501</v>
      </c>
      <c r="BK8" s="227">
        <f t="shared" si="32"/>
        <v>51591</v>
      </c>
      <c r="BL8" s="227">
        <f t="shared" si="32"/>
        <v>51682</v>
      </c>
      <c r="BM8" s="227">
        <f t="shared" si="32"/>
        <v>51774</v>
      </c>
    </row>
    <row r="9" spans="2:71" ht="15" customHeight="1">
      <c r="B9" s="88"/>
      <c r="C9" s="88"/>
      <c r="D9" s="88"/>
      <c r="E9" s="88"/>
      <c r="F9" s="88"/>
      <c r="G9" s="88"/>
      <c r="H9" s="88"/>
      <c r="I9" s="88"/>
      <c r="J9" s="88"/>
      <c r="K9" s="88"/>
      <c r="L9" s="88"/>
      <c r="M9" s="88"/>
      <c r="N9" s="88"/>
      <c r="O9" s="88"/>
      <c r="P9" s="88"/>
      <c r="Q9" s="88"/>
      <c r="R9" s="88"/>
      <c r="S9" s="88"/>
      <c r="T9" s="88"/>
      <c r="U9" s="88"/>
      <c r="V9" s="88"/>
      <c r="W9" s="88"/>
      <c r="X9" s="88"/>
      <c r="Y9" s="88"/>
      <c r="Z9" s="88"/>
      <c r="AA9" s="88"/>
      <c r="AB9" s="88"/>
      <c r="AC9" s="88"/>
      <c r="AD9" s="88"/>
      <c r="AE9" s="88"/>
      <c r="AF9" s="88"/>
      <c r="AG9" s="88"/>
      <c r="AH9" s="88"/>
      <c r="AI9" s="88"/>
      <c r="AJ9" s="88"/>
      <c r="AK9" s="88"/>
      <c r="AL9" s="88"/>
      <c r="AM9" s="88"/>
      <c r="AN9" s="88"/>
      <c r="AO9" s="88"/>
      <c r="AP9" s="88"/>
      <c r="AQ9" s="88"/>
      <c r="AR9" s="88"/>
      <c r="AS9" s="88"/>
      <c r="AT9" s="88"/>
      <c r="AU9" s="88"/>
      <c r="AV9" s="88"/>
      <c r="AW9" s="88"/>
      <c r="AX9" s="88"/>
      <c r="AY9" s="88"/>
      <c r="AZ9" s="88"/>
      <c r="BA9" s="88"/>
      <c r="BB9" s="88"/>
      <c r="BC9" s="88"/>
      <c r="BD9" s="88"/>
      <c r="BE9" s="88"/>
      <c r="BF9" s="88"/>
      <c r="BG9" s="88"/>
      <c r="BH9" s="88"/>
      <c r="BI9" s="88"/>
      <c r="BJ9" s="88"/>
      <c r="BK9" s="88"/>
      <c r="BL9" s="88"/>
      <c r="BM9" s="88"/>
    </row>
    <row r="10" spans="2:71" ht="15" customHeight="1">
      <c r="B10" s="112" t="s">
        <v>246</v>
      </c>
      <c r="C10" s="113"/>
      <c r="D10" s="114"/>
      <c r="E10" s="115">
        <f>YEAR(E8)</f>
        <v>2026</v>
      </c>
      <c r="F10" s="115">
        <f t="shared" ref="F10:AG10" si="33">YEAR(F8)</f>
        <v>2026</v>
      </c>
      <c r="G10" s="115">
        <f t="shared" si="33"/>
        <v>2027</v>
      </c>
      <c r="H10" s="115">
        <f t="shared" si="33"/>
        <v>2027</v>
      </c>
      <c r="I10" s="115">
        <f t="shared" si="33"/>
        <v>2027</v>
      </c>
      <c r="J10" s="115">
        <f t="shared" si="33"/>
        <v>2027</v>
      </c>
      <c r="K10" s="115">
        <f t="shared" si="33"/>
        <v>2028</v>
      </c>
      <c r="L10" s="115">
        <f t="shared" si="33"/>
        <v>2028</v>
      </c>
      <c r="M10" s="115">
        <f t="shared" si="33"/>
        <v>2028</v>
      </c>
      <c r="N10" s="115">
        <f t="shared" si="33"/>
        <v>2028</v>
      </c>
      <c r="O10" s="115">
        <f t="shared" si="33"/>
        <v>2029</v>
      </c>
      <c r="P10" s="115">
        <f t="shared" si="33"/>
        <v>2029</v>
      </c>
      <c r="Q10" s="115">
        <f t="shared" si="33"/>
        <v>2029</v>
      </c>
      <c r="R10" s="115">
        <f t="shared" si="33"/>
        <v>2029</v>
      </c>
      <c r="S10" s="115">
        <f t="shared" si="33"/>
        <v>2030</v>
      </c>
      <c r="T10" s="115">
        <f t="shared" si="33"/>
        <v>2030</v>
      </c>
      <c r="U10" s="115">
        <f t="shared" si="33"/>
        <v>2030</v>
      </c>
      <c r="V10" s="115">
        <f t="shared" si="33"/>
        <v>2030</v>
      </c>
      <c r="W10" s="115">
        <f t="shared" si="33"/>
        <v>2031</v>
      </c>
      <c r="X10" s="115">
        <f t="shared" si="33"/>
        <v>2031</v>
      </c>
      <c r="Y10" s="115">
        <f t="shared" si="33"/>
        <v>2031</v>
      </c>
      <c r="Z10" s="115">
        <f t="shared" si="33"/>
        <v>2031</v>
      </c>
      <c r="AA10" s="115">
        <f t="shared" si="33"/>
        <v>2032</v>
      </c>
      <c r="AB10" s="115">
        <f t="shared" si="33"/>
        <v>2032</v>
      </c>
      <c r="AC10" s="115">
        <f t="shared" si="33"/>
        <v>2032</v>
      </c>
      <c r="AD10" s="115">
        <f t="shared" si="33"/>
        <v>2032</v>
      </c>
      <c r="AE10" s="115">
        <f t="shared" si="33"/>
        <v>2033</v>
      </c>
      <c r="AF10" s="115">
        <f t="shared" si="33"/>
        <v>2033</v>
      </c>
      <c r="AG10" s="115">
        <f t="shared" si="33"/>
        <v>2033</v>
      </c>
      <c r="AH10" s="115">
        <f t="shared" ref="AH10:BM10" si="34">YEAR(AH8)</f>
        <v>2033</v>
      </c>
      <c r="AI10" s="115">
        <f t="shared" si="34"/>
        <v>2034</v>
      </c>
      <c r="AJ10" s="115">
        <f t="shared" si="34"/>
        <v>2034</v>
      </c>
      <c r="AK10" s="115">
        <f t="shared" si="34"/>
        <v>2034</v>
      </c>
      <c r="AL10" s="115">
        <f t="shared" si="34"/>
        <v>2034</v>
      </c>
      <c r="AM10" s="115">
        <f t="shared" si="34"/>
        <v>2035</v>
      </c>
      <c r="AN10" s="115">
        <f t="shared" si="34"/>
        <v>2035</v>
      </c>
      <c r="AO10" s="115">
        <f t="shared" si="34"/>
        <v>2035</v>
      </c>
      <c r="AP10" s="115">
        <f t="shared" si="34"/>
        <v>2035</v>
      </c>
      <c r="AQ10" s="115">
        <f t="shared" si="34"/>
        <v>2036</v>
      </c>
      <c r="AR10" s="115">
        <f t="shared" si="34"/>
        <v>2036</v>
      </c>
      <c r="AS10" s="115">
        <f t="shared" si="34"/>
        <v>2036</v>
      </c>
      <c r="AT10" s="115">
        <f t="shared" si="34"/>
        <v>2036</v>
      </c>
      <c r="AU10" s="115">
        <f t="shared" si="34"/>
        <v>2037</v>
      </c>
      <c r="AV10" s="115">
        <f t="shared" si="34"/>
        <v>2037</v>
      </c>
      <c r="AW10" s="115">
        <f t="shared" si="34"/>
        <v>2037</v>
      </c>
      <c r="AX10" s="115">
        <f t="shared" si="34"/>
        <v>2037</v>
      </c>
      <c r="AY10" s="115">
        <f t="shared" si="34"/>
        <v>2038</v>
      </c>
      <c r="AZ10" s="115">
        <f t="shared" si="34"/>
        <v>2038</v>
      </c>
      <c r="BA10" s="115">
        <f t="shared" si="34"/>
        <v>2038</v>
      </c>
      <c r="BB10" s="115">
        <f t="shared" si="34"/>
        <v>2038</v>
      </c>
      <c r="BC10" s="115">
        <f t="shared" si="34"/>
        <v>2039</v>
      </c>
      <c r="BD10" s="115">
        <f t="shared" si="34"/>
        <v>2039</v>
      </c>
      <c r="BE10" s="115">
        <f t="shared" si="34"/>
        <v>2039</v>
      </c>
      <c r="BF10" s="115">
        <f t="shared" si="34"/>
        <v>2039</v>
      </c>
      <c r="BG10" s="115">
        <f t="shared" si="34"/>
        <v>2040</v>
      </c>
      <c r="BH10" s="115">
        <f t="shared" si="34"/>
        <v>2040</v>
      </c>
      <c r="BI10" s="115">
        <f t="shared" si="34"/>
        <v>2040</v>
      </c>
      <c r="BJ10" s="115">
        <f t="shared" si="34"/>
        <v>2040</v>
      </c>
      <c r="BK10" s="115">
        <f t="shared" si="34"/>
        <v>2041</v>
      </c>
      <c r="BL10" s="115">
        <f t="shared" si="34"/>
        <v>2041</v>
      </c>
      <c r="BM10" s="115">
        <f t="shared" si="34"/>
        <v>2041</v>
      </c>
    </row>
    <row r="11" spans="2:71" ht="15" customHeight="1">
      <c r="B11" s="112" t="s">
        <v>261</v>
      </c>
      <c r="C11" s="113"/>
      <c r="D11" s="114"/>
      <c r="E11" s="115" t="str">
        <f t="shared" ref="E11" si="35">ROUNDUP(MONTH(E7)/Месяцев_в_квартале,0)&amp;" кв. "&amp;YEAR(E8)</f>
        <v>3 кв. 2026</v>
      </c>
      <c r="F11" s="115" t="str">
        <f t="shared" ref="F11:AG11" si="36">ROUNDUP(MONTH(F7)/Месяцев_в_квартале,0)&amp;" кв. "&amp;YEAR(F8)</f>
        <v>4 кв. 2026</v>
      </c>
      <c r="G11" s="115" t="str">
        <f t="shared" si="36"/>
        <v>1 кв. 2027</v>
      </c>
      <c r="H11" s="115" t="str">
        <f t="shared" si="36"/>
        <v>2 кв. 2027</v>
      </c>
      <c r="I11" s="115" t="str">
        <f t="shared" si="36"/>
        <v>3 кв. 2027</v>
      </c>
      <c r="J11" s="115" t="str">
        <f t="shared" si="36"/>
        <v>4 кв. 2027</v>
      </c>
      <c r="K11" s="115" t="str">
        <f t="shared" si="36"/>
        <v>1 кв. 2028</v>
      </c>
      <c r="L11" s="115" t="str">
        <f t="shared" si="36"/>
        <v>2 кв. 2028</v>
      </c>
      <c r="M11" s="115" t="str">
        <f t="shared" si="36"/>
        <v>3 кв. 2028</v>
      </c>
      <c r="N11" s="115" t="str">
        <f t="shared" si="36"/>
        <v>4 кв. 2028</v>
      </c>
      <c r="O11" s="115" t="str">
        <f t="shared" si="36"/>
        <v>1 кв. 2029</v>
      </c>
      <c r="P11" s="115" t="str">
        <f t="shared" si="36"/>
        <v>2 кв. 2029</v>
      </c>
      <c r="Q11" s="115" t="str">
        <f t="shared" si="36"/>
        <v>3 кв. 2029</v>
      </c>
      <c r="R11" s="115" t="str">
        <f t="shared" si="36"/>
        <v>4 кв. 2029</v>
      </c>
      <c r="S11" s="115" t="str">
        <f t="shared" si="36"/>
        <v>1 кв. 2030</v>
      </c>
      <c r="T11" s="115" t="str">
        <f t="shared" si="36"/>
        <v>2 кв. 2030</v>
      </c>
      <c r="U11" s="115" t="str">
        <f t="shared" si="36"/>
        <v>3 кв. 2030</v>
      </c>
      <c r="V11" s="115" t="str">
        <f t="shared" si="36"/>
        <v>4 кв. 2030</v>
      </c>
      <c r="W11" s="115" t="str">
        <f t="shared" si="36"/>
        <v>1 кв. 2031</v>
      </c>
      <c r="X11" s="115" t="str">
        <f t="shared" si="36"/>
        <v>2 кв. 2031</v>
      </c>
      <c r="Y11" s="115" t="str">
        <f t="shared" si="36"/>
        <v>3 кв. 2031</v>
      </c>
      <c r="Z11" s="115" t="str">
        <f t="shared" si="36"/>
        <v>4 кв. 2031</v>
      </c>
      <c r="AA11" s="115" t="str">
        <f t="shared" si="36"/>
        <v>1 кв. 2032</v>
      </c>
      <c r="AB11" s="115" t="str">
        <f t="shared" si="36"/>
        <v>2 кв. 2032</v>
      </c>
      <c r="AC11" s="115" t="str">
        <f t="shared" si="36"/>
        <v>3 кв. 2032</v>
      </c>
      <c r="AD11" s="115" t="str">
        <f t="shared" si="36"/>
        <v>4 кв. 2032</v>
      </c>
      <c r="AE11" s="115" t="str">
        <f t="shared" si="36"/>
        <v>1 кв. 2033</v>
      </c>
      <c r="AF11" s="115" t="str">
        <f t="shared" si="36"/>
        <v>2 кв. 2033</v>
      </c>
      <c r="AG11" s="115" t="str">
        <f t="shared" si="36"/>
        <v>3 кв. 2033</v>
      </c>
      <c r="AH11" s="115" t="str">
        <f t="shared" ref="AH11:BM11" si="37">ROUNDUP(MONTH(AH7)/Месяцев_в_квартале,0)&amp;" кв. "&amp;YEAR(AH8)</f>
        <v>4 кв. 2033</v>
      </c>
      <c r="AI11" s="115" t="str">
        <f t="shared" si="37"/>
        <v>1 кв. 2034</v>
      </c>
      <c r="AJ11" s="115" t="str">
        <f t="shared" si="37"/>
        <v>2 кв. 2034</v>
      </c>
      <c r="AK11" s="115" t="str">
        <f t="shared" si="37"/>
        <v>3 кв. 2034</v>
      </c>
      <c r="AL11" s="115" t="str">
        <f t="shared" si="37"/>
        <v>4 кв. 2034</v>
      </c>
      <c r="AM11" s="115" t="str">
        <f t="shared" si="37"/>
        <v>1 кв. 2035</v>
      </c>
      <c r="AN11" s="115" t="str">
        <f t="shared" si="37"/>
        <v>2 кв. 2035</v>
      </c>
      <c r="AO11" s="115" t="str">
        <f t="shared" si="37"/>
        <v>3 кв. 2035</v>
      </c>
      <c r="AP11" s="115" t="str">
        <f t="shared" si="37"/>
        <v>4 кв. 2035</v>
      </c>
      <c r="AQ11" s="115" t="str">
        <f t="shared" si="37"/>
        <v>1 кв. 2036</v>
      </c>
      <c r="AR11" s="115" t="str">
        <f t="shared" si="37"/>
        <v>2 кв. 2036</v>
      </c>
      <c r="AS11" s="115" t="str">
        <f t="shared" si="37"/>
        <v>3 кв. 2036</v>
      </c>
      <c r="AT11" s="115" t="str">
        <f t="shared" si="37"/>
        <v>4 кв. 2036</v>
      </c>
      <c r="AU11" s="115" t="str">
        <f t="shared" si="37"/>
        <v>1 кв. 2037</v>
      </c>
      <c r="AV11" s="115" t="str">
        <f t="shared" si="37"/>
        <v>2 кв. 2037</v>
      </c>
      <c r="AW11" s="115" t="str">
        <f t="shared" si="37"/>
        <v>3 кв. 2037</v>
      </c>
      <c r="AX11" s="115" t="str">
        <f t="shared" si="37"/>
        <v>4 кв. 2037</v>
      </c>
      <c r="AY11" s="115" t="str">
        <f t="shared" si="37"/>
        <v>1 кв. 2038</v>
      </c>
      <c r="AZ11" s="115" t="str">
        <f t="shared" si="37"/>
        <v>2 кв. 2038</v>
      </c>
      <c r="BA11" s="115" t="str">
        <f t="shared" si="37"/>
        <v>3 кв. 2038</v>
      </c>
      <c r="BB11" s="115" t="str">
        <f t="shared" si="37"/>
        <v>4 кв. 2038</v>
      </c>
      <c r="BC11" s="115" t="str">
        <f t="shared" si="37"/>
        <v>1 кв. 2039</v>
      </c>
      <c r="BD11" s="115" t="str">
        <f t="shared" si="37"/>
        <v>2 кв. 2039</v>
      </c>
      <c r="BE11" s="115" t="str">
        <f t="shared" si="37"/>
        <v>3 кв. 2039</v>
      </c>
      <c r="BF11" s="115" t="str">
        <f t="shared" si="37"/>
        <v>4 кв. 2039</v>
      </c>
      <c r="BG11" s="115" t="str">
        <f t="shared" si="37"/>
        <v>1 кв. 2040</v>
      </c>
      <c r="BH11" s="115" t="str">
        <f t="shared" si="37"/>
        <v>2 кв. 2040</v>
      </c>
      <c r="BI11" s="115" t="str">
        <f t="shared" si="37"/>
        <v>3 кв. 2040</v>
      </c>
      <c r="BJ11" s="115" t="str">
        <f t="shared" si="37"/>
        <v>4 кв. 2040</v>
      </c>
      <c r="BK11" s="115" t="str">
        <f t="shared" si="37"/>
        <v>1 кв. 2041</v>
      </c>
      <c r="BL11" s="115" t="str">
        <f t="shared" si="37"/>
        <v>2 кв. 2041</v>
      </c>
      <c r="BM11" s="115" t="str">
        <f t="shared" si="37"/>
        <v>3 кв. 2041</v>
      </c>
    </row>
    <row r="12" spans="2:71" ht="15" customHeight="1">
      <c r="B12" s="112" t="str">
        <f>"Период займа "&amp;IF(ISNUMBER(SEARCH("РФРП",Программа)),"ФРП и РФРП","ФРП")</f>
        <v>Период займа ФРП</v>
      </c>
      <c r="C12" s="113"/>
      <c r="D12" s="114"/>
      <c r="E12" s="115">
        <f>IF(AND(E7&gt;=Предпосылки!$C$13,E8&lt;=Предпосылки!$C$15),1,0)</f>
        <v>1</v>
      </c>
      <c r="F12" s="115">
        <f>IF(AND(F7&gt;=Предпосылки!$C$13,F8&lt;=Предпосылки!$C$15),1,0)</f>
        <v>1</v>
      </c>
      <c r="G12" s="115">
        <f>IF(AND(G7&gt;=Предпосылки!$C$13,G8&lt;=Предпосылки!$C$15),1,0)</f>
        <v>1</v>
      </c>
      <c r="H12" s="115">
        <f>IF(AND(H7&gt;=Предпосылки!$C$13,H8&lt;=Предпосылки!$C$15),1,0)</f>
        <v>1</v>
      </c>
      <c r="I12" s="115">
        <f>IF(AND(I7&gt;=Предпосылки!$C$13,I8&lt;=Предпосылки!$C$15),1,0)</f>
        <v>1</v>
      </c>
      <c r="J12" s="115">
        <f>IF(AND(J7&gt;=Предпосылки!$C$13,J8&lt;=Предпосылки!$C$15),1,0)</f>
        <v>1</v>
      </c>
      <c r="K12" s="115">
        <f>IF(AND(K7&gt;=Предпосылки!$C$13,K8&lt;=Предпосылки!$C$15),1,0)</f>
        <v>1</v>
      </c>
      <c r="L12" s="115">
        <f>IF(AND(L7&gt;=Предпосылки!$C$13,L8&lt;=Предпосылки!$C$15),1,0)</f>
        <v>1</v>
      </c>
      <c r="M12" s="115">
        <f>IF(AND(M7&gt;=Предпосылки!$C$13,M8&lt;=Предпосылки!$C$15),1,0)</f>
        <v>1</v>
      </c>
      <c r="N12" s="115">
        <f>IF(AND(N7&gt;=Предпосылки!$C$13,N8&lt;=Предпосылки!$C$15),1,0)</f>
        <v>1</v>
      </c>
      <c r="O12" s="115">
        <f>IF(AND(O7&gt;=Предпосылки!$C$13,O8&lt;=Предпосылки!$C$15),1,0)</f>
        <v>1</v>
      </c>
      <c r="P12" s="115">
        <f>IF(AND(P7&gt;=Предпосылки!$C$13,P8&lt;=Предпосылки!$C$15),1,0)</f>
        <v>1</v>
      </c>
      <c r="Q12" s="115">
        <f>IF(AND(Q7&gt;=Предпосылки!$C$13,Q8&lt;=Предпосылки!$C$15),1,0)</f>
        <v>1</v>
      </c>
      <c r="R12" s="115">
        <f>IF(AND(R7&gt;=Предпосылки!$C$13,R8&lt;=Предпосылки!$C$15),1,0)</f>
        <v>1</v>
      </c>
      <c r="S12" s="115">
        <f>IF(AND(S7&gt;=Предпосылки!$C$13,S8&lt;=Предпосылки!$C$15),1,0)</f>
        <v>1</v>
      </c>
      <c r="T12" s="115">
        <f>IF(AND(T7&gt;=Предпосылки!$C$13,T8&lt;=Предпосылки!$C$15),1,0)</f>
        <v>1</v>
      </c>
      <c r="U12" s="115">
        <f>IF(AND(U7&gt;=Предпосылки!$C$13,U8&lt;=Предпосылки!$C$15),1,0)</f>
        <v>1</v>
      </c>
      <c r="V12" s="115">
        <f>IF(AND(V7&gt;=Предпосылки!$C$13,V8&lt;=Предпосылки!$C$15),1,0)</f>
        <v>1</v>
      </c>
      <c r="W12" s="115">
        <f>IF(AND(W7&gt;=Предпосылки!$C$13,W8&lt;=Предпосылки!$C$15),1,0)</f>
        <v>1</v>
      </c>
      <c r="X12" s="115">
        <f>IF(AND(X7&gt;=Предпосылки!$C$13,X8&lt;=Предпосылки!$C$15),1,0)</f>
        <v>1</v>
      </c>
      <c r="Y12" s="115">
        <f>IF(AND(Y7&gt;=Предпосылки!$C$13,Y8&lt;=Предпосылки!$C$15),1,0)</f>
        <v>1</v>
      </c>
      <c r="Z12" s="115">
        <f>IF(AND(Z7&gt;=Предпосылки!$C$13,Z8&lt;=Предпосылки!$C$15),1,0)</f>
        <v>0</v>
      </c>
      <c r="AA12" s="115">
        <f>IF(AND(AA7&gt;=Предпосылки!$C$13,AA8&lt;=Предпосылки!$C$15),1,0)</f>
        <v>0</v>
      </c>
      <c r="AB12" s="115">
        <f>IF(AND(AB7&gt;=Предпосылки!$C$13,AB8&lt;=Предпосылки!$C$15),1,0)</f>
        <v>0</v>
      </c>
      <c r="AC12" s="115">
        <f>IF(AND(AC7&gt;=Предпосылки!$C$13,AC8&lt;=Предпосылки!$C$15),1,0)</f>
        <v>0</v>
      </c>
      <c r="AD12" s="115">
        <f>IF(AND(AD7&gt;=Предпосылки!$C$13,AD8&lt;=Предпосылки!$C$15),1,0)</f>
        <v>0</v>
      </c>
      <c r="AE12" s="115">
        <f>IF(AND(AE7&gt;=Предпосылки!$C$13,AE8&lt;=Предпосылки!$C$15),1,0)</f>
        <v>0</v>
      </c>
      <c r="AF12" s="115">
        <f>IF(AND(AF7&gt;=Предпосылки!$C$13,AF8&lt;=Предпосылки!$C$15),1,0)</f>
        <v>0</v>
      </c>
      <c r="AG12" s="115">
        <f>IF(AND(AG7&gt;=Предпосылки!$C$13,AG8&lt;=Предпосылки!$C$15),1,0)</f>
        <v>0</v>
      </c>
      <c r="AH12" s="115">
        <f>IF(AND(AH7&gt;=Предпосылки!$C$13,AH8&lt;=Предпосылки!$C$15),1,0)</f>
        <v>0</v>
      </c>
      <c r="AI12" s="115">
        <f>IF(AND(AI7&gt;=Предпосылки!$C$13,AI8&lt;=Предпосылки!$C$15),1,0)</f>
        <v>0</v>
      </c>
      <c r="AJ12" s="115">
        <f>IF(AND(AJ7&gt;=Предпосылки!$C$13,AJ8&lt;=Предпосылки!$C$15),1,0)</f>
        <v>0</v>
      </c>
      <c r="AK12" s="115">
        <f>IF(AND(AK7&gt;=Предпосылки!$C$13,AK8&lt;=Предпосылки!$C$15),1,0)</f>
        <v>0</v>
      </c>
      <c r="AL12" s="115">
        <f>IF(AND(AL7&gt;=Предпосылки!$C$13,AL8&lt;=Предпосылки!$C$15),1,0)</f>
        <v>0</v>
      </c>
      <c r="AM12" s="115">
        <f>IF(AND(AM7&gt;=Предпосылки!$C$13,AM8&lt;=Предпосылки!$C$15),1,0)</f>
        <v>0</v>
      </c>
      <c r="AN12" s="115">
        <f>IF(AND(AN7&gt;=Предпосылки!$C$13,AN8&lt;=Предпосылки!$C$15),1,0)</f>
        <v>0</v>
      </c>
      <c r="AO12" s="115">
        <f>IF(AND(AO7&gt;=Предпосылки!$C$13,AO8&lt;=Предпосылки!$C$15),1,0)</f>
        <v>0</v>
      </c>
      <c r="AP12" s="115">
        <f>IF(AND(AP7&gt;=Предпосылки!$C$13,AP8&lt;=Предпосылки!$C$15),1,0)</f>
        <v>0</v>
      </c>
      <c r="AQ12" s="115">
        <f>IF(AND(AQ7&gt;=Предпосылки!$C$13,AQ8&lt;=Предпосылки!$C$15),1,0)</f>
        <v>0</v>
      </c>
      <c r="AR12" s="115">
        <f>IF(AND(AR7&gt;=Предпосылки!$C$13,AR8&lt;=Предпосылки!$C$15),1,0)</f>
        <v>0</v>
      </c>
      <c r="AS12" s="115">
        <f>IF(AND(AS7&gt;=Предпосылки!$C$13,AS8&lt;=Предпосылки!$C$15),1,0)</f>
        <v>0</v>
      </c>
      <c r="AT12" s="115">
        <f>IF(AND(AT7&gt;=Предпосылки!$C$13,AT8&lt;=Предпосылки!$C$15),1,0)</f>
        <v>0</v>
      </c>
      <c r="AU12" s="115">
        <f>IF(AND(AU7&gt;=Предпосылки!$C$13,AU8&lt;=Предпосылки!$C$15),1,0)</f>
        <v>0</v>
      </c>
      <c r="AV12" s="115">
        <f>IF(AND(AV7&gt;=Предпосылки!$C$13,AV8&lt;=Предпосылки!$C$15),1,0)</f>
        <v>0</v>
      </c>
      <c r="AW12" s="115">
        <f>IF(AND(AW7&gt;=Предпосылки!$C$13,AW8&lt;=Предпосылки!$C$15),1,0)</f>
        <v>0</v>
      </c>
      <c r="AX12" s="115">
        <f>IF(AND(AX7&gt;=Предпосылки!$C$13,AX8&lt;=Предпосылки!$C$15),1,0)</f>
        <v>0</v>
      </c>
      <c r="AY12" s="115">
        <f>IF(AND(AY7&gt;=Предпосылки!$C$13,AY8&lt;=Предпосылки!$C$15),1,0)</f>
        <v>0</v>
      </c>
      <c r="AZ12" s="115">
        <f>IF(AND(AZ7&gt;=Предпосылки!$C$13,AZ8&lt;=Предпосылки!$C$15),1,0)</f>
        <v>0</v>
      </c>
      <c r="BA12" s="115">
        <f>IF(AND(BA7&gt;=Предпосылки!$C$13,BA8&lt;=Предпосылки!$C$15),1,0)</f>
        <v>0</v>
      </c>
      <c r="BB12" s="115">
        <f>IF(AND(BB7&gt;=Предпосылки!$C$13,BB8&lt;=Предпосылки!$C$15),1,0)</f>
        <v>0</v>
      </c>
      <c r="BC12" s="115">
        <f>IF(AND(BC7&gt;=Предпосылки!$C$13,BC8&lt;=Предпосылки!$C$15),1,0)</f>
        <v>0</v>
      </c>
      <c r="BD12" s="115">
        <f>IF(AND(BD7&gt;=Предпосылки!$C$13,BD8&lt;=Предпосылки!$C$15),1,0)</f>
        <v>0</v>
      </c>
      <c r="BE12" s="115">
        <f>IF(AND(BE7&gt;=Предпосылки!$C$13,BE8&lt;=Предпосылки!$C$15),1,0)</f>
        <v>0</v>
      </c>
      <c r="BF12" s="115">
        <f>IF(AND(BF7&gt;=Предпосылки!$C$13,BF8&lt;=Предпосылки!$C$15),1,0)</f>
        <v>0</v>
      </c>
      <c r="BG12" s="115">
        <f>IF(AND(BG7&gt;=Предпосылки!$C$13,BG8&lt;=Предпосылки!$C$15),1,0)</f>
        <v>0</v>
      </c>
      <c r="BH12" s="115">
        <f>IF(AND(BH7&gt;=Предпосылки!$C$13,BH8&lt;=Предпосылки!$C$15),1,0)</f>
        <v>0</v>
      </c>
      <c r="BI12" s="115">
        <f>IF(AND(BI7&gt;=Предпосылки!$C$13,BI8&lt;=Предпосылки!$C$15),1,0)</f>
        <v>0</v>
      </c>
      <c r="BJ12" s="115">
        <f>IF(AND(BJ7&gt;=Предпосылки!$C$13,BJ8&lt;=Предпосылки!$C$15),1,0)</f>
        <v>0</v>
      </c>
      <c r="BK12" s="115">
        <f>IF(AND(BK7&gt;=Предпосылки!$C$13,BK8&lt;=Предпосылки!$C$15),1,0)</f>
        <v>0</v>
      </c>
      <c r="BL12" s="115">
        <f>IF(AND(BL7&gt;=Предпосылки!$C$13,BL8&lt;=Предпосылки!$C$15),1,0)</f>
        <v>0</v>
      </c>
      <c r="BM12" s="115">
        <f>IF(AND(BM7&gt;=Предпосылки!$C$13,BM8&lt;=Предпосылки!$C$15),1,0)</f>
        <v>0</v>
      </c>
    </row>
    <row r="13" spans="2:71" ht="15.75" customHeight="1">
      <c r="B13" s="37"/>
      <c r="C13" s="37"/>
      <c r="D13" s="37"/>
      <c r="E13" s="37"/>
      <c r="F13" s="37"/>
      <c r="G13" s="37"/>
      <c r="H13" s="37"/>
      <c r="I13" s="37"/>
      <c r="J13" s="37"/>
      <c r="K13" s="37"/>
      <c r="L13" s="37"/>
      <c r="M13" s="37"/>
      <c r="N13" s="37"/>
      <c r="O13" s="37"/>
      <c r="P13" s="37"/>
      <c r="Q13" s="37"/>
      <c r="R13" s="37"/>
      <c r="S13" s="37"/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  <c r="AE13" s="37"/>
      <c r="AF13" s="37"/>
      <c r="AG13" s="37"/>
      <c r="AH13" s="37"/>
      <c r="AI13" s="37"/>
      <c r="AJ13" s="37"/>
      <c r="AK13" s="37"/>
      <c r="AL13" s="37"/>
      <c r="AM13" s="37"/>
      <c r="AN13" s="37"/>
      <c r="AO13" s="37"/>
      <c r="AP13" s="37"/>
      <c r="AQ13" s="37"/>
      <c r="AR13" s="37"/>
      <c r="AS13" s="37"/>
      <c r="AT13" s="37"/>
      <c r="AU13" s="37"/>
      <c r="AV13" s="37"/>
      <c r="AW13" s="37"/>
      <c r="AX13" s="37"/>
      <c r="AY13" s="37"/>
      <c r="AZ13" s="37"/>
      <c r="BA13" s="37"/>
      <c r="BB13" s="37"/>
      <c r="BC13" s="37"/>
      <c r="BD13" s="37"/>
      <c r="BE13" s="37"/>
      <c r="BF13" s="37"/>
      <c r="BG13" s="37"/>
      <c r="BH13" s="37"/>
      <c r="BI13" s="37"/>
      <c r="BJ13" s="37"/>
      <c r="BK13" s="37"/>
      <c r="BL13" s="37"/>
      <c r="BM13" s="37"/>
    </row>
    <row r="14" spans="2:71" ht="31.5">
      <c r="B14" s="38" t="s">
        <v>564</v>
      </c>
      <c r="C14" s="37"/>
      <c r="D14" s="38"/>
      <c r="E14" s="39"/>
      <c r="F14" s="39"/>
      <c r="G14" s="39"/>
      <c r="H14" s="329"/>
      <c r="I14" s="330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39"/>
      <c r="AZ14" s="39"/>
      <c r="BA14" s="39"/>
      <c r="BB14" s="39"/>
      <c r="BC14" s="39"/>
      <c r="BD14" s="39"/>
      <c r="BE14" s="39"/>
      <c r="BF14" s="39"/>
      <c r="BG14" s="39"/>
      <c r="BH14" s="39"/>
      <c r="BI14" s="39"/>
      <c r="BJ14" s="39"/>
      <c r="BK14" s="39"/>
      <c r="BL14" s="39"/>
      <c r="BM14" s="39"/>
      <c r="BN14" s="6"/>
      <c r="BO14" s="6"/>
      <c r="BP14" s="6"/>
      <c r="BQ14" s="6"/>
      <c r="BR14" s="6"/>
      <c r="BS14" s="6"/>
    </row>
    <row r="15" spans="2:71" ht="21">
      <c r="B15" s="40" t="s">
        <v>86</v>
      </c>
      <c r="C15" s="37"/>
      <c r="D15" s="40"/>
      <c r="E15" s="41"/>
      <c r="F15" s="41"/>
      <c r="G15" s="41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41"/>
      <c r="AV15" s="41"/>
      <c r="AW15" s="41"/>
      <c r="AX15" s="41"/>
      <c r="AY15" s="41"/>
      <c r="AZ15" s="41"/>
      <c r="BA15" s="41"/>
      <c r="BB15" s="41"/>
      <c r="BC15" s="41"/>
      <c r="BD15" s="41"/>
      <c r="BE15" s="41"/>
      <c r="BF15" s="41"/>
      <c r="BG15" s="41"/>
      <c r="BH15" s="41"/>
      <c r="BI15" s="41"/>
      <c r="BJ15" s="41"/>
      <c r="BK15" s="41"/>
      <c r="BL15" s="41"/>
      <c r="BM15" s="41"/>
      <c r="BN15" s="5"/>
      <c r="BO15" s="5"/>
      <c r="BP15" s="5"/>
      <c r="BQ15" s="5"/>
      <c r="BR15" s="5"/>
      <c r="BS15" s="5"/>
    </row>
    <row r="16" spans="2:71" ht="15" customHeight="1">
      <c r="B16" s="112" t="s">
        <v>87</v>
      </c>
      <c r="C16" s="113" t="str">
        <f t="shared" ref="C16:C31" si="38">Единица_измерения</f>
        <v>тыс. руб.</v>
      </c>
      <c r="D16" s="248">
        <f>SUM(E16:BM16)</f>
        <v>0</v>
      </c>
      <c r="E16" s="292"/>
      <c r="F16" s="292"/>
      <c r="G16" s="292"/>
      <c r="H16" s="292"/>
      <c r="I16" s="292"/>
      <c r="J16" s="292"/>
      <c r="K16" s="292"/>
      <c r="L16" s="292"/>
      <c r="M16" s="292"/>
      <c r="N16" s="292"/>
      <c r="O16" s="292"/>
      <c r="P16" s="292"/>
      <c r="Q16" s="292"/>
      <c r="R16" s="292"/>
      <c r="S16" s="292"/>
      <c r="T16" s="292"/>
      <c r="U16" s="292"/>
      <c r="V16" s="292"/>
      <c r="W16" s="292"/>
      <c r="X16" s="292"/>
      <c r="Y16" s="292"/>
      <c r="Z16" s="292"/>
      <c r="AA16" s="292"/>
      <c r="AB16" s="292"/>
      <c r="AC16" s="292"/>
      <c r="AD16" s="292"/>
      <c r="AE16" s="292"/>
      <c r="AF16" s="292"/>
      <c r="AG16" s="292"/>
      <c r="AH16" s="292"/>
      <c r="AI16" s="292"/>
      <c r="AJ16" s="292"/>
      <c r="AK16" s="292"/>
      <c r="AL16" s="292"/>
      <c r="AM16" s="292"/>
      <c r="AN16" s="292"/>
      <c r="AO16" s="292"/>
      <c r="AP16" s="292"/>
      <c r="AQ16" s="292"/>
      <c r="AR16" s="292"/>
      <c r="AS16" s="292"/>
      <c r="AT16" s="292"/>
      <c r="AU16" s="292"/>
      <c r="AV16" s="292"/>
      <c r="AW16" s="292"/>
      <c r="AX16" s="292"/>
      <c r="AY16" s="292"/>
      <c r="AZ16" s="292"/>
      <c r="BA16" s="292"/>
      <c r="BB16" s="292"/>
      <c r="BC16" s="292"/>
      <c r="BD16" s="292"/>
      <c r="BE16" s="292"/>
      <c r="BF16" s="292"/>
      <c r="BG16" s="292"/>
      <c r="BH16" s="292"/>
      <c r="BI16" s="292"/>
      <c r="BJ16" s="292"/>
      <c r="BK16" s="292"/>
      <c r="BL16" s="292"/>
      <c r="BM16" s="292"/>
    </row>
    <row r="17" spans="2:65" ht="15" customHeight="1">
      <c r="B17" s="117" t="s">
        <v>92</v>
      </c>
      <c r="C17" s="113" t="str">
        <f t="shared" si="38"/>
        <v>тыс. руб.</v>
      </c>
      <c r="D17" s="248">
        <f>SUM(E17:BM17)</f>
        <v>0</v>
      </c>
      <c r="E17" s="292"/>
      <c r="F17" s="292"/>
      <c r="G17" s="292"/>
      <c r="H17" s="292"/>
      <c r="I17" s="292"/>
      <c r="J17" s="292"/>
      <c r="K17" s="292"/>
      <c r="L17" s="292"/>
      <c r="M17" s="292"/>
      <c r="N17" s="292"/>
      <c r="O17" s="292"/>
      <c r="P17" s="292"/>
      <c r="Q17" s="292"/>
      <c r="R17" s="292"/>
      <c r="S17" s="292"/>
      <c r="T17" s="292"/>
      <c r="U17" s="292"/>
      <c r="V17" s="292"/>
      <c r="W17" s="292"/>
      <c r="X17" s="292"/>
      <c r="Y17" s="292"/>
      <c r="Z17" s="292"/>
      <c r="AA17" s="292"/>
      <c r="AB17" s="292"/>
      <c r="AC17" s="292"/>
      <c r="AD17" s="292"/>
      <c r="AE17" s="292"/>
      <c r="AF17" s="292"/>
      <c r="AG17" s="292"/>
      <c r="AH17" s="292"/>
      <c r="AI17" s="292"/>
      <c r="AJ17" s="292"/>
      <c r="AK17" s="292"/>
      <c r="AL17" s="292"/>
      <c r="AM17" s="292"/>
      <c r="AN17" s="292"/>
      <c r="AO17" s="292"/>
      <c r="AP17" s="292"/>
      <c r="AQ17" s="292"/>
      <c r="AR17" s="292"/>
      <c r="AS17" s="292"/>
      <c r="AT17" s="292"/>
      <c r="AU17" s="292"/>
      <c r="AV17" s="292"/>
      <c r="AW17" s="292"/>
      <c r="AX17" s="292"/>
      <c r="AY17" s="292"/>
      <c r="AZ17" s="292"/>
      <c r="BA17" s="292"/>
      <c r="BB17" s="292"/>
      <c r="BC17" s="292"/>
      <c r="BD17" s="292"/>
      <c r="BE17" s="292"/>
      <c r="BF17" s="292"/>
      <c r="BG17" s="292"/>
      <c r="BH17" s="292"/>
      <c r="BI17" s="292"/>
      <c r="BJ17" s="292"/>
      <c r="BK17" s="292"/>
      <c r="BL17" s="292"/>
      <c r="BM17" s="292"/>
    </row>
    <row r="18" spans="2:65" ht="15" customHeight="1">
      <c r="B18" s="259" t="s">
        <v>88</v>
      </c>
      <c r="C18" s="260" t="str">
        <f t="shared" si="38"/>
        <v>тыс. руб.</v>
      </c>
      <c r="D18" s="248">
        <f t="shared" ref="D18:E18" si="39">SUM(D16:D17)</f>
        <v>0</v>
      </c>
      <c r="E18" s="248">
        <f t="shared" si="39"/>
        <v>0</v>
      </c>
      <c r="F18" s="248">
        <f t="shared" ref="F18" si="40">SUM(F16:F17)</f>
        <v>0</v>
      </c>
      <c r="G18" s="248">
        <f t="shared" ref="G18:AG18" si="41">SUM(G16:G17)</f>
        <v>0</v>
      </c>
      <c r="H18" s="248">
        <f t="shared" si="41"/>
        <v>0</v>
      </c>
      <c r="I18" s="248">
        <f t="shared" si="41"/>
        <v>0</v>
      </c>
      <c r="J18" s="248">
        <f t="shared" si="41"/>
        <v>0</v>
      </c>
      <c r="K18" s="248">
        <f t="shared" si="41"/>
        <v>0</v>
      </c>
      <c r="L18" s="248">
        <f t="shared" si="41"/>
        <v>0</v>
      </c>
      <c r="M18" s="248">
        <f t="shared" si="41"/>
        <v>0</v>
      </c>
      <c r="N18" s="248">
        <f t="shared" si="41"/>
        <v>0</v>
      </c>
      <c r="O18" s="248">
        <f t="shared" si="41"/>
        <v>0</v>
      </c>
      <c r="P18" s="248">
        <f t="shared" si="41"/>
        <v>0</v>
      </c>
      <c r="Q18" s="248">
        <f t="shared" si="41"/>
        <v>0</v>
      </c>
      <c r="R18" s="248">
        <f t="shared" si="41"/>
        <v>0</v>
      </c>
      <c r="S18" s="248">
        <f t="shared" si="41"/>
        <v>0</v>
      </c>
      <c r="T18" s="248">
        <f t="shared" si="41"/>
        <v>0</v>
      </c>
      <c r="U18" s="248">
        <f t="shared" si="41"/>
        <v>0</v>
      </c>
      <c r="V18" s="248">
        <f t="shared" si="41"/>
        <v>0</v>
      </c>
      <c r="W18" s="248">
        <f t="shared" si="41"/>
        <v>0</v>
      </c>
      <c r="X18" s="248">
        <f t="shared" si="41"/>
        <v>0</v>
      </c>
      <c r="Y18" s="248">
        <f t="shared" si="41"/>
        <v>0</v>
      </c>
      <c r="Z18" s="248">
        <f t="shared" si="41"/>
        <v>0</v>
      </c>
      <c r="AA18" s="248">
        <f t="shared" si="41"/>
        <v>0</v>
      </c>
      <c r="AB18" s="248">
        <f t="shared" si="41"/>
        <v>0</v>
      </c>
      <c r="AC18" s="248">
        <f t="shared" si="41"/>
        <v>0</v>
      </c>
      <c r="AD18" s="248">
        <f t="shared" si="41"/>
        <v>0</v>
      </c>
      <c r="AE18" s="248">
        <f t="shared" si="41"/>
        <v>0</v>
      </c>
      <c r="AF18" s="248">
        <f t="shared" si="41"/>
        <v>0</v>
      </c>
      <c r="AG18" s="248">
        <f t="shared" si="41"/>
        <v>0</v>
      </c>
      <c r="AH18" s="248">
        <f t="shared" ref="AH18:BM18" si="42">SUM(AH16:AH17)</f>
        <v>0</v>
      </c>
      <c r="AI18" s="248">
        <f t="shared" si="42"/>
        <v>0</v>
      </c>
      <c r="AJ18" s="248">
        <f t="shared" si="42"/>
        <v>0</v>
      </c>
      <c r="AK18" s="248">
        <f t="shared" si="42"/>
        <v>0</v>
      </c>
      <c r="AL18" s="248">
        <f t="shared" si="42"/>
        <v>0</v>
      </c>
      <c r="AM18" s="248">
        <f t="shared" si="42"/>
        <v>0</v>
      </c>
      <c r="AN18" s="248">
        <f t="shared" si="42"/>
        <v>0</v>
      </c>
      <c r="AO18" s="248">
        <f t="shared" si="42"/>
        <v>0</v>
      </c>
      <c r="AP18" s="248">
        <f t="shared" si="42"/>
        <v>0</v>
      </c>
      <c r="AQ18" s="248">
        <f t="shared" si="42"/>
        <v>0</v>
      </c>
      <c r="AR18" s="248">
        <f t="shared" si="42"/>
        <v>0</v>
      </c>
      <c r="AS18" s="248">
        <f t="shared" si="42"/>
        <v>0</v>
      </c>
      <c r="AT18" s="248">
        <f t="shared" si="42"/>
        <v>0</v>
      </c>
      <c r="AU18" s="248">
        <f t="shared" si="42"/>
        <v>0</v>
      </c>
      <c r="AV18" s="248">
        <f t="shared" si="42"/>
        <v>0</v>
      </c>
      <c r="AW18" s="248">
        <f t="shared" si="42"/>
        <v>0</v>
      </c>
      <c r="AX18" s="248">
        <f t="shared" si="42"/>
        <v>0</v>
      </c>
      <c r="AY18" s="248">
        <f t="shared" si="42"/>
        <v>0</v>
      </c>
      <c r="AZ18" s="248">
        <f t="shared" si="42"/>
        <v>0</v>
      </c>
      <c r="BA18" s="248">
        <f t="shared" si="42"/>
        <v>0</v>
      </c>
      <c r="BB18" s="248">
        <f t="shared" si="42"/>
        <v>0</v>
      </c>
      <c r="BC18" s="248">
        <f t="shared" si="42"/>
        <v>0</v>
      </c>
      <c r="BD18" s="248">
        <f t="shared" si="42"/>
        <v>0</v>
      </c>
      <c r="BE18" s="248">
        <f t="shared" si="42"/>
        <v>0</v>
      </c>
      <c r="BF18" s="248">
        <f t="shared" si="42"/>
        <v>0</v>
      </c>
      <c r="BG18" s="248">
        <f t="shared" si="42"/>
        <v>0</v>
      </c>
      <c r="BH18" s="248">
        <f t="shared" si="42"/>
        <v>0</v>
      </c>
      <c r="BI18" s="248">
        <f t="shared" si="42"/>
        <v>0</v>
      </c>
      <c r="BJ18" s="248">
        <f t="shared" si="42"/>
        <v>0</v>
      </c>
      <c r="BK18" s="248">
        <f t="shared" si="42"/>
        <v>0</v>
      </c>
      <c r="BL18" s="248">
        <f t="shared" si="42"/>
        <v>0</v>
      </c>
      <c r="BM18" s="248">
        <f t="shared" si="42"/>
        <v>0</v>
      </c>
    </row>
    <row r="19" spans="2:65" ht="15" customHeight="1">
      <c r="B19" s="259" t="s">
        <v>145</v>
      </c>
      <c r="C19" s="260" t="s">
        <v>100</v>
      </c>
      <c r="D19" s="254" t="str">
        <f>IF(D16=0,"-",D18/D16)</f>
        <v>-</v>
      </c>
      <c r="E19" s="254" t="str">
        <f>IF(E16=0,"-",E18/E16)</f>
        <v>-</v>
      </c>
      <c r="F19" s="254" t="str">
        <f t="shared" ref="F19:BM19" si="43">IF(F16=0,"-",F18/F16)</f>
        <v>-</v>
      </c>
      <c r="G19" s="254" t="str">
        <f t="shared" si="43"/>
        <v>-</v>
      </c>
      <c r="H19" s="254" t="str">
        <f t="shared" si="43"/>
        <v>-</v>
      </c>
      <c r="I19" s="254" t="str">
        <f t="shared" si="43"/>
        <v>-</v>
      </c>
      <c r="J19" s="254" t="str">
        <f t="shared" si="43"/>
        <v>-</v>
      </c>
      <c r="K19" s="254" t="str">
        <f t="shared" si="43"/>
        <v>-</v>
      </c>
      <c r="L19" s="254" t="str">
        <f t="shared" si="43"/>
        <v>-</v>
      </c>
      <c r="M19" s="254" t="str">
        <f t="shared" si="43"/>
        <v>-</v>
      </c>
      <c r="N19" s="254" t="str">
        <f t="shared" si="43"/>
        <v>-</v>
      </c>
      <c r="O19" s="254" t="str">
        <f t="shared" si="43"/>
        <v>-</v>
      </c>
      <c r="P19" s="254" t="str">
        <f t="shared" si="43"/>
        <v>-</v>
      </c>
      <c r="Q19" s="254" t="str">
        <f t="shared" si="43"/>
        <v>-</v>
      </c>
      <c r="R19" s="254" t="str">
        <f t="shared" si="43"/>
        <v>-</v>
      </c>
      <c r="S19" s="254" t="str">
        <f t="shared" si="43"/>
        <v>-</v>
      </c>
      <c r="T19" s="254" t="str">
        <f t="shared" si="43"/>
        <v>-</v>
      </c>
      <c r="U19" s="254" t="str">
        <f t="shared" si="43"/>
        <v>-</v>
      </c>
      <c r="V19" s="254" t="str">
        <f t="shared" si="43"/>
        <v>-</v>
      </c>
      <c r="W19" s="254" t="str">
        <f t="shared" si="43"/>
        <v>-</v>
      </c>
      <c r="X19" s="254" t="str">
        <f t="shared" si="43"/>
        <v>-</v>
      </c>
      <c r="Y19" s="254" t="str">
        <f t="shared" si="43"/>
        <v>-</v>
      </c>
      <c r="Z19" s="254" t="str">
        <f t="shared" si="43"/>
        <v>-</v>
      </c>
      <c r="AA19" s="254" t="str">
        <f t="shared" si="43"/>
        <v>-</v>
      </c>
      <c r="AB19" s="254" t="str">
        <f t="shared" si="43"/>
        <v>-</v>
      </c>
      <c r="AC19" s="254" t="str">
        <f t="shared" si="43"/>
        <v>-</v>
      </c>
      <c r="AD19" s="254" t="str">
        <f t="shared" si="43"/>
        <v>-</v>
      </c>
      <c r="AE19" s="254" t="str">
        <f t="shared" si="43"/>
        <v>-</v>
      </c>
      <c r="AF19" s="254" t="str">
        <f t="shared" si="43"/>
        <v>-</v>
      </c>
      <c r="AG19" s="254" t="str">
        <f t="shared" si="43"/>
        <v>-</v>
      </c>
      <c r="AH19" s="254" t="str">
        <f t="shared" si="43"/>
        <v>-</v>
      </c>
      <c r="AI19" s="254" t="str">
        <f t="shared" si="43"/>
        <v>-</v>
      </c>
      <c r="AJ19" s="254" t="str">
        <f t="shared" si="43"/>
        <v>-</v>
      </c>
      <c r="AK19" s="254" t="str">
        <f t="shared" si="43"/>
        <v>-</v>
      </c>
      <c r="AL19" s="254" t="str">
        <f t="shared" si="43"/>
        <v>-</v>
      </c>
      <c r="AM19" s="254" t="str">
        <f t="shared" si="43"/>
        <v>-</v>
      </c>
      <c r="AN19" s="254" t="str">
        <f t="shared" si="43"/>
        <v>-</v>
      </c>
      <c r="AO19" s="254" t="str">
        <f t="shared" si="43"/>
        <v>-</v>
      </c>
      <c r="AP19" s="254" t="str">
        <f t="shared" si="43"/>
        <v>-</v>
      </c>
      <c r="AQ19" s="254" t="str">
        <f t="shared" si="43"/>
        <v>-</v>
      </c>
      <c r="AR19" s="254" t="str">
        <f t="shared" si="43"/>
        <v>-</v>
      </c>
      <c r="AS19" s="254" t="str">
        <f t="shared" si="43"/>
        <v>-</v>
      </c>
      <c r="AT19" s="254" t="str">
        <f t="shared" si="43"/>
        <v>-</v>
      </c>
      <c r="AU19" s="254" t="str">
        <f t="shared" si="43"/>
        <v>-</v>
      </c>
      <c r="AV19" s="254" t="str">
        <f t="shared" si="43"/>
        <v>-</v>
      </c>
      <c r="AW19" s="254" t="str">
        <f t="shared" si="43"/>
        <v>-</v>
      </c>
      <c r="AX19" s="254" t="str">
        <f t="shared" si="43"/>
        <v>-</v>
      </c>
      <c r="AY19" s="254" t="str">
        <f t="shared" si="43"/>
        <v>-</v>
      </c>
      <c r="AZ19" s="254" t="str">
        <f t="shared" si="43"/>
        <v>-</v>
      </c>
      <c r="BA19" s="254" t="str">
        <f t="shared" si="43"/>
        <v>-</v>
      </c>
      <c r="BB19" s="254" t="str">
        <f t="shared" si="43"/>
        <v>-</v>
      </c>
      <c r="BC19" s="254" t="str">
        <f t="shared" si="43"/>
        <v>-</v>
      </c>
      <c r="BD19" s="254" t="str">
        <f t="shared" si="43"/>
        <v>-</v>
      </c>
      <c r="BE19" s="254" t="str">
        <f t="shared" si="43"/>
        <v>-</v>
      </c>
      <c r="BF19" s="254" t="str">
        <f t="shared" si="43"/>
        <v>-</v>
      </c>
      <c r="BG19" s="254" t="str">
        <f t="shared" si="43"/>
        <v>-</v>
      </c>
      <c r="BH19" s="254" t="str">
        <f t="shared" si="43"/>
        <v>-</v>
      </c>
      <c r="BI19" s="254" t="str">
        <f t="shared" si="43"/>
        <v>-</v>
      </c>
      <c r="BJ19" s="254" t="str">
        <f t="shared" si="43"/>
        <v>-</v>
      </c>
      <c r="BK19" s="254" t="str">
        <f t="shared" si="43"/>
        <v>-</v>
      </c>
      <c r="BL19" s="254" t="str">
        <f t="shared" si="43"/>
        <v>-</v>
      </c>
      <c r="BM19" s="254" t="str">
        <f t="shared" si="43"/>
        <v>-</v>
      </c>
    </row>
    <row r="20" spans="2:65" ht="15" customHeight="1">
      <c r="B20" s="112" t="s">
        <v>90</v>
      </c>
      <c r="C20" s="113" t="str">
        <f t="shared" si="38"/>
        <v>тыс. руб.</v>
      </c>
      <c r="D20" s="248">
        <f>SUM(E20:BM20)</f>
        <v>0</v>
      </c>
      <c r="E20" s="292"/>
      <c r="F20" s="292"/>
      <c r="G20" s="292"/>
      <c r="H20" s="292"/>
      <c r="I20" s="292"/>
      <c r="J20" s="292"/>
      <c r="K20" s="292"/>
      <c r="L20" s="292"/>
      <c r="M20" s="292"/>
      <c r="N20" s="292"/>
      <c r="O20" s="292"/>
      <c r="P20" s="292"/>
      <c r="Q20" s="292"/>
      <c r="R20" s="292"/>
      <c r="S20" s="292"/>
      <c r="T20" s="292"/>
      <c r="U20" s="292"/>
      <c r="V20" s="292"/>
      <c r="W20" s="292"/>
      <c r="X20" s="292"/>
      <c r="Y20" s="292"/>
      <c r="Z20" s="292"/>
      <c r="AA20" s="292"/>
      <c r="AB20" s="292"/>
      <c r="AC20" s="292"/>
      <c r="AD20" s="292"/>
      <c r="AE20" s="292"/>
      <c r="AF20" s="292"/>
      <c r="AG20" s="292"/>
      <c r="AH20" s="292"/>
      <c r="AI20" s="292"/>
      <c r="AJ20" s="292"/>
      <c r="AK20" s="292"/>
      <c r="AL20" s="292"/>
      <c r="AM20" s="292"/>
      <c r="AN20" s="292"/>
      <c r="AO20" s="292"/>
      <c r="AP20" s="292"/>
      <c r="AQ20" s="292"/>
      <c r="AR20" s="292"/>
      <c r="AS20" s="292"/>
      <c r="AT20" s="292"/>
      <c r="AU20" s="292"/>
      <c r="AV20" s="292"/>
      <c r="AW20" s="292"/>
      <c r="AX20" s="292"/>
      <c r="AY20" s="292"/>
      <c r="AZ20" s="292"/>
      <c r="BA20" s="292"/>
      <c r="BB20" s="292"/>
      <c r="BC20" s="292"/>
      <c r="BD20" s="292"/>
      <c r="BE20" s="292"/>
      <c r="BF20" s="292"/>
      <c r="BG20" s="292"/>
      <c r="BH20" s="292"/>
      <c r="BI20" s="292"/>
      <c r="BJ20" s="292"/>
      <c r="BK20" s="292"/>
      <c r="BL20" s="292"/>
      <c r="BM20" s="292"/>
    </row>
    <row r="21" spans="2:65" ht="15" customHeight="1">
      <c r="B21" s="112" t="s">
        <v>91</v>
      </c>
      <c r="C21" s="113" t="str">
        <f t="shared" si="38"/>
        <v>тыс. руб.</v>
      </c>
      <c r="D21" s="248">
        <f>SUM(E21:BM21)</f>
        <v>0</v>
      </c>
      <c r="E21" s="292"/>
      <c r="F21" s="292"/>
      <c r="G21" s="292"/>
      <c r="H21" s="292"/>
      <c r="I21" s="292"/>
      <c r="J21" s="292"/>
      <c r="K21" s="292"/>
      <c r="L21" s="292"/>
      <c r="M21" s="292"/>
      <c r="N21" s="292"/>
      <c r="O21" s="292"/>
      <c r="P21" s="292"/>
      <c r="Q21" s="292"/>
      <c r="R21" s="292"/>
      <c r="S21" s="292"/>
      <c r="T21" s="292"/>
      <c r="U21" s="292"/>
      <c r="V21" s="292"/>
      <c r="W21" s="292"/>
      <c r="X21" s="292"/>
      <c r="Y21" s="292"/>
      <c r="Z21" s="292"/>
      <c r="AA21" s="292"/>
      <c r="AB21" s="292"/>
      <c r="AC21" s="292"/>
      <c r="AD21" s="292"/>
      <c r="AE21" s="292"/>
      <c r="AF21" s="292"/>
      <c r="AG21" s="292"/>
      <c r="AH21" s="292"/>
      <c r="AI21" s="292"/>
      <c r="AJ21" s="292"/>
      <c r="AK21" s="292"/>
      <c r="AL21" s="292"/>
      <c r="AM21" s="292"/>
      <c r="AN21" s="292"/>
      <c r="AO21" s="292"/>
      <c r="AP21" s="292"/>
      <c r="AQ21" s="292"/>
      <c r="AR21" s="292"/>
      <c r="AS21" s="292"/>
      <c r="AT21" s="292"/>
      <c r="AU21" s="292"/>
      <c r="AV21" s="292"/>
      <c r="AW21" s="292"/>
      <c r="AX21" s="292"/>
      <c r="AY21" s="292"/>
      <c r="AZ21" s="292"/>
      <c r="BA21" s="292"/>
      <c r="BB21" s="292"/>
      <c r="BC21" s="292"/>
      <c r="BD21" s="292"/>
      <c r="BE21" s="292"/>
      <c r="BF21" s="292"/>
      <c r="BG21" s="292"/>
      <c r="BH21" s="292"/>
      <c r="BI21" s="292"/>
      <c r="BJ21" s="292"/>
      <c r="BK21" s="292"/>
      <c r="BL21" s="292"/>
      <c r="BM21" s="292"/>
    </row>
    <row r="22" spans="2:65" ht="15" customHeight="1">
      <c r="B22" s="259" t="s">
        <v>89</v>
      </c>
      <c r="C22" s="260" t="str">
        <f t="shared" si="38"/>
        <v>тыс. руб.</v>
      </c>
      <c r="D22" s="248">
        <f t="shared" ref="D22" si="44">SUM(D18:D21)</f>
        <v>0</v>
      </c>
      <c r="E22" s="248">
        <f>SUM(E18,E20:E21)</f>
        <v>0</v>
      </c>
      <c r="F22" s="248">
        <f t="shared" ref="F22:BM22" si="45">SUM(F18,F20:F21)</f>
        <v>0</v>
      </c>
      <c r="G22" s="248">
        <f t="shared" si="45"/>
        <v>0</v>
      </c>
      <c r="H22" s="248">
        <f t="shared" si="45"/>
        <v>0</v>
      </c>
      <c r="I22" s="248">
        <f t="shared" si="45"/>
        <v>0</v>
      </c>
      <c r="J22" s="248">
        <f t="shared" si="45"/>
        <v>0</v>
      </c>
      <c r="K22" s="248">
        <f t="shared" si="45"/>
        <v>0</v>
      </c>
      <c r="L22" s="248">
        <f t="shared" si="45"/>
        <v>0</v>
      </c>
      <c r="M22" s="248">
        <f t="shared" si="45"/>
        <v>0</v>
      </c>
      <c r="N22" s="248">
        <f t="shared" si="45"/>
        <v>0</v>
      </c>
      <c r="O22" s="248">
        <f t="shared" si="45"/>
        <v>0</v>
      </c>
      <c r="P22" s="248">
        <f t="shared" si="45"/>
        <v>0</v>
      </c>
      <c r="Q22" s="248">
        <f t="shared" si="45"/>
        <v>0</v>
      </c>
      <c r="R22" s="248">
        <f t="shared" si="45"/>
        <v>0</v>
      </c>
      <c r="S22" s="248">
        <f t="shared" si="45"/>
        <v>0</v>
      </c>
      <c r="T22" s="248">
        <f t="shared" si="45"/>
        <v>0</v>
      </c>
      <c r="U22" s="248">
        <f t="shared" si="45"/>
        <v>0</v>
      </c>
      <c r="V22" s="248">
        <f t="shared" si="45"/>
        <v>0</v>
      </c>
      <c r="W22" s="248">
        <f t="shared" si="45"/>
        <v>0</v>
      </c>
      <c r="X22" s="248">
        <f t="shared" si="45"/>
        <v>0</v>
      </c>
      <c r="Y22" s="248">
        <f t="shared" si="45"/>
        <v>0</v>
      </c>
      <c r="Z22" s="248">
        <f t="shared" si="45"/>
        <v>0</v>
      </c>
      <c r="AA22" s="248">
        <f t="shared" si="45"/>
        <v>0</v>
      </c>
      <c r="AB22" s="248">
        <f t="shared" si="45"/>
        <v>0</v>
      </c>
      <c r="AC22" s="248">
        <f t="shared" si="45"/>
        <v>0</v>
      </c>
      <c r="AD22" s="248">
        <f t="shared" si="45"/>
        <v>0</v>
      </c>
      <c r="AE22" s="248">
        <f t="shared" si="45"/>
        <v>0</v>
      </c>
      <c r="AF22" s="248">
        <f t="shared" si="45"/>
        <v>0</v>
      </c>
      <c r="AG22" s="248">
        <f t="shared" si="45"/>
        <v>0</v>
      </c>
      <c r="AH22" s="248">
        <f t="shared" si="45"/>
        <v>0</v>
      </c>
      <c r="AI22" s="248">
        <f t="shared" si="45"/>
        <v>0</v>
      </c>
      <c r="AJ22" s="248">
        <f t="shared" si="45"/>
        <v>0</v>
      </c>
      <c r="AK22" s="248">
        <f t="shared" si="45"/>
        <v>0</v>
      </c>
      <c r="AL22" s="248">
        <f t="shared" si="45"/>
        <v>0</v>
      </c>
      <c r="AM22" s="248">
        <f t="shared" si="45"/>
        <v>0</v>
      </c>
      <c r="AN22" s="248">
        <f t="shared" si="45"/>
        <v>0</v>
      </c>
      <c r="AO22" s="248">
        <f t="shared" si="45"/>
        <v>0</v>
      </c>
      <c r="AP22" s="248">
        <f t="shared" si="45"/>
        <v>0</v>
      </c>
      <c r="AQ22" s="248">
        <f t="shared" si="45"/>
        <v>0</v>
      </c>
      <c r="AR22" s="248">
        <f t="shared" si="45"/>
        <v>0</v>
      </c>
      <c r="AS22" s="248">
        <f t="shared" si="45"/>
        <v>0</v>
      </c>
      <c r="AT22" s="248">
        <f t="shared" si="45"/>
        <v>0</v>
      </c>
      <c r="AU22" s="248">
        <f t="shared" si="45"/>
        <v>0</v>
      </c>
      <c r="AV22" s="248">
        <f t="shared" si="45"/>
        <v>0</v>
      </c>
      <c r="AW22" s="248">
        <f t="shared" si="45"/>
        <v>0</v>
      </c>
      <c r="AX22" s="248">
        <f t="shared" si="45"/>
        <v>0</v>
      </c>
      <c r="AY22" s="248">
        <f t="shared" si="45"/>
        <v>0</v>
      </c>
      <c r="AZ22" s="248">
        <f t="shared" si="45"/>
        <v>0</v>
      </c>
      <c r="BA22" s="248">
        <f t="shared" si="45"/>
        <v>0</v>
      </c>
      <c r="BB22" s="248">
        <f t="shared" si="45"/>
        <v>0</v>
      </c>
      <c r="BC22" s="248">
        <f t="shared" si="45"/>
        <v>0</v>
      </c>
      <c r="BD22" s="248">
        <f t="shared" si="45"/>
        <v>0</v>
      </c>
      <c r="BE22" s="248">
        <f t="shared" si="45"/>
        <v>0</v>
      </c>
      <c r="BF22" s="248">
        <f t="shared" si="45"/>
        <v>0</v>
      </c>
      <c r="BG22" s="248">
        <f t="shared" si="45"/>
        <v>0</v>
      </c>
      <c r="BH22" s="248">
        <f t="shared" si="45"/>
        <v>0</v>
      </c>
      <c r="BI22" s="248">
        <f t="shared" si="45"/>
        <v>0</v>
      </c>
      <c r="BJ22" s="248">
        <f t="shared" si="45"/>
        <v>0</v>
      </c>
      <c r="BK22" s="248">
        <f t="shared" si="45"/>
        <v>0</v>
      </c>
      <c r="BL22" s="248">
        <f t="shared" si="45"/>
        <v>0</v>
      </c>
      <c r="BM22" s="248">
        <f t="shared" si="45"/>
        <v>0</v>
      </c>
    </row>
    <row r="23" spans="2:65" ht="15" customHeight="1">
      <c r="B23" s="259" t="s">
        <v>147</v>
      </c>
      <c r="C23" s="260" t="s">
        <v>100</v>
      </c>
      <c r="D23" s="254" t="str">
        <f t="shared" ref="D23:BM23" si="46">IF(D16=0,"-",D22/D16)</f>
        <v>-</v>
      </c>
      <c r="E23" s="254" t="str">
        <f>IF(E16=0,"-",E22/E16)</f>
        <v>-</v>
      </c>
      <c r="F23" s="254" t="str">
        <f t="shared" si="46"/>
        <v>-</v>
      </c>
      <c r="G23" s="254" t="str">
        <f t="shared" si="46"/>
        <v>-</v>
      </c>
      <c r="H23" s="254" t="str">
        <f t="shared" si="46"/>
        <v>-</v>
      </c>
      <c r="I23" s="254" t="str">
        <f t="shared" si="46"/>
        <v>-</v>
      </c>
      <c r="J23" s="254" t="str">
        <f t="shared" si="46"/>
        <v>-</v>
      </c>
      <c r="K23" s="254" t="str">
        <f t="shared" si="46"/>
        <v>-</v>
      </c>
      <c r="L23" s="254" t="str">
        <f t="shared" si="46"/>
        <v>-</v>
      </c>
      <c r="M23" s="254" t="str">
        <f t="shared" si="46"/>
        <v>-</v>
      </c>
      <c r="N23" s="254" t="str">
        <f t="shared" si="46"/>
        <v>-</v>
      </c>
      <c r="O23" s="254" t="str">
        <f t="shared" si="46"/>
        <v>-</v>
      </c>
      <c r="P23" s="254" t="str">
        <f t="shared" si="46"/>
        <v>-</v>
      </c>
      <c r="Q23" s="254" t="str">
        <f t="shared" si="46"/>
        <v>-</v>
      </c>
      <c r="R23" s="254" t="str">
        <f t="shared" si="46"/>
        <v>-</v>
      </c>
      <c r="S23" s="254" t="str">
        <f t="shared" si="46"/>
        <v>-</v>
      </c>
      <c r="T23" s="254" t="str">
        <f t="shared" si="46"/>
        <v>-</v>
      </c>
      <c r="U23" s="254" t="str">
        <f t="shared" si="46"/>
        <v>-</v>
      </c>
      <c r="V23" s="254" t="str">
        <f t="shared" si="46"/>
        <v>-</v>
      </c>
      <c r="W23" s="254" t="str">
        <f t="shared" si="46"/>
        <v>-</v>
      </c>
      <c r="X23" s="254" t="str">
        <f t="shared" si="46"/>
        <v>-</v>
      </c>
      <c r="Y23" s="254" t="str">
        <f t="shared" si="46"/>
        <v>-</v>
      </c>
      <c r="Z23" s="254" t="str">
        <f t="shared" si="46"/>
        <v>-</v>
      </c>
      <c r="AA23" s="254" t="str">
        <f t="shared" si="46"/>
        <v>-</v>
      </c>
      <c r="AB23" s="254" t="str">
        <f t="shared" si="46"/>
        <v>-</v>
      </c>
      <c r="AC23" s="254" t="str">
        <f t="shared" si="46"/>
        <v>-</v>
      </c>
      <c r="AD23" s="254" t="str">
        <f t="shared" si="46"/>
        <v>-</v>
      </c>
      <c r="AE23" s="254" t="str">
        <f t="shared" si="46"/>
        <v>-</v>
      </c>
      <c r="AF23" s="254" t="str">
        <f t="shared" si="46"/>
        <v>-</v>
      </c>
      <c r="AG23" s="254" t="str">
        <f t="shared" si="46"/>
        <v>-</v>
      </c>
      <c r="AH23" s="254" t="str">
        <f t="shared" si="46"/>
        <v>-</v>
      </c>
      <c r="AI23" s="254" t="str">
        <f t="shared" si="46"/>
        <v>-</v>
      </c>
      <c r="AJ23" s="254" t="str">
        <f t="shared" si="46"/>
        <v>-</v>
      </c>
      <c r="AK23" s="254" t="str">
        <f t="shared" si="46"/>
        <v>-</v>
      </c>
      <c r="AL23" s="254" t="str">
        <f t="shared" si="46"/>
        <v>-</v>
      </c>
      <c r="AM23" s="254" t="str">
        <f t="shared" si="46"/>
        <v>-</v>
      </c>
      <c r="AN23" s="254" t="str">
        <f t="shared" si="46"/>
        <v>-</v>
      </c>
      <c r="AO23" s="254" t="str">
        <f t="shared" si="46"/>
        <v>-</v>
      </c>
      <c r="AP23" s="254" t="str">
        <f t="shared" si="46"/>
        <v>-</v>
      </c>
      <c r="AQ23" s="254" t="str">
        <f t="shared" si="46"/>
        <v>-</v>
      </c>
      <c r="AR23" s="254" t="str">
        <f t="shared" si="46"/>
        <v>-</v>
      </c>
      <c r="AS23" s="254" t="str">
        <f t="shared" si="46"/>
        <v>-</v>
      </c>
      <c r="AT23" s="254" t="str">
        <f t="shared" si="46"/>
        <v>-</v>
      </c>
      <c r="AU23" s="254" t="str">
        <f t="shared" si="46"/>
        <v>-</v>
      </c>
      <c r="AV23" s="254" t="str">
        <f t="shared" si="46"/>
        <v>-</v>
      </c>
      <c r="AW23" s="254" t="str">
        <f t="shared" si="46"/>
        <v>-</v>
      </c>
      <c r="AX23" s="254" t="str">
        <f t="shared" si="46"/>
        <v>-</v>
      </c>
      <c r="AY23" s="254" t="str">
        <f t="shared" si="46"/>
        <v>-</v>
      </c>
      <c r="AZ23" s="254" t="str">
        <f t="shared" si="46"/>
        <v>-</v>
      </c>
      <c r="BA23" s="254" t="str">
        <f t="shared" si="46"/>
        <v>-</v>
      </c>
      <c r="BB23" s="254" t="str">
        <f t="shared" si="46"/>
        <v>-</v>
      </c>
      <c r="BC23" s="254" t="str">
        <f t="shared" si="46"/>
        <v>-</v>
      </c>
      <c r="BD23" s="254" t="str">
        <f t="shared" si="46"/>
        <v>-</v>
      </c>
      <c r="BE23" s="254" t="str">
        <f t="shared" si="46"/>
        <v>-</v>
      </c>
      <c r="BF23" s="254" t="str">
        <f t="shared" si="46"/>
        <v>-</v>
      </c>
      <c r="BG23" s="254" t="str">
        <f t="shared" si="46"/>
        <v>-</v>
      </c>
      <c r="BH23" s="254" t="str">
        <f t="shared" si="46"/>
        <v>-</v>
      </c>
      <c r="BI23" s="254" t="str">
        <f t="shared" si="46"/>
        <v>-</v>
      </c>
      <c r="BJ23" s="254" t="str">
        <f t="shared" si="46"/>
        <v>-</v>
      </c>
      <c r="BK23" s="254" t="str">
        <f t="shared" si="46"/>
        <v>-</v>
      </c>
      <c r="BL23" s="254" t="str">
        <f t="shared" si="46"/>
        <v>-</v>
      </c>
      <c r="BM23" s="254" t="str">
        <f t="shared" si="46"/>
        <v>-</v>
      </c>
    </row>
    <row r="24" spans="2:65" ht="15" customHeight="1">
      <c r="B24" s="112" t="s">
        <v>175</v>
      </c>
      <c r="C24" s="113" t="str">
        <f t="shared" si="38"/>
        <v>тыс. руб.</v>
      </c>
      <c r="D24" s="248">
        <f>SUM(E24:BM24)</f>
        <v>0</v>
      </c>
      <c r="E24" s="292"/>
      <c r="F24" s="292"/>
      <c r="G24" s="292"/>
      <c r="H24" s="292"/>
      <c r="I24" s="292"/>
      <c r="J24" s="292"/>
      <c r="K24" s="292"/>
      <c r="L24" s="292"/>
      <c r="M24" s="292"/>
      <c r="N24" s="292"/>
      <c r="O24" s="292"/>
      <c r="P24" s="292"/>
      <c r="Q24" s="292"/>
      <c r="R24" s="292"/>
      <c r="S24" s="292"/>
      <c r="T24" s="292"/>
      <c r="U24" s="292"/>
      <c r="V24" s="292"/>
      <c r="W24" s="292"/>
      <c r="X24" s="292"/>
      <c r="Y24" s="292"/>
      <c r="Z24" s="292"/>
      <c r="AA24" s="292"/>
      <c r="AB24" s="292"/>
      <c r="AC24" s="292"/>
      <c r="AD24" s="292"/>
      <c r="AE24" s="292"/>
      <c r="AF24" s="292"/>
      <c r="AG24" s="292"/>
      <c r="AH24" s="292"/>
      <c r="AI24" s="292"/>
      <c r="AJ24" s="292"/>
      <c r="AK24" s="292"/>
      <c r="AL24" s="292"/>
      <c r="AM24" s="292"/>
      <c r="AN24" s="292"/>
      <c r="AO24" s="292"/>
      <c r="AP24" s="292"/>
      <c r="AQ24" s="292"/>
      <c r="AR24" s="292"/>
      <c r="AS24" s="292"/>
      <c r="AT24" s="292"/>
      <c r="AU24" s="292"/>
      <c r="AV24" s="292"/>
      <c r="AW24" s="292"/>
      <c r="AX24" s="292"/>
      <c r="AY24" s="292"/>
      <c r="AZ24" s="292"/>
      <c r="BA24" s="292"/>
      <c r="BB24" s="292"/>
      <c r="BC24" s="292"/>
      <c r="BD24" s="292"/>
      <c r="BE24" s="292"/>
      <c r="BF24" s="292"/>
      <c r="BG24" s="292"/>
      <c r="BH24" s="292"/>
      <c r="BI24" s="292"/>
      <c r="BJ24" s="292"/>
      <c r="BK24" s="292"/>
      <c r="BL24" s="292"/>
      <c r="BM24" s="292"/>
    </row>
    <row r="25" spans="2:65" ht="15" customHeight="1">
      <c r="B25" s="112" t="s">
        <v>93</v>
      </c>
      <c r="C25" s="113" t="str">
        <f t="shared" si="38"/>
        <v>тыс. руб.</v>
      </c>
      <c r="D25" s="248">
        <f>SUM(E25:BM25)</f>
        <v>0</v>
      </c>
      <c r="E25" s="292"/>
      <c r="F25" s="292"/>
      <c r="G25" s="292"/>
      <c r="H25" s="292"/>
      <c r="I25" s="292"/>
      <c r="J25" s="292"/>
      <c r="K25" s="292"/>
      <c r="L25" s="292"/>
      <c r="M25" s="292"/>
      <c r="N25" s="292"/>
      <c r="O25" s="292"/>
      <c r="P25" s="292"/>
      <c r="Q25" s="292"/>
      <c r="R25" s="292"/>
      <c r="S25" s="292"/>
      <c r="T25" s="292"/>
      <c r="U25" s="292"/>
      <c r="V25" s="292"/>
      <c r="W25" s="292"/>
      <c r="X25" s="292"/>
      <c r="Y25" s="292"/>
      <c r="Z25" s="292"/>
      <c r="AA25" s="292"/>
      <c r="AB25" s="292"/>
      <c r="AC25" s="292"/>
      <c r="AD25" s="292"/>
      <c r="AE25" s="292"/>
      <c r="AF25" s="292"/>
      <c r="AG25" s="292"/>
      <c r="AH25" s="292"/>
      <c r="AI25" s="292"/>
      <c r="AJ25" s="292"/>
      <c r="AK25" s="292"/>
      <c r="AL25" s="292"/>
      <c r="AM25" s="292"/>
      <c r="AN25" s="292"/>
      <c r="AO25" s="292"/>
      <c r="AP25" s="292"/>
      <c r="AQ25" s="292"/>
      <c r="AR25" s="292"/>
      <c r="AS25" s="292"/>
      <c r="AT25" s="292"/>
      <c r="AU25" s="292"/>
      <c r="AV25" s="292"/>
      <c r="AW25" s="292"/>
      <c r="AX25" s="292"/>
      <c r="AY25" s="292"/>
      <c r="AZ25" s="292"/>
      <c r="BA25" s="292"/>
      <c r="BB25" s="292"/>
      <c r="BC25" s="292"/>
      <c r="BD25" s="292"/>
      <c r="BE25" s="292"/>
      <c r="BF25" s="292"/>
      <c r="BG25" s="292"/>
      <c r="BH25" s="292"/>
      <c r="BI25" s="292"/>
      <c r="BJ25" s="292"/>
      <c r="BK25" s="292"/>
      <c r="BL25" s="292"/>
      <c r="BM25" s="292"/>
    </row>
    <row r="26" spans="2:65" ht="15" customHeight="1">
      <c r="B26" s="112" t="s">
        <v>95</v>
      </c>
      <c r="C26" s="113" t="str">
        <f t="shared" si="38"/>
        <v>тыс. руб.</v>
      </c>
      <c r="D26" s="248">
        <f>SUM(E26:BM26)</f>
        <v>0</v>
      </c>
      <c r="E26" s="292"/>
      <c r="F26" s="292"/>
      <c r="G26" s="292"/>
      <c r="H26" s="292"/>
      <c r="I26" s="292"/>
      <c r="J26" s="364"/>
      <c r="K26" s="292"/>
      <c r="L26" s="292"/>
      <c r="M26" s="292"/>
      <c r="N26" s="292"/>
      <c r="O26" s="292"/>
      <c r="P26" s="292"/>
      <c r="Q26" s="292"/>
      <c r="R26" s="292"/>
      <c r="S26" s="292"/>
      <c r="T26" s="292"/>
      <c r="U26" s="292"/>
      <c r="V26" s="292"/>
      <c r="W26" s="292"/>
      <c r="X26" s="292"/>
      <c r="Y26" s="292"/>
      <c r="Z26" s="292"/>
      <c r="AA26" s="292"/>
      <c r="AB26" s="292"/>
      <c r="AC26" s="292"/>
      <c r="AD26" s="292"/>
      <c r="AE26" s="292"/>
      <c r="AF26" s="292"/>
      <c r="AG26" s="292"/>
      <c r="AH26" s="292"/>
      <c r="AI26" s="292"/>
      <c r="AJ26" s="292"/>
      <c r="AK26" s="292"/>
      <c r="AL26" s="292"/>
      <c r="AM26" s="292"/>
      <c r="AN26" s="292"/>
      <c r="AO26" s="292"/>
      <c r="AP26" s="292"/>
      <c r="AQ26" s="292"/>
      <c r="AR26" s="292"/>
      <c r="AS26" s="292"/>
      <c r="AT26" s="292"/>
      <c r="AU26" s="292"/>
      <c r="AV26" s="292"/>
      <c r="AW26" s="292"/>
      <c r="AX26" s="292"/>
      <c r="AY26" s="292"/>
      <c r="AZ26" s="292"/>
      <c r="BA26" s="292"/>
      <c r="BB26" s="292"/>
      <c r="BC26" s="292"/>
      <c r="BD26" s="292"/>
      <c r="BE26" s="292"/>
      <c r="BF26" s="292"/>
      <c r="BG26" s="292"/>
      <c r="BH26" s="292"/>
      <c r="BI26" s="292"/>
      <c r="BJ26" s="292"/>
      <c r="BK26" s="292"/>
      <c r="BL26" s="292"/>
      <c r="BM26" s="292"/>
    </row>
    <row r="27" spans="2:65" ht="15" customHeight="1">
      <c r="B27" s="112" t="s">
        <v>94</v>
      </c>
      <c r="C27" s="113" t="str">
        <f t="shared" si="38"/>
        <v>тыс. руб.</v>
      </c>
      <c r="D27" s="248">
        <f>SUM(E27:BM27)</f>
        <v>0</v>
      </c>
      <c r="E27" s="292"/>
      <c r="F27" s="292"/>
      <c r="G27" s="292"/>
      <c r="H27" s="292"/>
      <c r="I27" s="292"/>
      <c r="J27" s="292"/>
      <c r="K27" s="292"/>
      <c r="L27" s="292"/>
      <c r="M27" s="292"/>
      <c r="N27" s="292"/>
      <c r="O27" s="292"/>
      <c r="P27" s="292"/>
      <c r="Q27" s="292"/>
      <c r="R27" s="292"/>
      <c r="S27" s="292"/>
      <c r="T27" s="292"/>
      <c r="U27" s="292"/>
      <c r="V27" s="292"/>
      <c r="W27" s="292"/>
      <c r="X27" s="292"/>
      <c r="Y27" s="292"/>
      <c r="Z27" s="292"/>
      <c r="AA27" s="292"/>
      <c r="AB27" s="292"/>
      <c r="AC27" s="292"/>
      <c r="AD27" s="292"/>
      <c r="AE27" s="292"/>
      <c r="AF27" s="292"/>
      <c r="AG27" s="292"/>
      <c r="AH27" s="292"/>
      <c r="AI27" s="292"/>
      <c r="AJ27" s="292"/>
      <c r="AK27" s="292"/>
      <c r="AL27" s="292"/>
      <c r="AM27" s="292"/>
      <c r="AN27" s="292"/>
      <c r="AO27" s="292"/>
      <c r="AP27" s="292"/>
      <c r="AQ27" s="292"/>
      <c r="AR27" s="292"/>
      <c r="AS27" s="292"/>
      <c r="AT27" s="292"/>
      <c r="AU27" s="292"/>
      <c r="AV27" s="292"/>
      <c r="AW27" s="292"/>
      <c r="AX27" s="292"/>
      <c r="AY27" s="292"/>
      <c r="AZ27" s="292"/>
      <c r="BA27" s="292"/>
      <c r="BB27" s="292"/>
      <c r="BC27" s="292"/>
      <c r="BD27" s="292"/>
      <c r="BE27" s="292"/>
      <c r="BF27" s="292"/>
      <c r="BG27" s="292"/>
      <c r="BH27" s="292"/>
      <c r="BI27" s="292"/>
      <c r="BJ27" s="292"/>
      <c r="BK27" s="292"/>
      <c r="BL27" s="292"/>
      <c r="BM27" s="292"/>
    </row>
    <row r="28" spans="2:65" ht="15" customHeight="1">
      <c r="B28" s="112" t="s">
        <v>96</v>
      </c>
      <c r="C28" s="113" t="str">
        <f t="shared" si="38"/>
        <v>тыс. руб.</v>
      </c>
      <c r="D28" s="248">
        <f>SUM(E28:BM28)</f>
        <v>0</v>
      </c>
      <c r="E28" s="292"/>
      <c r="F28" s="292"/>
      <c r="G28" s="292"/>
      <c r="H28" s="292"/>
      <c r="I28" s="292"/>
      <c r="J28" s="292"/>
      <c r="K28" s="292"/>
      <c r="L28" s="292"/>
      <c r="M28" s="292"/>
      <c r="N28" s="292"/>
      <c r="O28" s="292"/>
      <c r="P28" s="292"/>
      <c r="Q28" s="292"/>
      <c r="R28" s="292"/>
      <c r="S28" s="292"/>
      <c r="T28" s="292"/>
      <c r="U28" s="292"/>
      <c r="V28" s="292"/>
      <c r="W28" s="292"/>
      <c r="X28" s="292"/>
      <c r="Y28" s="292"/>
      <c r="Z28" s="292"/>
      <c r="AA28" s="292"/>
      <c r="AB28" s="292"/>
      <c r="AC28" s="292"/>
      <c r="AD28" s="292"/>
      <c r="AE28" s="292"/>
      <c r="AF28" s="292"/>
      <c r="AG28" s="292"/>
      <c r="AH28" s="292"/>
      <c r="AI28" s="292"/>
      <c r="AJ28" s="292"/>
      <c r="AK28" s="292"/>
      <c r="AL28" s="292"/>
      <c r="AM28" s="292"/>
      <c r="AN28" s="292"/>
      <c r="AO28" s="292"/>
      <c r="AP28" s="292"/>
      <c r="AQ28" s="292"/>
      <c r="AR28" s="292"/>
      <c r="AS28" s="292"/>
      <c r="AT28" s="292"/>
      <c r="AU28" s="292"/>
      <c r="AV28" s="292"/>
      <c r="AW28" s="292"/>
      <c r="AX28" s="292"/>
      <c r="AY28" s="292"/>
      <c r="AZ28" s="292"/>
      <c r="BA28" s="292"/>
      <c r="BB28" s="292"/>
      <c r="BC28" s="292"/>
      <c r="BD28" s="292"/>
      <c r="BE28" s="292"/>
      <c r="BF28" s="292"/>
      <c r="BG28" s="292"/>
      <c r="BH28" s="292"/>
      <c r="BI28" s="292"/>
      <c r="BJ28" s="292"/>
      <c r="BK28" s="292"/>
      <c r="BL28" s="292"/>
      <c r="BM28" s="292"/>
    </row>
    <row r="29" spans="2:65" ht="15" customHeight="1">
      <c r="B29" s="259" t="s">
        <v>97</v>
      </c>
      <c r="C29" s="260" t="str">
        <f t="shared" si="38"/>
        <v>тыс. руб.</v>
      </c>
      <c r="D29" s="248">
        <f t="shared" ref="D29" si="47">SUM(D22:D28)</f>
        <v>0</v>
      </c>
      <c r="E29" s="248">
        <f>SUM(E22,E24:E28)</f>
        <v>0</v>
      </c>
      <c r="F29" s="248">
        <f t="shared" ref="F29:BM29" si="48">SUM(F22,F24:F28)</f>
        <v>0</v>
      </c>
      <c r="G29" s="248">
        <f t="shared" si="48"/>
        <v>0</v>
      </c>
      <c r="H29" s="248">
        <f t="shared" si="48"/>
        <v>0</v>
      </c>
      <c r="I29" s="248">
        <f t="shared" si="48"/>
        <v>0</v>
      </c>
      <c r="J29" s="248">
        <f t="shared" si="48"/>
        <v>0</v>
      </c>
      <c r="K29" s="248">
        <f t="shared" si="48"/>
        <v>0</v>
      </c>
      <c r="L29" s="248">
        <f t="shared" si="48"/>
        <v>0</v>
      </c>
      <c r="M29" s="248">
        <f t="shared" si="48"/>
        <v>0</v>
      </c>
      <c r="N29" s="248">
        <f t="shared" si="48"/>
        <v>0</v>
      </c>
      <c r="O29" s="248">
        <f t="shared" si="48"/>
        <v>0</v>
      </c>
      <c r="P29" s="248">
        <f t="shared" si="48"/>
        <v>0</v>
      </c>
      <c r="Q29" s="248">
        <f t="shared" si="48"/>
        <v>0</v>
      </c>
      <c r="R29" s="248">
        <f t="shared" si="48"/>
        <v>0</v>
      </c>
      <c r="S29" s="248">
        <f t="shared" si="48"/>
        <v>0</v>
      </c>
      <c r="T29" s="248">
        <f t="shared" si="48"/>
        <v>0</v>
      </c>
      <c r="U29" s="248">
        <f t="shared" si="48"/>
        <v>0</v>
      </c>
      <c r="V29" s="248">
        <f t="shared" si="48"/>
        <v>0</v>
      </c>
      <c r="W29" s="248">
        <f t="shared" si="48"/>
        <v>0</v>
      </c>
      <c r="X29" s="248">
        <f t="shared" si="48"/>
        <v>0</v>
      </c>
      <c r="Y29" s="248">
        <f t="shared" si="48"/>
        <v>0</v>
      </c>
      <c r="Z29" s="248">
        <f t="shared" si="48"/>
        <v>0</v>
      </c>
      <c r="AA29" s="248">
        <f t="shared" si="48"/>
        <v>0</v>
      </c>
      <c r="AB29" s="248">
        <f t="shared" si="48"/>
        <v>0</v>
      </c>
      <c r="AC29" s="248">
        <f t="shared" si="48"/>
        <v>0</v>
      </c>
      <c r="AD29" s="248">
        <f t="shared" si="48"/>
        <v>0</v>
      </c>
      <c r="AE29" s="248">
        <f t="shared" si="48"/>
        <v>0</v>
      </c>
      <c r="AF29" s="248">
        <f t="shared" si="48"/>
        <v>0</v>
      </c>
      <c r="AG29" s="248">
        <f t="shared" si="48"/>
        <v>0</v>
      </c>
      <c r="AH29" s="248">
        <f t="shared" si="48"/>
        <v>0</v>
      </c>
      <c r="AI29" s="248">
        <f t="shared" si="48"/>
        <v>0</v>
      </c>
      <c r="AJ29" s="248">
        <f t="shared" si="48"/>
        <v>0</v>
      </c>
      <c r="AK29" s="248">
        <f t="shared" si="48"/>
        <v>0</v>
      </c>
      <c r="AL29" s="248">
        <f t="shared" si="48"/>
        <v>0</v>
      </c>
      <c r="AM29" s="248">
        <f t="shared" si="48"/>
        <v>0</v>
      </c>
      <c r="AN29" s="248">
        <f t="shared" si="48"/>
        <v>0</v>
      </c>
      <c r="AO29" s="248">
        <f t="shared" si="48"/>
        <v>0</v>
      </c>
      <c r="AP29" s="248">
        <f t="shared" si="48"/>
        <v>0</v>
      </c>
      <c r="AQ29" s="248">
        <f t="shared" si="48"/>
        <v>0</v>
      </c>
      <c r="AR29" s="248">
        <f t="shared" si="48"/>
        <v>0</v>
      </c>
      <c r="AS29" s="248">
        <f t="shared" si="48"/>
        <v>0</v>
      </c>
      <c r="AT29" s="248">
        <f t="shared" si="48"/>
        <v>0</v>
      </c>
      <c r="AU29" s="248">
        <f t="shared" si="48"/>
        <v>0</v>
      </c>
      <c r="AV29" s="248">
        <f t="shared" si="48"/>
        <v>0</v>
      </c>
      <c r="AW29" s="248">
        <f t="shared" si="48"/>
        <v>0</v>
      </c>
      <c r="AX29" s="248">
        <f t="shared" si="48"/>
        <v>0</v>
      </c>
      <c r="AY29" s="248">
        <f t="shared" si="48"/>
        <v>0</v>
      </c>
      <c r="AZ29" s="248">
        <f t="shared" si="48"/>
        <v>0</v>
      </c>
      <c r="BA29" s="248">
        <f t="shared" si="48"/>
        <v>0</v>
      </c>
      <c r="BB29" s="248">
        <f t="shared" si="48"/>
        <v>0</v>
      </c>
      <c r="BC29" s="248">
        <f t="shared" si="48"/>
        <v>0</v>
      </c>
      <c r="BD29" s="248">
        <f t="shared" si="48"/>
        <v>0</v>
      </c>
      <c r="BE29" s="248">
        <f t="shared" si="48"/>
        <v>0</v>
      </c>
      <c r="BF29" s="248">
        <f t="shared" si="48"/>
        <v>0</v>
      </c>
      <c r="BG29" s="248">
        <f t="shared" si="48"/>
        <v>0</v>
      </c>
      <c r="BH29" s="248">
        <f t="shared" si="48"/>
        <v>0</v>
      </c>
      <c r="BI29" s="248">
        <f t="shared" si="48"/>
        <v>0</v>
      </c>
      <c r="BJ29" s="248">
        <f t="shared" si="48"/>
        <v>0</v>
      </c>
      <c r="BK29" s="248">
        <f t="shared" si="48"/>
        <v>0</v>
      </c>
      <c r="BL29" s="248">
        <f t="shared" si="48"/>
        <v>0</v>
      </c>
      <c r="BM29" s="248">
        <f t="shared" si="48"/>
        <v>0</v>
      </c>
    </row>
    <row r="30" spans="2:65" ht="15" customHeight="1">
      <c r="B30" s="112" t="s">
        <v>98</v>
      </c>
      <c r="C30" s="113" t="str">
        <f t="shared" si="38"/>
        <v>тыс. руб.</v>
      </c>
      <c r="D30" s="248">
        <f>SUM(E30:BM30)</f>
        <v>0</v>
      </c>
      <c r="E30" s="292"/>
      <c r="F30" s="292"/>
      <c r="G30" s="292"/>
      <c r="H30" s="292"/>
      <c r="I30" s="292"/>
      <c r="J30" s="292"/>
      <c r="K30" s="292"/>
      <c r="L30" s="292"/>
      <c r="M30" s="292"/>
      <c r="N30" s="292"/>
      <c r="O30" s="292"/>
      <c r="P30" s="292"/>
      <c r="Q30" s="292"/>
      <c r="R30" s="292"/>
      <c r="S30" s="292"/>
      <c r="T30" s="292"/>
      <c r="U30" s="292"/>
      <c r="V30" s="292"/>
      <c r="W30" s="292"/>
      <c r="X30" s="292"/>
      <c r="Y30" s="292"/>
      <c r="Z30" s="292"/>
      <c r="AA30" s="292"/>
      <c r="AB30" s="292"/>
      <c r="AC30" s="292"/>
      <c r="AD30" s="292"/>
      <c r="AE30" s="292"/>
      <c r="AF30" s="292"/>
      <c r="AG30" s="292"/>
      <c r="AH30" s="292"/>
      <c r="AI30" s="292"/>
      <c r="AJ30" s="292"/>
      <c r="AK30" s="292"/>
      <c r="AL30" s="292"/>
      <c r="AM30" s="292"/>
      <c r="AN30" s="292"/>
      <c r="AO30" s="292"/>
      <c r="AP30" s="292"/>
      <c r="AQ30" s="292"/>
      <c r="AR30" s="292"/>
      <c r="AS30" s="292"/>
      <c r="AT30" s="292"/>
      <c r="AU30" s="292"/>
      <c r="AV30" s="292"/>
      <c r="AW30" s="292"/>
      <c r="AX30" s="292"/>
      <c r="AY30" s="292"/>
      <c r="AZ30" s="292"/>
      <c r="BA30" s="292"/>
      <c r="BB30" s="292"/>
      <c r="BC30" s="292"/>
      <c r="BD30" s="292"/>
      <c r="BE30" s="292"/>
      <c r="BF30" s="292"/>
      <c r="BG30" s="292"/>
      <c r="BH30" s="292"/>
      <c r="BI30" s="292"/>
      <c r="BJ30" s="292"/>
      <c r="BK30" s="292"/>
      <c r="BL30" s="292"/>
      <c r="BM30" s="292"/>
    </row>
    <row r="31" spans="2:65" ht="15" customHeight="1">
      <c r="B31" s="259" t="s">
        <v>99</v>
      </c>
      <c r="C31" s="260" t="str">
        <f t="shared" si="38"/>
        <v>тыс. руб.</v>
      </c>
      <c r="D31" s="248">
        <f t="shared" ref="D31:E31" si="49">SUM(D29:D30)</f>
        <v>0</v>
      </c>
      <c r="E31" s="248">
        <f t="shared" si="49"/>
        <v>0</v>
      </c>
      <c r="F31" s="248">
        <f t="shared" ref="F31" si="50">SUM(F29:F30)</f>
        <v>0</v>
      </c>
      <c r="G31" s="248">
        <f t="shared" ref="G31:AG31" si="51">SUM(G29:G30)</f>
        <v>0</v>
      </c>
      <c r="H31" s="248">
        <f t="shared" si="51"/>
        <v>0</v>
      </c>
      <c r="I31" s="248">
        <f t="shared" si="51"/>
        <v>0</v>
      </c>
      <c r="J31" s="248">
        <f t="shared" si="51"/>
        <v>0</v>
      </c>
      <c r="K31" s="248">
        <f t="shared" si="51"/>
        <v>0</v>
      </c>
      <c r="L31" s="248">
        <f t="shared" si="51"/>
        <v>0</v>
      </c>
      <c r="M31" s="248">
        <f t="shared" si="51"/>
        <v>0</v>
      </c>
      <c r="N31" s="248">
        <f t="shared" si="51"/>
        <v>0</v>
      </c>
      <c r="O31" s="248">
        <f t="shared" si="51"/>
        <v>0</v>
      </c>
      <c r="P31" s="248">
        <f t="shared" si="51"/>
        <v>0</v>
      </c>
      <c r="Q31" s="248">
        <f t="shared" si="51"/>
        <v>0</v>
      </c>
      <c r="R31" s="248">
        <f t="shared" si="51"/>
        <v>0</v>
      </c>
      <c r="S31" s="248">
        <f t="shared" si="51"/>
        <v>0</v>
      </c>
      <c r="T31" s="248">
        <f t="shared" si="51"/>
        <v>0</v>
      </c>
      <c r="U31" s="248">
        <f t="shared" si="51"/>
        <v>0</v>
      </c>
      <c r="V31" s="248">
        <f t="shared" si="51"/>
        <v>0</v>
      </c>
      <c r="W31" s="248">
        <f t="shared" si="51"/>
        <v>0</v>
      </c>
      <c r="X31" s="248">
        <f t="shared" si="51"/>
        <v>0</v>
      </c>
      <c r="Y31" s="248">
        <f t="shared" si="51"/>
        <v>0</v>
      </c>
      <c r="Z31" s="248">
        <f t="shared" si="51"/>
        <v>0</v>
      </c>
      <c r="AA31" s="248">
        <f t="shared" si="51"/>
        <v>0</v>
      </c>
      <c r="AB31" s="248">
        <f t="shared" si="51"/>
        <v>0</v>
      </c>
      <c r="AC31" s="248">
        <f t="shared" si="51"/>
        <v>0</v>
      </c>
      <c r="AD31" s="248">
        <f t="shared" si="51"/>
        <v>0</v>
      </c>
      <c r="AE31" s="248">
        <f t="shared" si="51"/>
        <v>0</v>
      </c>
      <c r="AF31" s="248">
        <f t="shared" si="51"/>
        <v>0</v>
      </c>
      <c r="AG31" s="248">
        <f t="shared" si="51"/>
        <v>0</v>
      </c>
      <c r="AH31" s="248">
        <f t="shared" ref="AH31:BM31" si="52">SUM(AH29:AH30)</f>
        <v>0</v>
      </c>
      <c r="AI31" s="248">
        <f t="shared" si="52"/>
        <v>0</v>
      </c>
      <c r="AJ31" s="248">
        <f t="shared" si="52"/>
        <v>0</v>
      </c>
      <c r="AK31" s="248">
        <f t="shared" si="52"/>
        <v>0</v>
      </c>
      <c r="AL31" s="248">
        <f t="shared" si="52"/>
        <v>0</v>
      </c>
      <c r="AM31" s="248">
        <f t="shared" si="52"/>
        <v>0</v>
      </c>
      <c r="AN31" s="248">
        <f t="shared" si="52"/>
        <v>0</v>
      </c>
      <c r="AO31" s="248">
        <f t="shared" si="52"/>
        <v>0</v>
      </c>
      <c r="AP31" s="248">
        <f t="shared" si="52"/>
        <v>0</v>
      </c>
      <c r="AQ31" s="248">
        <f t="shared" si="52"/>
        <v>0</v>
      </c>
      <c r="AR31" s="248">
        <f t="shared" si="52"/>
        <v>0</v>
      </c>
      <c r="AS31" s="248">
        <f t="shared" si="52"/>
        <v>0</v>
      </c>
      <c r="AT31" s="248">
        <f t="shared" si="52"/>
        <v>0</v>
      </c>
      <c r="AU31" s="248">
        <f t="shared" si="52"/>
        <v>0</v>
      </c>
      <c r="AV31" s="248">
        <f t="shared" si="52"/>
        <v>0</v>
      </c>
      <c r="AW31" s="248">
        <f t="shared" si="52"/>
        <v>0</v>
      </c>
      <c r="AX31" s="248">
        <f t="shared" si="52"/>
        <v>0</v>
      </c>
      <c r="AY31" s="248">
        <f t="shared" si="52"/>
        <v>0</v>
      </c>
      <c r="AZ31" s="248">
        <f t="shared" si="52"/>
        <v>0</v>
      </c>
      <c r="BA31" s="248">
        <f t="shared" si="52"/>
        <v>0</v>
      </c>
      <c r="BB31" s="248">
        <f t="shared" si="52"/>
        <v>0</v>
      </c>
      <c r="BC31" s="248">
        <f t="shared" si="52"/>
        <v>0</v>
      </c>
      <c r="BD31" s="248">
        <f t="shared" si="52"/>
        <v>0</v>
      </c>
      <c r="BE31" s="248">
        <f t="shared" si="52"/>
        <v>0</v>
      </c>
      <c r="BF31" s="248">
        <f t="shared" si="52"/>
        <v>0</v>
      </c>
      <c r="BG31" s="248">
        <f t="shared" si="52"/>
        <v>0</v>
      </c>
      <c r="BH31" s="248">
        <f t="shared" si="52"/>
        <v>0</v>
      </c>
      <c r="BI31" s="248">
        <f t="shared" si="52"/>
        <v>0</v>
      </c>
      <c r="BJ31" s="248">
        <f t="shared" si="52"/>
        <v>0</v>
      </c>
      <c r="BK31" s="248">
        <f t="shared" si="52"/>
        <v>0</v>
      </c>
      <c r="BL31" s="248">
        <f t="shared" si="52"/>
        <v>0</v>
      </c>
      <c r="BM31" s="248">
        <f t="shared" si="52"/>
        <v>0</v>
      </c>
    </row>
    <row r="32" spans="2:65" ht="15" customHeight="1">
      <c r="B32" s="259" t="s">
        <v>149</v>
      </c>
      <c r="C32" s="260" t="s">
        <v>100</v>
      </c>
      <c r="D32" s="304" t="str">
        <f>IF(D16=0,"-",D31/D16)</f>
        <v>-</v>
      </c>
      <c r="E32" s="304" t="str">
        <f>IF(E16=0,"-",E31/E16)</f>
        <v>-</v>
      </c>
      <c r="F32" s="304" t="str">
        <f t="shared" ref="F32:BM32" si="53">IF(F16=0,"-",F31/F16)</f>
        <v>-</v>
      </c>
      <c r="G32" s="304" t="str">
        <f t="shared" si="53"/>
        <v>-</v>
      </c>
      <c r="H32" s="304" t="str">
        <f t="shared" si="53"/>
        <v>-</v>
      </c>
      <c r="I32" s="304" t="str">
        <f t="shared" si="53"/>
        <v>-</v>
      </c>
      <c r="J32" s="304" t="str">
        <f t="shared" si="53"/>
        <v>-</v>
      </c>
      <c r="K32" s="304" t="str">
        <f t="shared" si="53"/>
        <v>-</v>
      </c>
      <c r="L32" s="304" t="str">
        <f t="shared" si="53"/>
        <v>-</v>
      </c>
      <c r="M32" s="304" t="str">
        <f t="shared" si="53"/>
        <v>-</v>
      </c>
      <c r="N32" s="304" t="str">
        <f t="shared" si="53"/>
        <v>-</v>
      </c>
      <c r="O32" s="304" t="str">
        <f t="shared" si="53"/>
        <v>-</v>
      </c>
      <c r="P32" s="304" t="str">
        <f t="shared" si="53"/>
        <v>-</v>
      </c>
      <c r="Q32" s="304" t="str">
        <f t="shared" si="53"/>
        <v>-</v>
      </c>
      <c r="R32" s="304" t="str">
        <f t="shared" si="53"/>
        <v>-</v>
      </c>
      <c r="S32" s="304" t="str">
        <f t="shared" si="53"/>
        <v>-</v>
      </c>
      <c r="T32" s="304" t="str">
        <f t="shared" si="53"/>
        <v>-</v>
      </c>
      <c r="U32" s="304" t="str">
        <f t="shared" si="53"/>
        <v>-</v>
      </c>
      <c r="V32" s="304" t="str">
        <f t="shared" si="53"/>
        <v>-</v>
      </c>
      <c r="W32" s="304" t="str">
        <f t="shared" si="53"/>
        <v>-</v>
      </c>
      <c r="X32" s="304" t="str">
        <f t="shared" si="53"/>
        <v>-</v>
      </c>
      <c r="Y32" s="304" t="str">
        <f t="shared" si="53"/>
        <v>-</v>
      </c>
      <c r="Z32" s="304" t="str">
        <f t="shared" si="53"/>
        <v>-</v>
      </c>
      <c r="AA32" s="304" t="str">
        <f t="shared" si="53"/>
        <v>-</v>
      </c>
      <c r="AB32" s="304" t="str">
        <f t="shared" si="53"/>
        <v>-</v>
      </c>
      <c r="AC32" s="304" t="str">
        <f t="shared" si="53"/>
        <v>-</v>
      </c>
      <c r="AD32" s="304" t="str">
        <f t="shared" si="53"/>
        <v>-</v>
      </c>
      <c r="AE32" s="304" t="str">
        <f t="shared" si="53"/>
        <v>-</v>
      </c>
      <c r="AF32" s="304" t="str">
        <f t="shared" si="53"/>
        <v>-</v>
      </c>
      <c r="AG32" s="304" t="str">
        <f t="shared" si="53"/>
        <v>-</v>
      </c>
      <c r="AH32" s="304" t="str">
        <f t="shared" si="53"/>
        <v>-</v>
      </c>
      <c r="AI32" s="304" t="str">
        <f t="shared" si="53"/>
        <v>-</v>
      </c>
      <c r="AJ32" s="304" t="str">
        <f t="shared" si="53"/>
        <v>-</v>
      </c>
      <c r="AK32" s="304" t="str">
        <f t="shared" si="53"/>
        <v>-</v>
      </c>
      <c r="AL32" s="304" t="str">
        <f t="shared" si="53"/>
        <v>-</v>
      </c>
      <c r="AM32" s="304" t="str">
        <f t="shared" si="53"/>
        <v>-</v>
      </c>
      <c r="AN32" s="304" t="str">
        <f t="shared" si="53"/>
        <v>-</v>
      </c>
      <c r="AO32" s="304" t="str">
        <f t="shared" si="53"/>
        <v>-</v>
      </c>
      <c r="AP32" s="304" t="str">
        <f t="shared" si="53"/>
        <v>-</v>
      </c>
      <c r="AQ32" s="304" t="str">
        <f t="shared" si="53"/>
        <v>-</v>
      </c>
      <c r="AR32" s="304" t="str">
        <f t="shared" si="53"/>
        <v>-</v>
      </c>
      <c r="AS32" s="304" t="str">
        <f t="shared" si="53"/>
        <v>-</v>
      </c>
      <c r="AT32" s="304" t="str">
        <f t="shared" si="53"/>
        <v>-</v>
      </c>
      <c r="AU32" s="304" t="str">
        <f t="shared" si="53"/>
        <v>-</v>
      </c>
      <c r="AV32" s="304" t="str">
        <f t="shared" si="53"/>
        <v>-</v>
      </c>
      <c r="AW32" s="304" t="str">
        <f t="shared" si="53"/>
        <v>-</v>
      </c>
      <c r="AX32" s="304" t="str">
        <f t="shared" si="53"/>
        <v>-</v>
      </c>
      <c r="AY32" s="304" t="str">
        <f t="shared" si="53"/>
        <v>-</v>
      </c>
      <c r="AZ32" s="304" t="str">
        <f t="shared" si="53"/>
        <v>-</v>
      </c>
      <c r="BA32" s="304" t="str">
        <f t="shared" si="53"/>
        <v>-</v>
      </c>
      <c r="BB32" s="304" t="str">
        <f t="shared" si="53"/>
        <v>-</v>
      </c>
      <c r="BC32" s="304" t="str">
        <f t="shared" si="53"/>
        <v>-</v>
      </c>
      <c r="BD32" s="304" t="str">
        <f t="shared" si="53"/>
        <v>-</v>
      </c>
      <c r="BE32" s="304" t="str">
        <f t="shared" si="53"/>
        <v>-</v>
      </c>
      <c r="BF32" s="304" t="str">
        <f t="shared" si="53"/>
        <v>-</v>
      </c>
      <c r="BG32" s="304" t="str">
        <f t="shared" si="53"/>
        <v>-</v>
      </c>
      <c r="BH32" s="304" t="str">
        <f t="shared" si="53"/>
        <v>-</v>
      </c>
      <c r="BI32" s="304" t="str">
        <f t="shared" si="53"/>
        <v>-</v>
      </c>
      <c r="BJ32" s="304" t="str">
        <f t="shared" si="53"/>
        <v>-</v>
      </c>
      <c r="BK32" s="304" t="str">
        <f t="shared" si="53"/>
        <v>-</v>
      </c>
      <c r="BL32" s="304" t="str">
        <f t="shared" si="53"/>
        <v>-</v>
      </c>
      <c r="BM32" s="304" t="str">
        <f t="shared" si="53"/>
        <v>-</v>
      </c>
    </row>
    <row r="33" spans="2:71" ht="15" customHeight="1">
      <c r="B33" s="37"/>
      <c r="C33" s="37"/>
      <c r="D33" s="37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37"/>
      <c r="AL33" s="37"/>
      <c r="AM33" s="37"/>
      <c r="AN33" s="37"/>
      <c r="AO33" s="37"/>
      <c r="AP33" s="37"/>
      <c r="AQ33" s="37"/>
      <c r="AR33" s="37"/>
      <c r="AS33" s="37"/>
      <c r="AT33" s="37"/>
      <c r="AU33" s="37"/>
      <c r="AV33" s="37"/>
      <c r="AW33" s="37"/>
      <c r="AX33" s="37"/>
      <c r="AY33" s="37"/>
      <c r="AZ33" s="37"/>
      <c r="BA33" s="37"/>
      <c r="BB33" s="37"/>
      <c r="BC33" s="37"/>
      <c r="BD33" s="37"/>
      <c r="BE33" s="37"/>
      <c r="BF33" s="37"/>
      <c r="BG33" s="37"/>
      <c r="BH33" s="37"/>
      <c r="BI33" s="37"/>
      <c r="BJ33" s="37"/>
      <c r="BK33" s="37"/>
      <c r="BL33" s="37"/>
      <c r="BM33" s="37"/>
    </row>
    <row r="34" spans="2:71" ht="21">
      <c r="B34" s="118" t="s">
        <v>545</v>
      </c>
      <c r="C34" s="37"/>
      <c r="D34" s="40"/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41"/>
      <c r="AV34" s="41"/>
      <c r="AW34" s="41"/>
      <c r="AX34" s="41"/>
      <c r="AY34" s="41"/>
      <c r="AZ34" s="41"/>
      <c r="BA34" s="41"/>
      <c r="BB34" s="41"/>
      <c r="BC34" s="41"/>
      <c r="BD34" s="41"/>
      <c r="BE34" s="41"/>
      <c r="BF34" s="41"/>
      <c r="BG34" s="41"/>
      <c r="BH34" s="41"/>
      <c r="BI34" s="41"/>
      <c r="BJ34" s="41"/>
      <c r="BK34" s="41"/>
      <c r="BL34" s="41"/>
      <c r="BM34" s="41"/>
      <c r="BN34" s="5"/>
      <c r="BO34" s="5"/>
      <c r="BP34" s="5"/>
      <c r="BQ34" s="5"/>
      <c r="BR34" s="5"/>
      <c r="BS34" s="5"/>
    </row>
    <row r="35" spans="2:71">
      <c r="B35" s="112" t="s">
        <v>792</v>
      </c>
      <c r="C35" s="113" t="str">
        <f>C16</f>
        <v>тыс. руб.</v>
      </c>
      <c r="D35" s="248">
        <f ca="1">SUM(E35:BM35)</f>
        <v>0</v>
      </c>
      <c r="E35" s="356">
        <f ca="1">SUM(Предпосылки!D$152:D$171)</f>
        <v>0</v>
      </c>
      <c r="F35" s="356">
        <f ca="1">SUM(Предпосылки!E$152:E$171)</f>
        <v>0</v>
      </c>
      <c r="G35" s="356">
        <f ca="1">SUM(Предпосылки!F$152:F$171)</f>
        <v>0</v>
      </c>
      <c r="H35" s="356">
        <f ca="1">SUM(Предпосылки!G$152:G$171)</f>
        <v>0</v>
      </c>
      <c r="I35" s="356">
        <f ca="1">SUM(Предпосылки!H$152:H$171)</f>
        <v>0</v>
      </c>
      <c r="J35" s="356">
        <f ca="1">SUM(Предпосылки!I$152:I$171)</f>
        <v>0</v>
      </c>
      <c r="K35" s="356">
        <f ca="1">SUM(Предпосылки!J$152:J$171)</f>
        <v>0</v>
      </c>
      <c r="L35" s="356">
        <f ca="1">SUM(Предпосылки!K$152:K$171)</f>
        <v>0</v>
      </c>
      <c r="M35" s="356">
        <f ca="1">SUM(Предпосылки!L$152:L$171)</f>
        <v>0</v>
      </c>
      <c r="N35" s="356">
        <f ca="1">SUM(Предпосылки!M$152:M$171)</f>
        <v>0</v>
      </c>
      <c r="O35" s="356">
        <f ca="1">SUM(Предпосылки!N$152:N$171)</f>
        <v>0</v>
      </c>
      <c r="P35" s="356">
        <f ca="1">SUM(Предпосылки!O$152:O$171)</f>
        <v>0</v>
      </c>
      <c r="Q35" s="356">
        <f ca="1">SUM(Предпосылки!P$152:P$171)</f>
        <v>0</v>
      </c>
      <c r="R35" s="356">
        <f ca="1">SUM(Предпосылки!Q$152:Q$171)</f>
        <v>0</v>
      </c>
      <c r="S35" s="356">
        <f ca="1">SUM(Предпосылки!R$152:R$171)</f>
        <v>0</v>
      </c>
      <c r="T35" s="356">
        <f ca="1">SUM(Предпосылки!S$152:S$171)</f>
        <v>0</v>
      </c>
      <c r="U35" s="356">
        <f ca="1">SUM(Предпосылки!T$152:T$171)</f>
        <v>0</v>
      </c>
      <c r="V35" s="356">
        <f ca="1">SUM(Предпосылки!U$152:U$171)</f>
        <v>0</v>
      </c>
      <c r="W35" s="356">
        <f ca="1">SUM(Предпосылки!V$152:V$171)</f>
        <v>0</v>
      </c>
      <c r="X35" s="356">
        <f ca="1">SUM(Предпосылки!W$152:W$171)</f>
        <v>0</v>
      </c>
      <c r="Y35" s="356">
        <f ca="1">SUM(Предпосылки!X$152:X$171)</f>
        <v>0</v>
      </c>
      <c r="Z35" s="356">
        <f ca="1">SUM(Предпосылки!Y$152:Y$171)</f>
        <v>0</v>
      </c>
      <c r="AA35" s="356">
        <f ca="1">SUM(Предпосылки!Z$152:Z$171)</f>
        <v>0</v>
      </c>
      <c r="AB35" s="356">
        <f ca="1">SUM(Предпосылки!AA$152:AA$171)</f>
        <v>0</v>
      </c>
      <c r="AC35" s="356">
        <f ca="1">SUM(Предпосылки!AB$152:AB$171)</f>
        <v>0</v>
      </c>
      <c r="AD35" s="356">
        <f ca="1">SUM(Предпосылки!AC$152:AC$171)</f>
        <v>0</v>
      </c>
      <c r="AE35" s="356">
        <f ca="1">SUM(Предпосылки!AD$152:AD$171)</f>
        <v>0</v>
      </c>
      <c r="AF35" s="356">
        <f ca="1">SUM(Предпосылки!AE$152:AE$171)</f>
        <v>0</v>
      </c>
      <c r="AG35" s="356">
        <f ca="1">SUM(Предпосылки!AF$152:AF$171)</f>
        <v>0</v>
      </c>
      <c r="AH35" s="356">
        <f ca="1">SUM(Предпосылки!AG$152:AG$171)</f>
        <v>0</v>
      </c>
      <c r="AI35" s="356">
        <f ca="1">SUM(Предпосылки!AH$152:AH$171)</f>
        <v>0</v>
      </c>
      <c r="AJ35" s="356">
        <f ca="1">SUM(Предпосылки!AI$152:AI$171)</f>
        <v>0</v>
      </c>
      <c r="AK35" s="356">
        <f ca="1">SUM(Предпосылки!AJ$152:AJ$171)</f>
        <v>0</v>
      </c>
      <c r="AL35" s="356">
        <f ca="1">SUM(Предпосылки!AK$152:AK$171)</f>
        <v>0</v>
      </c>
      <c r="AM35" s="356">
        <f ca="1">SUM(Предпосылки!AL$152:AL$171)</f>
        <v>0</v>
      </c>
      <c r="AN35" s="356">
        <f ca="1">SUM(Предпосылки!AM$152:AM$171)</f>
        <v>0</v>
      </c>
      <c r="AO35" s="356">
        <f ca="1">SUM(Предпосылки!AN$152:AN$171)</f>
        <v>0</v>
      </c>
      <c r="AP35" s="356">
        <f ca="1">SUM(Предпосылки!AO$152:AO$171)</f>
        <v>0</v>
      </c>
      <c r="AQ35" s="356">
        <f ca="1">SUM(Предпосылки!AP$152:AP$171)</f>
        <v>0</v>
      </c>
      <c r="AR35" s="356">
        <f ca="1">SUM(Предпосылки!AQ$152:AQ$171)</f>
        <v>0</v>
      </c>
      <c r="AS35" s="356">
        <f ca="1">SUM(Предпосылки!AR$152:AR$171)</f>
        <v>0</v>
      </c>
      <c r="AT35" s="356">
        <f ca="1">SUM(Предпосылки!AS$152:AS$171)</f>
        <v>0</v>
      </c>
      <c r="AU35" s="356">
        <f ca="1">SUM(Предпосылки!AT$152:AT$171)</f>
        <v>0</v>
      </c>
      <c r="AV35" s="356">
        <f ca="1">SUM(Предпосылки!AU$152:AU$171)</f>
        <v>0</v>
      </c>
      <c r="AW35" s="356">
        <f ca="1">SUM(Предпосылки!AV$152:AV$171)</f>
        <v>0</v>
      </c>
      <c r="AX35" s="356">
        <f ca="1">SUM(Предпосылки!AW$152:AW$171)</f>
        <v>0</v>
      </c>
      <c r="AY35" s="356">
        <f ca="1">SUM(Предпосылки!AX$152:AX$171)</f>
        <v>0</v>
      </c>
      <c r="AZ35" s="356">
        <f ca="1">SUM(Предпосылки!AY$152:AY$171)</f>
        <v>0</v>
      </c>
      <c r="BA35" s="356">
        <f ca="1">SUM(Предпосылки!AZ$152:AZ$171)</f>
        <v>0</v>
      </c>
      <c r="BB35" s="356">
        <f ca="1">SUM(Предпосылки!BA$152:BA$171)</f>
        <v>0</v>
      </c>
      <c r="BC35" s="356">
        <f ca="1">SUM(Предпосылки!BB$152:BB$171)</f>
        <v>0</v>
      </c>
      <c r="BD35" s="356">
        <f ca="1">SUM(Предпосылки!BC$152:BC$171)</f>
        <v>0</v>
      </c>
      <c r="BE35" s="356">
        <f ca="1">SUM(Предпосылки!BD$152:BD$171)</f>
        <v>0</v>
      </c>
      <c r="BF35" s="356">
        <f ca="1">SUM(Предпосылки!BE$152:BE$171)</f>
        <v>0</v>
      </c>
      <c r="BG35" s="356">
        <f ca="1">SUM(Предпосылки!BF$152:BF$171)</f>
        <v>0</v>
      </c>
      <c r="BH35" s="356">
        <f ca="1">SUM(Предпосылки!BG$152:BG$171)</f>
        <v>0</v>
      </c>
      <c r="BI35" s="356">
        <f ca="1">SUM(Предпосылки!BH$152:BH$171)</f>
        <v>0</v>
      </c>
      <c r="BJ35" s="356">
        <f ca="1">SUM(Предпосылки!BI$152:BI$171)</f>
        <v>0</v>
      </c>
      <c r="BK35" s="356">
        <f ca="1">SUM(Предпосылки!BJ$152:BJ$171)</f>
        <v>0</v>
      </c>
      <c r="BL35" s="356">
        <f ca="1">SUM(Предпосылки!BK$152:BK$171)</f>
        <v>0</v>
      </c>
      <c r="BM35" s="356">
        <f ca="1">SUM(Предпосылки!BL$152:BL$171)</f>
        <v>0</v>
      </c>
    </row>
    <row r="36" spans="2:71" ht="15" customHeight="1">
      <c r="B36" s="117" t="s">
        <v>793</v>
      </c>
      <c r="C36" s="113" t="s">
        <v>100</v>
      </c>
      <c r="D36" s="304">
        <f ca="1">IFERROR(D35/D16,0)</f>
        <v>0</v>
      </c>
      <c r="E36" s="358" t="str">
        <f ca="1">IFERROR(E35/E16,"-")</f>
        <v>-</v>
      </c>
      <c r="F36" s="358" t="str">
        <f t="shared" ref="F36:BM36" ca="1" si="54">IFERROR(F35/F16,"-")</f>
        <v>-</v>
      </c>
      <c r="G36" s="358" t="str">
        <f t="shared" ca="1" si="54"/>
        <v>-</v>
      </c>
      <c r="H36" s="358" t="str">
        <f t="shared" ca="1" si="54"/>
        <v>-</v>
      </c>
      <c r="I36" s="358" t="str">
        <f t="shared" ca="1" si="54"/>
        <v>-</v>
      </c>
      <c r="J36" s="358" t="str">
        <f t="shared" ca="1" si="54"/>
        <v>-</v>
      </c>
      <c r="K36" s="358" t="str">
        <f t="shared" ca="1" si="54"/>
        <v>-</v>
      </c>
      <c r="L36" s="358" t="str">
        <f t="shared" ca="1" si="54"/>
        <v>-</v>
      </c>
      <c r="M36" s="358" t="str">
        <f t="shared" ca="1" si="54"/>
        <v>-</v>
      </c>
      <c r="N36" s="358" t="str">
        <f t="shared" ca="1" si="54"/>
        <v>-</v>
      </c>
      <c r="O36" s="358" t="str">
        <f t="shared" ca="1" si="54"/>
        <v>-</v>
      </c>
      <c r="P36" s="358" t="str">
        <f t="shared" ca="1" si="54"/>
        <v>-</v>
      </c>
      <c r="Q36" s="358" t="str">
        <f t="shared" ca="1" si="54"/>
        <v>-</v>
      </c>
      <c r="R36" s="358" t="str">
        <f t="shared" ca="1" si="54"/>
        <v>-</v>
      </c>
      <c r="S36" s="358" t="str">
        <f t="shared" ca="1" si="54"/>
        <v>-</v>
      </c>
      <c r="T36" s="358" t="str">
        <f t="shared" ca="1" si="54"/>
        <v>-</v>
      </c>
      <c r="U36" s="358" t="str">
        <f t="shared" ca="1" si="54"/>
        <v>-</v>
      </c>
      <c r="V36" s="358" t="str">
        <f t="shared" ca="1" si="54"/>
        <v>-</v>
      </c>
      <c r="W36" s="358" t="str">
        <f t="shared" ca="1" si="54"/>
        <v>-</v>
      </c>
      <c r="X36" s="358" t="str">
        <f t="shared" ca="1" si="54"/>
        <v>-</v>
      </c>
      <c r="Y36" s="358" t="str">
        <f t="shared" ca="1" si="54"/>
        <v>-</v>
      </c>
      <c r="Z36" s="358" t="str">
        <f t="shared" ca="1" si="54"/>
        <v>-</v>
      </c>
      <c r="AA36" s="358" t="str">
        <f t="shared" ca="1" si="54"/>
        <v>-</v>
      </c>
      <c r="AB36" s="358" t="str">
        <f t="shared" ca="1" si="54"/>
        <v>-</v>
      </c>
      <c r="AC36" s="358" t="str">
        <f t="shared" ca="1" si="54"/>
        <v>-</v>
      </c>
      <c r="AD36" s="358" t="str">
        <f t="shared" ca="1" si="54"/>
        <v>-</v>
      </c>
      <c r="AE36" s="358" t="str">
        <f t="shared" ca="1" si="54"/>
        <v>-</v>
      </c>
      <c r="AF36" s="358" t="str">
        <f t="shared" ca="1" si="54"/>
        <v>-</v>
      </c>
      <c r="AG36" s="358" t="str">
        <f t="shared" ca="1" si="54"/>
        <v>-</v>
      </c>
      <c r="AH36" s="358" t="str">
        <f t="shared" ca="1" si="54"/>
        <v>-</v>
      </c>
      <c r="AI36" s="358" t="str">
        <f t="shared" ca="1" si="54"/>
        <v>-</v>
      </c>
      <c r="AJ36" s="358" t="str">
        <f t="shared" ca="1" si="54"/>
        <v>-</v>
      </c>
      <c r="AK36" s="358" t="str">
        <f t="shared" ca="1" si="54"/>
        <v>-</v>
      </c>
      <c r="AL36" s="358" t="str">
        <f t="shared" ca="1" si="54"/>
        <v>-</v>
      </c>
      <c r="AM36" s="358" t="str">
        <f t="shared" ca="1" si="54"/>
        <v>-</v>
      </c>
      <c r="AN36" s="358" t="str">
        <f t="shared" ca="1" si="54"/>
        <v>-</v>
      </c>
      <c r="AO36" s="358" t="str">
        <f t="shared" ca="1" si="54"/>
        <v>-</v>
      </c>
      <c r="AP36" s="358" t="str">
        <f t="shared" ca="1" si="54"/>
        <v>-</v>
      </c>
      <c r="AQ36" s="358" t="str">
        <f t="shared" ca="1" si="54"/>
        <v>-</v>
      </c>
      <c r="AR36" s="358" t="str">
        <f t="shared" ca="1" si="54"/>
        <v>-</v>
      </c>
      <c r="AS36" s="358" t="str">
        <f t="shared" ca="1" si="54"/>
        <v>-</v>
      </c>
      <c r="AT36" s="358" t="str">
        <f t="shared" ca="1" si="54"/>
        <v>-</v>
      </c>
      <c r="AU36" s="358" t="str">
        <f t="shared" ca="1" si="54"/>
        <v>-</v>
      </c>
      <c r="AV36" s="358" t="str">
        <f t="shared" ca="1" si="54"/>
        <v>-</v>
      </c>
      <c r="AW36" s="358" t="str">
        <f t="shared" ca="1" si="54"/>
        <v>-</v>
      </c>
      <c r="AX36" s="358" t="str">
        <f t="shared" ca="1" si="54"/>
        <v>-</v>
      </c>
      <c r="AY36" s="358" t="str">
        <f t="shared" ca="1" si="54"/>
        <v>-</v>
      </c>
      <c r="AZ36" s="358" t="str">
        <f t="shared" ca="1" si="54"/>
        <v>-</v>
      </c>
      <c r="BA36" s="358" t="str">
        <f t="shared" ca="1" si="54"/>
        <v>-</v>
      </c>
      <c r="BB36" s="358" t="str">
        <f t="shared" ca="1" si="54"/>
        <v>-</v>
      </c>
      <c r="BC36" s="358" t="str">
        <f t="shared" ca="1" si="54"/>
        <v>-</v>
      </c>
      <c r="BD36" s="358" t="str">
        <f t="shared" ca="1" si="54"/>
        <v>-</v>
      </c>
      <c r="BE36" s="358" t="str">
        <f t="shared" ca="1" si="54"/>
        <v>-</v>
      </c>
      <c r="BF36" s="358" t="str">
        <f t="shared" ca="1" si="54"/>
        <v>-</v>
      </c>
      <c r="BG36" s="358" t="str">
        <f t="shared" ca="1" si="54"/>
        <v>-</v>
      </c>
      <c r="BH36" s="358" t="str">
        <f t="shared" ca="1" si="54"/>
        <v>-</v>
      </c>
      <c r="BI36" s="358" t="str">
        <f t="shared" ca="1" si="54"/>
        <v>-</v>
      </c>
      <c r="BJ36" s="358" t="str">
        <f t="shared" ca="1" si="54"/>
        <v>-</v>
      </c>
      <c r="BK36" s="358" t="str">
        <f t="shared" ca="1" si="54"/>
        <v>-</v>
      </c>
      <c r="BL36" s="358" t="str">
        <f t="shared" ca="1" si="54"/>
        <v>-</v>
      </c>
      <c r="BM36" s="358" t="str">
        <f t="shared" ca="1" si="54"/>
        <v>-</v>
      </c>
    </row>
    <row r="37" spans="2:71" ht="15" customHeight="1">
      <c r="B37" s="171" t="s">
        <v>449</v>
      </c>
      <c r="C37" s="113" t="str">
        <f>Единица_измерения</f>
        <v>тыс. руб.</v>
      </c>
      <c r="D37" s="248">
        <f>SUM(E37:BM37)</f>
        <v>0</v>
      </c>
      <c r="E37" s="299"/>
      <c r="F37" s="299"/>
      <c r="G37" s="299"/>
      <c r="H37" s="299"/>
      <c r="I37" s="299"/>
      <c r="J37" s="299"/>
      <c r="K37" s="299"/>
      <c r="L37" s="299"/>
      <c r="M37" s="299"/>
      <c r="N37" s="299"/>
      <c r="O37" s="299"/>
      <c r="P37" s="299"/>
      <c r="Q37" s="299"/>
      <c r="R37" s="299"/>
      <c r="S37" s="299"/>
      <c r="T37" s="299"/>
      <c r="U37" s="299"/>
      <c r="V37" s="299"/>
      <c r="W37" s="299"/>
      <c r="X37" s="299"/>
      <c r="Y37" s="299"/>
      <c r="Z37" s="299"/>
      <c r="AA37" s="299"/>
      <c r="AB37" s="299"/>
      <c r="AC37" s="299"/>
      <c r="AD37" s="299"/>
      <c r="AE37" s="299"/>
      <c r="AF37" s="299"/>
      <c r="AG37" s="299"/>
      <c r="AH37" s="299"/>
      <c r="AI37" s="299"/>
      <c r="AJ37" s="299"/>
      <c r="AK37" s="299"/>
      <c r="AL37" s="299"/>
      <c r="AM37" s="299"/>
      <c r="AN37" s="299"/>
      <c r="AO37" s="299"/>
      <c r="AP37" s="299"/>
      <c r="AQ37" s="299"/>
      <c r="AR37" s="299"/>
      <c r="AS37" s="299"/>
      <c r="AT37" s="299"/>
      <c r="AU37" s="299"/>
      <c r="AV37" s="299"/>
      <c r="AW37" s="299"/>
      <c r="AX37" s="299"/>
      <c r="AY37" s="299"/>
      <c r="AZ37" s="299"/>
      <c r="BA37" s="299"/>
      <c r="BB37" s="299"/>
      <c r="BC37" s="299"/>
      <c r="BD37" s="299"/>
      <c r="BE37" s="299"/>
      <c r="BF37" s="299"/>
      <c r="BG37" s="299"/>
      <c r="BH37" s="299"/>
      <c r="BI37" s="299"/>
      <c r="BJ37" s="299"/>
      <c r="BK37" s="299"/>
      <c r="BL37" s="299"/>
      <c r="BM37" s="299"/>
    </row>
    <row r="38" spans="2:71" ht="15" customHeight="1">
      <c r="B38" s="171" t="s">
        <v>130</v>
      </c>
      <c r="C38" s="113" t="str">
        <f>Единица_измерения</f>
        <v>тыс. руб.</v>
      </c>
      <c r="D38" s="248">
        <f>SUM(E38:BM38)</f>
        <v>0</v>
      </c>
      <c r="E38" s="248">
        <f t="shared" ref="E38" si="55">SUM(E29,-E26,-E25,E37)</f>
        <v>0</v>
      </c>
      <c r="F38" s="248">
        <f t="shared" ref="F38" si="56">SUM(F29,-F26,-F25,F37)</f>
        <v>0</v>
      </c>
      <c r="G38" s="248">
        <f t="shared" ref="G38" si="57">SUM(G29,-G26,-G25,G37)</f>
        <v>0</v>
      </c>
      <c r="H38" s="248">
        <f t="shared" ref="H38" si="58">SUM(H29,-H26,-H25,H37)</f>
        <v>0</v>
      </c>
      <c r="I38" s="248">
        <f t="shared" ref="I38" si="59">SUM(I29,-I26,-I25,I37)</f>
        <v>0</v>
      </c>
      <c r="J38" s="248">
        <f t="shared" ref="J38" si="60">SUM(J29,-J26,-J25,J37)</f>
        <v>0</v>
      </c>
      <c r="K38" s="248">
        <f t="shared" ref="K38" si="61">SUM(K29,-K26,-K25,K37)</f>
        <v>0</v>
      </c>
      <c r="L38" s="248">
        <f t="shared" ref="L38" si="62">SUM(L29,-L26,-L25,L37)</f>
        <v>0</v>
      </c>
      <c r="M38" s="248">
        <f t="shared" ref="M38" si="63">SUM(M29,-M26,-M25,M37)</f>
        <v>0</v>
      </c>
      <c r="N38" s="248">
        <f t="shared" ref="N38" si="64">SUM(N29,-N26,-N25,N37)</f>
        <v>0</v>
      </c>
      <c r="O38" s="248">
        <f t="shared" ref="O38" si="65">SUM(O29,-O26,-O25,O37)</f>
        <v>0</v>
      </c>
      <c r="P38" s="248">
        <f t="shared" ref="P38" si="66">SUM(P29,-P26,-P25,P37)</f>
        <v>0</v>
      </c>
      <c r="Q38" s="248">
        <f t="shared" ref="Q38" si="67">SUM(Q29,-Q26,-Q25,Q37)</f>
        <v>0</v>
      </c>
      <c r="R38" s="248">
        <f t="shared" ref="R38" si="68">SUM(R29,-R26,-R25,R37)</f>
        <v>0</v>
      </c>
      <c r="S38" s="248">
        <f t="shared" ref="S38" si="69">SUM(S29,-S26,-S25,S37)</f>
        <v>0</v>
      </c>
      <c r="T38" s="248">
        <f t="shared" ref="T38" si="70">SUM(T29,-T26,-T25,T37)</f>
        <v>0</v>
      </c>
      <c r="U38" s="248">
        <f t="shared" ref="U38" si="71">SUM(U29,-U26,-U25,U37)</f>
        <v>0</v>
      </c>
      <c r="V38" s="248">
        <f t="shared" ref="V38" si="72">SUM(V29,-V26,-V25,V37)</f>
        <v>0</v>
      </c>
      <c r="W38" s="248">
        <f t="shared" ref="W38" si="73">SUM(W29,-W26,-W25,W37)</f>
        <v>0</v>
      </c>
      <c r="X38" s="248">
        <f t="shared" ref="X38" si="74">SUM(X29,-X26,-X25,X37)</f>
        <v>0</v>
      </c>
      <c r="Y38" s="248">
        <f t="shared" ref="Y38" si="75">SUM(Y29,-Y26,-Y25,Y37)</f>
        <v>0</v>
      </c>
      <c r="Z38" s="248">
        <f t="shared" ref="Z38" si="76">SUM(Z29,-Z26,-Z25,Z37)</f>
        <v>0</v>
      </c>
      <c r="AA38" s="248">
        <f t="shared" ref="AA38" si="77">SUM(AA29,-AA26,-AA25,AA37)</f>
        <v>0</v>
      </c>
      <c r="AB38" s="248">
        <f t="shared" ref="AB38" si="78">SUM(AB29,-AB26,-AB25,AB37)</f>
        <v>0</v>
      </c>
      <c r="AC38" s="248">
        <f t="shared" ref="AC38" si="79">SUM(AC29,-AC26,-AC25,AC37)</f>
        <v>0</v>
      </c>
      <c r="AD38" s="248">
        <f t="shared" ref="AD38" si="80">SUM(AD29,-AD26,-AD25,AD37)</f>
        <v>0</v>
      </c>
      <c r="AE38" s="248">
        <f t="shared" ref="AE38" si="81">SUM(AE29,-AE26,-AE25,AE37)</f>
        <v>0</v>
      </c>
      <c r="AF38" s="248">
        <f t="shared" ref="AF38" si="82">SUM(AF29,-AF26,-AF25,AF37)</f>
        <v>0</v>
      </c>
      <c r="AG38" s="248">
        <f t="shared" ref="AG38" si="83">SUM(AG29,-AG26,-AG25,AG37)</f>
        <v>0</v>
      </c>
      <c r="AH38" s="248">
        <f t="shared" ref="AH38" si="84">SUM(AH29,-AH26,-AH25,AH37)</f>
        <v>0</v>
      </c>
      <c r="AI38" s="248">
        <f t="shared" ref="AI38" si="85">SUM(AI29,-AI26,-AI25,AI37)</f>
        <v>0</v>
      </c>
      <c r="AJ38" s="248">
        <f t="shared" ref="AJ38" si="86">SUM(AJ29,-AJ26,-AJ25,AJ37)</f>
        <v>0</v>
      </c>
      <c r="AK38" s="248">
        <f t="shared" ref="AK38" si="87">SUM(AK29,-AK26,-AK25,AK37)</f>
        <v>0</v>
      </c>
      <c r="AL38" s="248">
        <f t="shared" ref="AL38" si="88">SUM(AL29,-AL26,-AL25,AL37)</f>
        <v>0</v>
      </c>
      <c r="AM38" s="248">
        <f t="shared" ref="AM38" si="89">SUM(AM29,-AM26,-AM25,AM37)</f>
        <v>0</v>
      </c>
      <c r="AN38" s="248">
        <f t="shared" ref="AN38" si="90">SUM(AN29,-AN26,-AN25,AN37)</f>
        <v>0</v>
      </c>
      <c r="AO38" s="248">
        <f t="shared" ref="AO38" si="91">SUM(AO29,-AO26,-AO25,AO37)</f>
        <v>0</v>
      </c>
      <c r="AP38" s="248">
        <f t="shared" ref="AP38" si="92">SUM(AP29,-AP26,-AP25,AP37)</f>
        <v>0</v>
      </c>
      <c r="AQ38" s="248">
        <f t="shared" ref="AQ38" si="93">SUM(AQ29,-AQ26,-AQ25,AQ37)</f>
        <v>0</v>
      </c>
      <c r="AR38" s="248">
        <f t="shared" ref="AR38" si="94">SUM(AR29,-AR26,-AR25,AR37)</f>
        <v>0</v>
      </c>
      <c r="AS38" s="248">
        <f t="shared" ref="AS38" si="95">SUM(AS29,-AS26,-AS25,AS37)</f>
        <v>0</v>
      </c>
      <c r="AT38" s="248">
        <f t="shared" ref="AT38" si="96">SUM(AT29,-AT26,-AT25,AT37)</f>
        <v>0</v>
      </c>
      <c r="AU38" s="248">
        <f t="shared" ref="AU38" si="97">SUM(AU29,-AU26,-AU25,AU37)</f>
        <v>0</v>
      </c>
      <c r="AV38" s="248">
        <f t="shared" ref="AV38" si="98">SUM(AV29,-AV26,-AV25,AV37)</f>
        <v>0</v>
      </c>
      <c r="AW38" s="248">
        <f t="shared" ref="AW38" si="99">SUM(AW29,-AW26,-AW25,AW37)</f>
        <v>0</v>
      </c>
      <c r="AX38" s="248">
        <f t="shared" ref="AX38" si="100">SUM(AX29,-AX26,-AX25,AX37)</f>
        <v>0</v>
      </c>
      <c r="AY38" s="248">
        <f t="shared" ref="AY38" si="101">SUM(AY29,-AY26,-AY25,AY37)</f>
        <v>0</v>
      </c>
      <c r="AZ38" s="248">
        <f t="shared" ref="AZ38" si="102">SUM(AZ29,-AZ26,-AZ25,AZ37)</f>
        <v>0</v>
      </c>
      <c r="BA38" s="248">
        <f t="shared" ref="BA38" si="103">SUM(BA29,-BA26,-BA25,BA37)</f>
        <v>0</v>
      </c>
      <c r="BB38" s="248">
        <f t="shared" ref="BB38" si="104">SUM(BB29,-BB26,-BB25,BB37)</f>
        <v>0</v>
      </c>
      <c r="BC38" s="248">
        <f t="shared" ref="BC38" si="105">SUM(BC29,-BC26,-BC25,BC37)</f>
        <v>0</v>
      </c>
      <c r="BD38" s="248">
        <f t="shared" ref="BD38" si="106">SUM(BD29,-BD26,-BD25,BD37)</f>
        <v>0</v>
      </c>
      <c r="BE38" s="248">
        <f t="shared" ref="BE38" si="107">SUM(BE29,-BE26,-BE25,BE37)</f>
        <v>0</v>
      </c>
      <c r="BF38" s="248">
        <f t="shared" ref="BF38" si="108">SUM(BF29,-BF26,-BF25,BF37)</f>
        <v>0</v>
      </c>
      <c r="BG38" s="248">
        <f t="shared" ref="BG38" si="109">SUM(BG29,-BG26,-BG25,BG37)</f>
        <v>0</v>
      </c>
      <c r="BH38" s="248">
        <f t="shared" ref="BH38" si="110">SUM(BH29,-BH26,-BH25,BH37)</f>
        <v>0</v>
      </c>
      <c r="BI38" s="248">
        <f t="shared" ref="BI38" si="111">SUM(BI29,-BI26,-BI25,BI37)</f>
        <v>0</v>
      </c>
      <c r="BJ38" s="248">
        <f t="shared" ref="BJ38" si="112">SUM(BJ29,-BJ26,-BJ25,BJ37)</f>
        <v>0</v>
      </c>
      <c r="BK38" s="248">
        <f t="shared" ref="BK38" si="113">SUM(BK29,-BK26,-BK25,BK37)</f>
        <v>0</v>
      </c>
      <c r="BL38" s="248">
        <f t="shared" ref="BL38" si="114">SUM(BL29,-BL26,-BL25,BL37)</f>
        <v>0</v>
      </c>
      <c r="BM38" s="248">
        <f t="shared" ref="BM38" si="115">SUM(BM29,-BM26,-BM25,BM37)</f>
        <v>0</v>
      </c>
    </row>
    <row r="39" spans="2:71" ht="15" customHeight="1">
      <c r="B39" s="171" t="s">
        <v>151</v>
      </c>
      <c r="C39" s="113" t="s">
        <v>100</v>
      </c>
      <c r="D39" s="254" t="str">
        <f>IF(D16=0,"-",D38/D16)</f>
        <v>-</v>
      </c>
      <c r="E39" s="254" t="str">
        <f t="shared" ref="E39:BM39" si="116">IF(E16=0,"-",E38/E16)</f>
        <v>-</v>
      </c>
      <c r="F39" s="254" t="str">
        <f t="shared" si="116"/>
        <v>-</v>
      </c>
      <c r="G39" s="254" t="str">
        <f t="shared" si="116"/>
        <v>-</v>
      </c>
      <c r="H39" s="254" t="str">
        <f t="shared" si="116"/>
        <v>-</v>
      </c>
      <c r="I39" s="254" t="str">
        <f t="shared" si="116"/>
        <v>-</v>
      </c>
      <c r="J39" s="254" t="str">
        <f t="shared" si="116"/>
        <v>-</v>
      </c>
      <c r="K39" s="254" t="str">
        <f t="shared" si="116"/>
        <v>-</v>
      </c>
      <c r="L39" s="254" t="str">
        <f t="shared" si="116"/>
        <v>-</v>
      </c>
      <c r="M39" s="254" t="str">
        <f t="shared" si="116"/>
        <v>-</v>
      </c>
      <c r="N39" s="254" t="str">
        <f t="shared" si="116"/>
        <v>-</v>
      </c>
      <c r="O39" s="254" t="str">
        <f t="shared" si="116"/>
        <v>-</v>
      </c>
      <c r="P39" s="254" t="str">
        <f t="shared" si="116"/>
        <v>-</v>
      </c>
      <c r="Q39" s="254" t="str">
        <f t="shared" si="116"/>
        <v>-</v>
      </c>
      <c r="R39" s="254" t="str">
        <f t="shared" si="116"/>
        <v>-</v>
      </c>
      <c r="S39" s="254" t="str">
        <f t="shared" si="116"/>
        <v>-</v>
      </c>
      <c r="T39" s="254" t="str">
        <f t="shared" si="116"/>
        <v>-</v>
      </c>
      <c r="U39" s="254" t="str">
        <f t="shared" si="116"/>
        <v>-</v>
      </c>
      <c r="V39" s="254" t="str">
        <f t="shared" si="116"/>
        <v>-</v>
      </c>
      <c r="W39" s="254" t="str">
        <f t="shared" si="116"/>
        <v>-</v>
      </c>
      <c r="X39" s="254" t="str">
        <f t="shared" si="116"/>
        <v>-</v>
      </c>
      <c r="Y39" s="254" t="str">
        <f t="shared" si="116"/>
        <v>-</v>
      </c>
      <c r="Z39" s="254" t="str">
        <f t="shared" si="116"/>
        <v>-</v>
      </c>
      <c r="AA39" s="254" t="str">
        <f t="shared" si="116"/>
        <v>-</v>
      </c>
      <c r="AB39" s="254" t="str">
        <f t="shared" si="116"/>
        <v>-</v>
      </c>
      <c r="AC39" s="254" t="str">
        <f t="shared" si="116"/>
        <v>-</v>
      </c>
      <c r="AD39" s="254" t="str">
        <f t="shared" si="116"/>
        <v>-</v>
      </c>
      <c r="AE39" s="254" t="str">
        <f t="shared" si="116"/>
        <v>-</v>
      </c>
      <c r="AF39" s="254" t="str">
        <f t="shared" si="116"/>
        <v>-</v>
      </c>
      <c r="AG39" s="254" t="str">
        <f t="shared" si="116"/>
        <v>-</v>
      </c>
      <c r="AH39" s="254" t="str">
        <f t="shared" si="116"/>
        <v>-</v>
      </c>
      <c r="AI39" s="254" t="str">
        <f t="shared" si="116"/>
        <v>-</v>
      </c>
      <c r="AJ39" s="254" t="str">
        <f t="shared" si="116"/>
        <v>-</v>
      </c>
      <c r="AK39" s="254" t="str">
        <f t="shared" si="116"/>
        <v>-</v>
      </c>
      <c r="AL39" s="254" t="str">
        <f t="shared" si="116"/>
        <v>-</v>
      </c>
      <c r="AM39" s="254" t="str">
        <f t="shared" si="116"/>
        <v>-</v>
      </c>
      <c r="AN39" s="254" t="str">
        <f t="shared" si="116"/>
        <v>-</v>
      </c>
      <c r="AO39" s="254" t="str">
        <f t="shared" si="116"/>
        <v>-</v>
      </c>
      <c r="AP39" s="254" t="str">
        <f t="shared" si="116"/>
        <v>-</v>
      </c>
      <c r="AQ39" s="254" t="str">
        <f t="shared" si="116"/>
        <v>-</v>
      </c>
      <c r="AR39" s="254" t="str">
        <f t="shared" si="116"/>
        <v>-</v>
      </c>
      <c r="AS39" s="254" t="str">
        <f t="shared" si="116"/>
        <v>-</v>
      </c>
      <c r="AT39" s="254" t="str">
        <f t="shared" si="116"/>
        <v>-</v>
      </c>
      <c r="AU39" s="254" t="str">
        <f t="shared" si="116"/>
        <v>-</v>
      </c>
      <c r="AV39" s="254" t="str">
        <f t="shared" si="116"/>
        <v>-</v>
      </c>
      <c r="AW39" s="254" t="str">
        <f t="shared" si="116"/>
        <v>-</v>
      </c>
      <c r="AX39" s="254" t="str">
        <f t="shared" si="116"/>
        <v>-</v>
      </c>
      <c r="AY39" s="254" t="str">
        <f t="shared" si="116"/>
        <v>-</v>
      </c>
      <c r="AZ39" s="254" t="str">
        <f t="shared" si="116"/>
        <v>-</v>
      </c>
      <c r="BA39" s="254" t="str">
        <f t="shared" si="116"/>
        <v>-</v>
      </c>
      <c r="BB39" s="254" t="str">
        <f t="shared" si="116"/>
        <v>-</v>
      </c>
      <c r="BC39" s="254" t="str">
        <f t="shared" si="116"/>
        <v>-</v>
      </c>
      <c r="BD39" s="254" t="str">
        <f t="shared" si="116"/>
        <v>-</v>
      </c>
      <c r="BE39" s="254" t="str">
        <f t="shared" si="116"/>
        <v>-</v>
      </c>
      <c r="BF39" s="254" t="str">
        <f t="shared" si="116"/>
        <v>-</v>
      </c>
      <c r="BG39" s="254" t="str">
        <f t="shared" si="116"/>
        <v>-</v>
      </c>
      <c r="BH39" s="254" t="str">
        <f t="shared" si="116"/>
        <v>-</v>
      </c>
      <c r="BI39" s="254" t="str">
        <f t="shared" si="116"/>
        <v>-</v>
      </c>
      <c r="BJ39" s="254" t="str">
        <f t="shared" si="116"/>
        <v>-</v>
      </c>
      <c r="BK39" s="254" t="str">
        <f t="shared" si="116"/>
        <v>-</v>
      </c>
      <c r="BL39" s="254" t="str">
        <f t="shared" si="116"/>
        <v>-</v>
      </c>
      <c r="BM39" s="254" t="str">
        <f t="shared" si="116"/>
        <v>-</v>
      </c>
    </row>
    <row r="40" spans="2:71" ht="15" customHeight="1">
      <c r="B40" s="37"/>
      <c r="C40" s="37"/>
      <c r="D40" s="37"/>
      <c r="E40" s="37"/>
      <c r="F40" s="37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37"/>
      <c r="U40" s="37"/>
      <c r="V40" s="37"/>
      <c r="W40" s="37"/>
      <c r="X40" s="37"/>
      <c r="Y40" s="37"/>
      <c r="Z40" s="37"/>
      <c r="AA40" s="37"/>
      <c r="AB40" s="37"/>
      <c r="AC40" s="37"/>
      <c r="AD40" s="37"/>
      <c r="AE40" s="37"/>
      <c r="AF40" s="37"/>
      <c r="AG40" s="37"/>
      <c r="AH40" s="37"/>
      <c r="AI40" s="37"/>
      <c r="AJ40" s="37"/>
      <c r="AK40" s="37"/>
      <c r="AL40" s="37"/>
      <c r="AM40" s="37"/>
      <c r="AN40" s="37"/>
      <c r="AO40" s="37"/>
      <c r="AP40" s="37"/>
      <c r="AQ40" s="37"/>
      <c r="AR40" s="37"/>
      <c r="AS40" s="37"/>
      <c r="AT40" s="37"/>
      <c r="AU40" s="37"/>
      <c r="AV40" s="37"/>
      <c r="AW40" s="37"/>
      <c r="AX40" s="37"/>
      <c r="AY40" s="37"/>
      <c r="AZ40" s="37"/>
      <c r="BA40" s="37"/>
      <c r="BB40" s="37"/>
      <c r="BC40" s="37"/>
      <c r="BD40" s="37"/>
      <c r="BE40" s="37"/>
      <c r="BF40" s="37"/>
      <c r="BG40" s="37"/>
      <c r="BH40" s="37"/>
      <c r="BI40" s="37"/>
      <c r="BJ40" s="37"/>
      <c r="BK40" s="37"/>
      <c r="BL40" s="37"/>
      <c r="BM40" s="37"/>
    </row>
    <row r="41" spans="2:71" ht="21">
      <c r="B41" s="40" t="s">
        <v>101</v>
      </c>
      <c r="C41" s="37"/>
      <c r="D41" s="40"/>
      <c r="E41" s="41"/>
      <c r="F41" s="4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1"/>
      <c r="AV41" s="41"/>
      <c r="AW41" s="41"/>
      <c r="AX41" s="41"/>
      <c r="AY41" s="41"/>
      <c r="AZ41" s="41"/>
      <c r="BA41" s="41"/>
      <c r="BB41" s="41"/>
      <c r="BC41" s="41"/>
      <c r="BD41" s="41"/>
      <c r="BE41" s="41"/>
      <c r="BF41" s="41"/>
      <c r="BG41" s="41"/>
      <c r="BH41" s="41"/>
      <c r="BI41" s="41"/>
      <c r="BJ41" s="41"/>
      <c r="BK41" s="41"/>
      <c r="BL41" s="41"/>
      <c r="BM41" s="41"/>
      <c r="BN41" s="5"/>
      <c r="BO41" s="5"/>
      <c r="BP41" s="5"/>
      <c r="BQ41" s="5"/>
      <c r="BR41" s="5"/>
      <c r="BS41" s="5"/>
    </row>
    <row r="42" spans="2:71" ht="21">
      <c r="B42" s="118" t="s">
        <v>102</v>
      </c>
      <c r="C42" s="37"/>
      <c r="D42" s="40"/>
      <c r="E42" s="41"/>
      <c r="F42" s="4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1"/>
      <c r="AV42" s="41"/>
      <c r="AW42" s="41"/>
      <c r="AX42" s="41"/>
      <c r="AY42" s="41"/>
      <c r="AZ42" s="41"/>
      <c r="BA42" s="41"/>
      <c r="BB42" s="41"/>
      <c r="BC42" s="41"/>
      <c r="BD42" s="41"/>
      <c r="BE42" s="41"/>
      <c r="BF42" s="41"/>
      <c r="BG42" s="41"/>
      <c r="BH42" s="41"/>
      <c r="BI42" s="41"/>
      <c r="BJ42" s="41"/>
      <c r="BK42" s="41"/>
      <c r="BL42" s="41"/>
      <c r="BM42" s="41"/>
      <c r="BN42" s="5"/>
      <c r="BO42" s="5"/>
      <c r="BP42" s="5"/>
      <c r="BQ42" s="5"/>
      <c r="BR42" s="5"/>
      <c r="BS42" s="5"/>
    </row>
    <row r="43" spans="2:71">
      <c r="B43" s="120" t="s">
        <v>195</v>
      </c>
      <c r="C43" s="121"/>
      <c r="D43" s="121"/>
      <c r="E43" s="41"/>
      <c r="F43" s="4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  <c r="AV43" s="41"/>
      <c r="AW43" s="41"/>
      <c r="AX43" s="41"/>
      <c r="AY43" s="41"/>
      <c r="AZ43" s="41"/>
      <c r="BA43" s="41"/>
      <c r="BB43" s="41"/>
      <c r="BC43" s="41"/>
      <c r="BD43" s="41"/>
      <c r="BE43" s="41"/>
      <c r="BF43" s="41"/>
      <c r="BG43" s="41"/>
      <c r="BH43" s="41"/>
      <c r="BI43" s="41"/>
      <c r="BJ43" s="41"/>
      <c r="BK43" s="41"/>
      <c r="BL43" s="41"/>
      <c r="BM43" s="41"/>
      <c r="BN43" s="5"/>
      <c r="BO43" s="5"/>
      <c r="BP43" s="5"/>
      <c r="BQ43" s="5"/>
    </row>
    <row r="44" spans="2:71" ht="15" customHeight="1">
      <c r="B44" s="123" t="s">
        <v>197</v>
      </c>
      <c r="C44" s="113" t="s">
        <v>11</v>
      </c>
      <c r="D44" s="248">
        <f>SUM(E44:BM44)</f>
        <v>0</v>
      </c>
      <c r="E44" s="292"/>
      <c r="F44" s="292"/>
      <c r="G44" s="292"/>
      <c r="H44" s="292"/>
      <c r="I44" s="292"/>
      <c r="J44" s="292"/>
      <c r="K44" s="292"/>
      <c r="L44" s="292"/>
      <c r="M44" s="292"/>
      <c r="N44" s="292"/>
      <c r="O44" s="292"/>
      <c r="P44" s="292"/>
      <c r="Q44" s="292"/>
      <c r="R44" s="299"/>
      <c r="S44" s="299"/>
      <c r="T44" s="299"/>
      <c r="U44" s="299"/>
      <c r="V44" s="299"/>
      <c r="W44" s="299"/>
      <c r="X44" s="299"/>
      <c r="Y44" s="299"/>
      <c r="Z44" s="299"/>
      <c r="AA44" s="299"/>
      <c r="AB44" s="299"/>
      <c r="AC44" s="299"/>
      <c r="AD44" s="299"/>
      <c r="AE44" s="299"/>
      <c r="AF44" s="299"/>
      <c r="AG44" s="299"/>
      <c r="AH44" s="299"/>
      <c r="AI44" s="299"/>
      <c r="AJ44" s="299"/>
      <c r="AK44" s="299"/>
      <c r="AL44" s="299"/>
      <c r="AM44" s="299"/>
      <c r="AN44" s="299"/>
      <c r="AO44" s="299"/>
      <c r="AP44" s="299"/>
      <c r="AQ44" s="299"/>
      <c r="AR44" s="299"/>
      <c r="AS44" s="299"/>
      <c r="AT44" s="299"/>
      <c r="AU44" s="299"/>
      <c r="AV44" s="299"/>
      <c r="AW44" s="299"/>
      <c r="AX44" s="299"/>
      <c r="AY44" s="299"/>
      <c r="AZ44" s="299"/>
      <c r="BA44" s="299"/>
      <c r="BB44" s="299"/>
      <c r="BC44" s="299"/>
      <c r="BD44" s="299"/>
      <c r="BE44" s="299"/>
      <c r="BF44" s="299"/>
      <c r="BG44" s="299"/>
      <c r="BH44" s="299"/>
      <c r="BI44" s="299"/>
      <c r="BJ44" s="299"/>
      <c r="BK44" s="299"/>
      <c r="BL44" s="299"/>
      <c r="BM44" s="299"/>
    </row>
    <row r="45" spans="2:71" ht="15" customHeight="1">
      <c r="B45" s="112" t="s">
        <v>198</v>
      </c>
      <c r="C45" s="113" t="s">
        <v>11</v>
      </c>
      <c r="D45" s="248">
        <f>SUM(E45:BM45)</f>
        <v>0</v>
      </c>
      <c r="E45" s="299"/>
      <c r="F45" s="299"/>
      <c r="G45" s="299"/>
      <c r="H45" s="299"/>
      <c r="I45" s="299"/>
      <c r="J45" s="299"/>
      <c r="K45" s="299"/>
      <c r="L45" s="299"/>
      <c r="M45" s="299"/>
      <c r="N45" s="299"/>
      <c r="O45" s="299"/>
      <c r="P45" s="299"/>
      <c r="Q45" s="299"/>
      <c r="R45" s="299"/>
      <c r="S45" s="299"/>
      <c r="T45" s="299"/>
      <c r="U45" s="299"/>
      <c r="V45" s="299"/>
      <c r="W45" s="299"/>
      <c r="X45" s="299"/>
      <c r="Y45" s="299"/>
      <c r="Z45" s="299"/>
      <c r="AA45" s="299"/>
      <c r="AB45" s="299"/>
      <c r="AC45" s="299"/>
      <c r="AD45" s="299"/>
      <c r="AE45" s="299"/>
      <c r="AF45" s="299"/>
      <c r="AG45" s="299"/>
      <c r="AH45" s="299"/>
      <c r="AI45" s="299"/>
      <c r="AJ45" s="299"/>
      <c r="AK45" s="299"/>
      <c r="AL45" s="299"/>
      <c r="AM45" s="299"/>
      <c r="AN45" s="299"/>
      <c r="AO45" s="299"/>
      <c r="AP45" s="299"/>
      <c r="AQ45" s="299"/>
      <c r="AR45" s="299"/>
      <c r="AS45" s="299"/>
      <c r="AT45" s="299"/>
      <c r="AU45" s="299"/>
      <c r="AV45" s="299"/>
      <c r="AW45" s="299"/>
      <c r="AX45" s="299"/>
      <c r="AY45" s="299"/>
      <c r="AZ45" s="299"/>
      <c r="BA45" s="299"/>
      <c r="BB45" s="299"/>
      <c r="BC45" s="299"/>
      <c r="BD45" s="299"/>
      <c r="BE45" s="299"/>
      <c r="BF45" s="299"/>
      <c r="BG45" s="299"/>
      <c r="BH45" s="299"/>
      <c r="BI45" s="299"/>
      <c r="BJ45" s="299"/>
      <c r="BK45" s="299"/>
      <c r="BL45" s="299"/>
      <c r="BM45" s="299"/>
    </row>
    <row r="46" spans="2:71" ht="15" customHeight="1">
      <c r="B46" s="112" t="s">
        <v>199</v>
      </c>
      <c r="C46" s="113" t="s">
        <v>11</v>
      </c>
      <c r="D46" s="248">
        <f>SUM(E46:BM46)</f>
        <v>0</v>
      </c>
      <c r="E46" s="299"/>
      <c r="F46" s="292"/>
      <c r="G46" s="292"/>
      <c r="H46" s="292"/>
      <c r="I46" s="292"/>
      <c r="J46" s="292"/>
      <c r="K46" s="292"/>
      <c r="L46" s="292"/>
      <c r="M46" s="292"/>
      <c r="N46" s="292"/>
      <c r="O46" s="292"/>
      <c r="P46" s="292"/>
      <c r="Q46" s="292"/>
      <c r="R46" s="292"/>
      <c r="S46" s="292"/>
      <c r="T46" s="292"/>
      <c r="U46" s="292"/>
      <c r="V46" s="292"/>
      <c r="W46" s="292"/>
      <c r="X46" s="292"/>
      <c r="Y46" s="292"/>
      <c r="Z46" s="292"/>
      <c r="AA46" s="292"/>
      <c r="AB46" s="292"/>
      <c r="AC46" s="292"/>
      <c r="AD46" s="292"/>
      <c r="AE46" s="292"/>
      <c r="AF46" s="292"/>
      <c r="AG46" s="292"/>
      <c r="AH46" s="292"/>
      <c r="AI46" s="292"/>
      <c r="AJ46" s="292"/>
      <c r="AK46" s="292"/>
      <c r="AL46" s="292"/>
      <c r="AM46" s="292"/>
      <c r="AN46" s="292"/>
      <c r="AO46" s="292"/>
      <c r="AP46" s="292"/>
      <c r="AQ46" s="292"/>
      <c r="AR46" s="292"/>
      <c r="AS46" s="292"/>
      <c r="AT46" s="299"/>
      <c r="AU46" s="299"/>
      <c r="AV46" s="299"/>
      <c r="AW46" s="299"/>
      <c r="AX46" s="299"/>
      <c r="AY46" s="299"/>
      <c r="AZ46" s="299"/>
      <c r="BA46" s="299"/>
      <c r="BB46" s="299"/>
      <c r="BC46" s="299"/>
      <c r="BD46" s="299"/>
      <c r="BE46" s="299"/>
      <c r="BF46" s="299"/>
      <c r="BG46" s="299"/>
      <c r="BH46" s="299"/>
      <c r="BI46" s="299"/>
      <c r="BJ46" s="299"/>
      <c r="BK46" s="299"/>
      <c r="BL46" s="299"/>
      <c r="BM46" s="299"/>
    </row>
    <row r="47" spans="2:71" ht="15" customHeight="1">
      <c r="B47" s="112" t="s">
        <v>196</v>
      </c>
      <c r="C47" s="113" t="s">
        <v>11</v>
      </c>
      <c r="D47" s="248">
        <f>SUM(E47:BM47)</f>
        <v>0</v>
      </c>
      <c r="E47" s="292"/>
      <c r="F47" s="292"/>
      <c r="G47" s="292"/>
      <c r="H47" s="292"/>
      <c r="I47" s="292"/>
      <c r="J47" s="292"/>
      <c r="K47" s="292"/>
      <c r="L47" s="292"/>
      <c r="M47" s="292"/>
      <c r="N47" s="292"/>
      <c r="O47" s="292"/>
      <c r="P47" s="292"/>
      <c r="Q47" s="292"/>
      <c r="R47" s="292"/>
      <c r="S47" s="292"/>
      <c r="T47" s="292"/>
      <c r="U47" s="292"/>
      <c r="V47" s="292"/>
      <c r="W47" s="292"/>
      <c r="X47" s="292"/>
      <c r="Y47" s="292"/>
      <c r="Z47" s="292"/>
      <c r="AA47" s="292"/>
      <c r="AB47" s="292"/>
      <c r="AC47" s="292"/>
      <c r="AD47" s="292"/>
      <c r="AE47" s="292"/>
      <c r="AF47" s="292"/>
      <c r="AG47" s="292"/>
      <c r="AH47" s="292"/>
      <c r="AI47" s="292"/>
      <c r="AJ47" s="292"/>
      <c r="AK47" s="292"/>
      <c r="AL47" s="292"/>
      <c r="AM47" s="292"/>
      <c r="AN47" s="292"/>
      <c r="AO47" s="292"/>
      <c r="AP47" s="292"/>
      <c r="AQ47" s="292"/>
      <c r="AR47" s="292"/>
      <c r="AS47" s="292"/>
      <c r="AT47" s="299"/>
      <c r="AU47" s="299"/>
      <c r="AV47" s="299"/>
      <c r="AW47" s="299"/>
      <c r="AX47" s="299"/>
      <c r="AY47" s="299"/>
      <c r="AZ47" s="299"/>
      <c r="BA47" s="299"/>
      <c r="BB47" s="299"/>
      <c r="BC47" s="299"/>
      <c r="BD47" s="299"/>
      <c r="BE47" s="299"/>
      <c r="BF47" s="299"/>
      <c r="BG47" s="299"/>
      <c r="BH47" s="299"/>
      <c r="BI47" s="299"/>
      <c r="BJ47" s="299"/>
      <c r="BK47" s="299"/>
      <c r="BL47" s="299"/>
      <c r="BM47" s="299"/>
    </row>
    <row r="48" spans="2:71" ht="15" customHeight="1">
      <c r="B48" s="259" t="s">
        <v>12</v>
      </c>
      <c r="C48" s="260" t="s">
        <v>11</v>
      </c>
      <c r="D48" s="261">
        <f t="shared" ref="D48:E48" si="117">SUM(D44:D47)</f>
        <v>0</v>
      </c>
      <c r="E48" s="248">
        <f t="shared" si="117"/>
        <v>0</v>
      </c>
      <c r="F48" s="248">
        <f t="shared" ref="F48:AG48" si="118">SUM(F44:F47)</f>
        <v>0</v>
      </c>
      <c r="G48" s="248">
        <f t="shared" si="118"/>
        <v>0</v>
      </c>
      <c r="H48" s="248">
        <f t="shared" si="118"/>
        <v>0</v>
      </c>
      <c r="I48" s="248">
        <f t="shared" si="118"/>
        <v>0</v>
      </c>
      <c r="J48" s="248">
        <f t="shared" si="118"/>
        <v>0</v>
      </c>
      <c r="K48" s="248">
        <f t="shared" si="118"/>
        <v>0</v>
      </c>
      <c r="L48" s="248">
        <f t="shared" si="118"/>
        <v>0</v>
      </c>
      <c r="M48" s="248">
        <f t="shared" si="118"/>
        <v>0</v>
      </c>
      <c r="N48" s="248">
        <f t="shared" si="118"/>
        <v>0</v>
      </c>
      <c r="O48" s="248">
        <f t="shared" si="118"/>
        <v>0</v>
      </c>
      <c r="P48" s="248">
        <f t="shared" si="118"/>
        <v>0</v>
      </c>
      <c r="Q48" s="248">
        <f t="shared" si="118"/>
        <v>0</v>
      </c>
      <c r="R48" s="248">
        <f t="shared" si="118"/>
        <v>0</v>
      </c>
      <c r="S48" s="248">
        <f t="shared" si="118"/>
        <v>0</v>
      </c>
      <c r="T48" s="248">
        <f t="shared" si="118"/>
        <v>0</v>
      </c>
      <c r="U48" s="248">
        <f t="shared" si="118"/>
        <v>0</v>
      </c>
      <c r="V48" s="248">
        <f t="shared" si="118"/>
        <v>0</v>
      </c>
      <c r="W48" s="248">
        <f t="shared" si="118"/>
        <v>0</v>
      </c>
      <c r="X48" s="248">
        <f t="shared" si="118"/>
        <v>0</v>
      </c>
      <c r="Y48" s="248">
        <f t="shared" si="118"/>
        <v>0</v>
      </c>
      <c r="Z48" s="248">
        <f t="shared" si="118"/>
        <v>0</v>
      </c>
      <c r="AA48" s="248">
        <f t="shared" si="118"/>
        <v>0</v>
      </c>
      <c r="AB48" s="248">
        <f t="shared" si="118"/>
        <v>0</v>
      </c>
      <c r="AC48" s="248">
        <f t="shared" si="118"/>
        <v>0</v>
      </c>
      <c r="AD48" s="248">
        <f t="shared" si="118"/>
        <v>0</v>
      </c>
      <c r="AE48" s="248">
        <f t="shared" si="118"/>
        <v>0</v>
      </c>
      <c r="AF48" s="248">
        <f t="shared" si="118"/>
        <v>0</v>
      </c>
      <c r="AG48" s="248">
        <f t="shared" si="118"/>
        <v>0</v>
      </c>
      <c r="AH48" s="248">
        <f t="shared" ref="AH48:BM48" si="119">SUM(AH44:AH47)</f>
        <v>0</v>
      </c>
      <c r="AI48" s="248">
        <f t="shared" si="119"/>
        <v>0</v>
      </c>
      <c r="AJ48" s="248">
        <f t="shared" si="119"/>
        <v>0</v>
      </c>
      <c r="AK48" s="248">
        <f t="shared" si="119"/>
        <v>0</v>
      </c>
      <c r="AL48" s="248">
        <f t="shared" si="119"/>
        <v>0</v>
      </c>
      <c r="AM48" s="248">
        <f t="shared" si="119"/>
        <v>0</v>
      </c>
      <c r="AN48" s="248">
        <f t="shared" si="119"/>
        <v>0</v>
      </c>
      <c r="AO48" s="248">
        <f t="shared" si="119"/>
        <v>0</v>
      </c>
      <c r="AP48" s="248">
        <f t="shared" si="119"/>
        <v>0</v>
      </c>
      <c r="AQ48" s="248">
        <f t="shared" si="119"/>
        <v>0</v>
      </c>
      <c r="AR48" s="248">
        <f t="shared" si="119"/>
        <v>0</v>
      </c>
      <c r="AS48" s="248">
        <f t="shared" si="119"/>
        <v>0</v>
      </c>
      <c r="AT48" s="248">
        <f t="shared" si="119"/>
        <v>0</v>
      </c>
      <c r="AU48" s="248">
        <f t="shared" si="119"/>
        <v>0</v>
      </c>
      <c r="AV48" s="248">
        <f t="shared" si="119"/>
        <v>0</v>
      </c>
      <c r="AW48" s="248">
        <f t="shared" si="119"/>
        <v>0</v>
      </c>
      <c r="AX48" s="248">
        <f t="shared" si="119"/>
        <v>0</v>
      </c>
      <c r="AY48" s="248">
        <f t="shared" si="119"/>
        <v>0</v>
      </c>
      <c r="AZ48" s="248">
        <f t="shared" si="119"/>
        <v>0</v>
      </c>
      <c r="BA48" s="248">
        <f t="shared" si="119"/>
        <v>0</v>
      </c>
      <c r="BB48" s="248">
        <f t="shared" si="119"/>
        <v>0</v>
      </c>
      <c r="BC48" s="248">
        <f t="shared" si="119"/>
        <v>0</v>
      </c>
      <c r="BD48" s="248">
        <f t="shared" si="119"/>
        <v>0</v>
      </c>
      <c r="BE48" s="248">
        <f t="shared" si="119"/>
        <v>0</v>
      </c>
      <c r="BF48" s="248">
        <f t="shared" si="119"/>
        <v>0</v>
      </c>
      <c r="BG48" s="248">
        <f t="shared" si="119"/>
        <v>0</v>
      </c>
      <c r="BH48" s="248">
        <f t="shared" si="119"/>
        <v>0</v>
      </c>
      <c r="BI48" s="248">
        <f t="shared" si="119"/>
        <v>0</v>
      </c>
      <c r="BJ48" s="248">
        <f t="shared" si="119"/>
        <v>0</v>
      </c>
      <c r="BK48" s="248">
        <f t="shared" si="119"/>
        <v>0</v>
      </c>
      <c r="BL48" s="248">
        <f t="shared" si="119"/>
        <v>0</v>
      </c>
      <c r="BM48" s="248">
        <f t="shared" si="119"/>
        <v>0</v>
      </c>
    </row>
    <row r="49" spans="2:71" ht="15" customHeight="1">
      <c r="B49" s="37"/>
      <c r="C49" s="37"/>
      <c r="D49" s="37"/>
      <c r="E49" s="37"/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37"/>
      <c r="U49" s="37"/>
      <c r="V49" s="37"/>
      <c r="W49" s="37"/>
      <c r="X49" s="37"/>
      <c r="Y49" s="37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  <c r="AL49" s="37"/>
      <c r="AM49" s="37"/>
      <c r="AN49" s="37"/>
      <c r="AO49" s="37"/>
      <c r="AP49" s="37"/>
      <c r="AQ49" s="37"/>
      <c r="AR49" s="37"/>
      <c r="AS49" s="37"/>
      <c r="AT49" s="37"/>
      <c r="AU49" s="37"/>
      <c r="AV49" s="37"/>
      <c r="AW49" s="37"/>
      <c r="AX49" s="37"/>
      <c r="AY49" s="37"/>
      <c r="AZ49" s="37"/>
      <c r="BA49" s="37"/>
      <c r="BB49" s="37"/>
      <c r="BC49" s="37"/>
      <c r="BD49" s="37"/>
      <c r="BE49" s="37"/>
      <c r="BF49" s="37"/>
      <c r="BG49" s="37"/>
      <c r="BH49" s="37"/>
      <c r="BI49" s="37"/>
      <c r="BJ49" s="37"/>
      <c r="BK49" s="37"/>
      <c r="BL49" s="37"/>
      <c r="BM49" s="37"/>
    </row>
    <row r="50" spans="2:71">
      <c r="B50" s="120" t="s">
        <v>200</v>
      </c>
      <c r="C50" s="121"/>
      <c r="D50" s="121"/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41"/>
      <c r="AV50" s="41"/>
      <c r="AW50" s="41"/>
      <c r="AX50" s="41"/>
      <c r="AY50" s="41"/>
      <c r="AZ50" s="41"/>
      <c r="BA50" s="41"/>
      <c r="BB50" s="41"/>
      <c r="BC50" s="41"/>
      <c r="BD50" s="41"/>
      <c r="BE50" s="41"/>
      <c r="BF50" s="41"/>
      <c r="BG50" s="41"/>
      <c r="BH50" s="41"/>
      <c r="BI50" s="41"/>
      <c r="BJ50" s="41"/>
      <c r="BK50" s="41"/>
      <c r="BL50" s="41"/>
      <c r="BM50" s="41"/>
      <c r="BN50" s="5"/>
      <c r="BO50" s="5"/>
      <c r="BP50" s="5"/>
      <c r="BQ50" s="5"/>
    </row>
    <row r="51" spans="2:71" ht="15" customHeight="1">
      <c r="B51" s="112" t="s">
        <v>215</v>
      </c>
      <c r="C51" s="113" t="s">
        <v>11</v>
      </c>
      <c r="D51" s="248">
        <f>SUM(E51:BM51)</f>
        <v>0</v>
      </c>
      <c r="E51" s="292"/>
      <c r="F51" s="292"/>
      <c r="G51" s="292"/>
      <c r="H51" s="292"/>
      <c r="I51" s="292"/>
      <c r="J51" s="292"/>
      <c r="K51" s="292"/>
      <c r="L51" s="292"/>
      <c r="M51" s="292"/>
      <c r="N51" s="292"/>
      <c r="O51" s="292"/>
      <c r="P51" s="292"/>
      <c r="Q51" s="292"/>
      <c r="R51" s="292"/>
      <c r="S51" s="292"/>
      <c r="T51" s="292"/>
      <c r="U51" s="292"/>
      <c r="V51" s="292"/>
      <c r="W51" s="292"/>
      <c r="X51" s="292"/>
      <c r="Y51" s="292"/>
      <c r="Z51" s="292"/>
      <c r="AA51" s="292"/>
      <c r="AB51" s="292"/>
      <c r="AC51" s="292"/>
      <c r="AD51" s="292"/>
      <c r="AE51" s="292"/>
      <c r="AF51" s="292"/>
      <c r="AG51" s="292"/>
      <c r="AH51" s="292"/>
      <c r="AI51" s="292"/>
      <c r="AJ51" s="292"/>
      <c r="AK51" s="292"/>
      <c r="AL51" s="292"/>
      <c r="AM51" s="292"/>
      <c r="AN51" s="292"/>
      <c r="AO51" s="292"/>
      <c r="AP51" s="292"/>
      <c r="AQ51" s="292"/>
      <c r="AR51" s="292"/>
      <c r="AS51" s="292"/>
      <c r="AT51" s="292"/>
      <c r="AU51" s="292"/>
      <c r="AV51" s="292"/>
      <c r="AW51" s="292"/>
      <c r="AX51" s="292"/>
      <c r="AY51" s="292"/>
      <c r="AZ51" s="292"/>
      <c r="BA51" s="292"/>
      <c r="BB51" s="292"/>
      <c r="BC51" s="292"/>
      <c r="BD51" s="292"/>
      <c r="BE51" s="292"/>
      <c r="BF51" s="292"/>
      <c r="BG51" s="292"/>
      <c r="BH51" s="292"/>
      <c r="BI51" s="292"/>
      <c r="BJ51" s="292"/>
      <c r="BK51" s="292"/>
      <c r="BL51" s="292"/>
      <c r="BM51" s="292"/>
    </row>
    <row r="52" spans="2:71" ht="15" customHeight="1">
      <c r="B52" s="112" t="s">
        <v>201</v>
      </c>
      <c r="C52" s="113" t="s">
        <v>11</v>
      </c>
      <c r="D52" s="248">
        <f>SUM(E52:BM52)</f>
        <v>0</v>
      </c>
      <c r="E52" s="292"/>
      <c r="F52" s="292"/>
      <c r="G52" s="292"/>
      <c r="H52" s="292"/>
      <c r="I52" s="292"/>
      <c r="J52" s="292"/>
      <c r="K52" s="292"/>
      <c r="L52" s="292"/>
      <c r="M52" s="292"/>
      <c r="N52" s="292"/>
      <c r="O52" s="292"/>
      <c r="P52" s="292"/>
      <c r="Q52" s="292"/>
      <c r="R52" s="292"/>
      <c r="S52" s="292"/>
      <c r="T52" s="292"/>
      <c r="U52" s="292"/>
      <c r="V52" s="292"/>
      <c r="W52" s="292"/>
      <c r="X52" s="292"/>
      <c r="Y52" s="292"/>
      <c r="Z52" s="292"/>
      <c r="AA52" s="292"/>
      <c r="AB52" s="292"/>
      <c r="AC52" s="292"/>
      <c r="AD52" s="292"/>
      <c r="AE52" s="292"/>
      <c r="AF52" s="292"/>
      <c r="AG52" s="292"/>
      <c r="AH52" s="292"/>
      <c r="AI52" s="292"/>
      <c r="AJ52" s="292"/>
      <c r="AK52" s="292"/>
      <c r="AL52" s="292"/>
      <c r="AM52" s="292"/>
      <c r="AN52" s="292"/>
      <c r="AO52" s="292"/>
      <c r="AP52" s="292"/>
      <c r="AQ52" s="292"/>
      <c r="AR52" s="292"/>
      <c r="AS52" s="292"/>
      <c r="AT52" s="292"/>
      <c r="AU52" s="292"/>
      <c r="AV52" s="292"/>
      <c r="AW52" s="292"/>
      <c r="AX52" s="292"/>
      <c r="AY52" s="292"/>
      <c r="AZ52" s="292"/>
      <c r="BA52" s="292"/>
      <c r="BB52" s="292"/>
      <c r="BC52" s="292"/>
      <c r="BD52" s="292"/>
      <c r="BE52" s="292"/>
      <c r="BF52" s="292"/>
      <c r="BG52" s="292"/>
      <c r="BH52" s="292"/>
      <c r="BI52" s="292"/>
      <c r="BJ52" s="292"/>
      <c r="BK52" s="292"/>
      <c r="BL52" s="292"/>
      <c r="BM52" s="292"/>
    </row>
    <row r="53" spans="2:71" ht="15" customHeight="1">
      <c r="B53" s="112" t="s">
        <v>202</v>
      </c>
      <c r="C53" s="113" t="s">
        <v>11</v>
      </c>
      <c r="D53" s="248">
        <f>SUM(E53:BM53)</f>
        <v>0</v>
      </c>
      <c r="E53" s="292"/>
      <c r="F53" s="292"/>
      <c r="G53" s="292"/>
      <c r="H53" s="292"/>
      <c r="I53" s="292"/>
      <c r="J53" s="292"/>
      <c r="K53" s="292"/>
      <c r="L53" s="292"/>
      <c r="M53" s="292"/>
      <c r="N53" s="292"/>
      <c r="O53" s="292"/>
      <c r="P53" s="292"/>
      <c r="Q53" s="292"/>
      <c r="R53" s="292"/>
      <c r="S53" s="292"/>
      <c r="T53" s="292"/>
      <c r="U53" s="292"/>
      <c r="V53" s="292"/>
      <c r="W53" s="292"/>
      <c r="X53" s="292"/>
      <c r="Y53" s="292"/>
      <c r="Z53" s="292"/>
      <c r="AA53" s="292"/>
      <c r="AB53" s="292"/>
      <c r="AC53" s="292"/>
      <c r="AD53" s="292"/>
      <c r="AE53" s="292"/>
      <c r="AF53" s="292"/>
      <c r="AG53" s="292"/>
      <c r="AH53" s="292"/>
      <c r="AI53" s="292"/>
      <c r="AJ53" s="292"/>
      <c r="AK53" s="292"/>
      <c r="AL53" s="292"/>
      <c r="AM53" s="292"/>
      <c r="AN53" s="292"/>
      <c r="AO53" s="292"/>
      <c r="AP53" s="292"/>
      <c r="AQ53" s="292"/>
      <c r="AR53" s="292"/>
      <c r="AS53" s="292"/>
      <c r="AT53" s="292"/>
      <c r="AU53" s="292"/>
      <c r="AV53" s="292"/>
      <c r="AW53" s="292"/>
      <c r="AX53" s="292"/>
      <c r="AY53" s="292"/>
      <c r="AZ53" s="292"/>
      <c r="BA53" s="292"/>
      <c r="BB53" s="292"/>
      <c r="BC53" s="292"/>
      <c r="BD53" s="292"/>
      <c r="BE53" s="292"/>
      <c r="BF53" s="292"/>
      <c r="BG53" s="292"/>
      <c r="BH53" s="292"/>
      <c r="BI53" s="292"/>
      <c r="BJ53" s="292"/>
      <c r="BK53" s="292"/>
      <c r="BL53" s="292"/>
      <c r="BM53" s="292"/>
    </row>
    <row r="54" spans="2:71" ht="15" customHeight="1">
      <c r="B54" s="112" t="s">
        <v>104</v>
      </c>
      <c r="C54" s="113" t="s">
        <v>11</v>
      </c>
      <c r="D54" s="248">
        <f>SUM(E54:BM54)</f>
        <v>0</v>
      </c>
      <c r="E54" s="292"/>
      <c r="F54" s="292"/>
      <c r="G54" s="292"/>
      <c r="H54" s="292"/>
      <c r="I54" s="292"/>
      <c r="J54" s="292"/>
      <c r="K54" s="292"/>
      <c r="L54" s="292"/>
      <c r="M54" s="292"/>
      <c r="N54" s="292"/>
      <c r="O54" s="292"/>
      <c r="P54" s="292"/>
      <c r="Q54" s="292"/>
      <c r="R54" s="292"/>
      <c r="S54" s="292"/>
      <c r="T54" s="292"/>
      <c r="U54" s="292"/>
      <c r="V54" s="292"/>
      <c r="W54" s="292"/>
      <c r="X54" s="292"/>
      <c r="Y54" s="292"/>
      <c r="Z54" s="292"/>
      <c r="AA54" s="292"/>
      <c r="AB54" s="292"/>
      <c r="AC54" s="292"/>
      <c r="AD54" s="292"/>
      <c r="AE54" s="292"/>
      <c r="AF54" s="292"/>
      <c r="AG54" s="292"/>
      <c r="AH54" s="292"/>
      <c r="AI54" s="292"/>
      <c r="AJ54" s="292"/>
      <c r="AK54" s="292"/>
      <c r="AL54" s="292"/>
      <c r="AM54" s="292"/>
      <c r="AN54" s="292"/>
      <c r="AO54" s="292"/>
      <c r="AP54" s="292"/>
      <c r="AQ54" s="292"/>
      <c r="AR54" s="292"/>
      <c r="AS54" s="292"/>
      <c r="AT54" s="292"/>
      <c r="AU54" s="292"/>
      <c r="AV54" s="292"/>
      <c r="AW54" s="292"/>
      <c r="AX54" s="292"/>
      <c r="AY54" s="292"/>
      <c r="AZ54" s="292"/>
      <c r="BA54" s="292"/>
      <c r="BB54" s="292"/>
      <c r="BC54" s="292"/>
      <c r="BD54" s="292"/>
      <c r="BE54" s="292"/>
      <c r="BF54" s="292"/>
      <c r="BG54" s="292"/>
      <c r="BH54" s="292"/>
      <c r="BI54" s="292"/>
      <c r="BJ54" s="292"/>
      <c r="BK54" s="292"/>
      <c r="BL54" s="292"/>
      <c r="BM54" s="292"/>
    </row>
    <row r="55" spans="2:71" ht="15" customHeight="1">
      <c r="B55" s="112" t="s">
        <v>203</v>
      </c>
      <c r="C55" s="113" t="s">
        <v>11</v>
      </c>
      <c r="D55" s="248">
        <f>SUM(E55:BM55)</f>
        <v>0</v>
      </c>
      <c r="E55" s="292"/>
      <c r="F55" s="292"/>
      <c r="G55" s="292"/>
      <c r="H55" s="292"/>
      <c r="I55" s="292"/>
      <c r="J55" s="292"/>
      <c r="K55" s="292"/>
      <c r="L55" s="292"/>
      <c r="M55" s="292"/>
      <c r="N55" s="292"/>
      <c r="O55" s="292"/>
      <c r="P55" s="292"/>
      <c r="Q55" s="292"/>
      <c r="R55" s="292"/>
      <c r="S55" s="292"/>
      <c r="T55" s="292"/>
      <c r="U55" s="292"/>
      <c r="V55" s="292"/>
      <c r="W55" s="292"/>
      <c r="X55" s="292"/>
      <c r="Y55" s="292"/>
      <c r="Z55" s="292"/>
      <c r="AA55" s="292"/>
      <c r="AB55" s="292"/>
      <c r="AC55" s="292"/>
      <c r="AD55" s="292"/>
      <c r="AE55" s="292"/>
      <c r="AF55" s="292"/>
      <c r="AG55" s="292"/>
      <c r="AH55" s="292"/>
      <c r="AI55" s="292"/>
      <c r="AJ55" s="292"/>
      <c r="AK55" s="292"/>
      <c r="AL55" s="292"/>
      <c r="AM55" s="292"/>
      <c r="AN55" s="292"/>
      <c r="AO55" s="292">
        <v>0</v>
      </c>
      <c r="AP55" s="292">
        <v>0</v>
      </c>
      <c r="AQ55" s="292">
        <v>0</v>
      </c>
      <c r="AR55" s="292">
        <v>0</v>
      </c>
      <c r="AS55" s="292">
        <v>0</v>
      </c>
      <c r="AT55" s="292">
        <v>0</v>
      </c>
      <c r="AU55" s="292">
        <v>0</v>
      </c>
      <c r="AV55" s="292">
        <v>0</v>
      </c>
      <c r="AW55" s="292">
        <v>0</v>
      </c>
      <c r="AX55" s="292">
        <v>0</v>
      </c>
      <c r="AY55" s="292">
        <v>0</v>
      </c>
      <c r="AZ55" s="292">
        <v>0</v>
      </c>
      <c r="BA55" s="292">
        <v>0</v>
      </c>
      <c r="BB55" s="292">
        <v>0</v>
      </c>
      <c r="BC55" s="292">
        <v>0</v>
      </c>
      <c r="BD55" s="292">
        <v>0</v>
      </c>
      <c r="BE55" s="292">
        <v>0</v>
      </c>
      <c r="BF55" s="292">
        <v>0</v>
      </c>
      <c r="BG55" s="292">
        <v>0</v>
      </c>
      <c r="BH55" s="292">
        <v>0</v>
      </c>
      <c r="BI55" s="292">
        <v>0</v>
      </c>
      <c r="BJ55" s="292">
        <v>0</v>
      </c>
      <c r="BK55" s="292">
        <v>0</v>
      </c>
      <c r="BL55" s="292">
        <v>0</v>
      </c>
      <c r="BM55" s="292">
        <v>0</v>
      </c>
    </row>
    <row r="56" spans="2:71" ht="15" customHeight="1">
      <c r="B56" s="259" t="s">
        <v>12</v>
      </c>
      <c r="C56" s="260" t="s">
        <v>11</v>
      </c>
      <c r="D56" s="261">
        <f t="shared" ref="D56:AG56" si="120">SUM(D51:D55)</f>
        <v>0</v>
      </c>
      <c r="E56" s="248">
        <f t="shared" si="120"/>
        <v>0</v>
      </c>
      <c r="F56" s="248">
        <f t="shared" si="120"/>
        <v>0</v>
      </c>
      <c r="G56" s="248">
        <f t="shared" si="120"/>
        <v>0</v>
      </c>
      <c r="H56" s="248">
        <f t="shared" si="120"/>
        <v>0</v>
      </c>
      <c r="I56" s="248">
        <f t="shared" si="120"/>
        <v>0</v>
      </c>
      <c r="J56" s="248">
        <f t="shared" si="120"/>
        <v>0</v>
      </c>
      <c r="K56" s="248">
        <f t="shared" si="120"/>
        <v>0</v>
      </c>
      <c r="L56" s="248">
        <f t="shared" si="120"/>
        <v>0</v>
      </c>
      <c r="M56" s="248">
        <f t="shared" si="120"/>
        <v>0</v>
      </c>
      <c r="N56" s="248">
        <f t="shared" si="120"/>
        <v>0</v>
      </c>
      <c r="O56" s="248">
        <f t="shared" si="120"/>
        <v>0</v>
      </c>
      <c r="P56" s="248">
        <f t="shared" si="120"/>
        <v>0</v>
      </c>
      <c r="Q56" s="248">
        <f t="shared" si="120"/>
        <v>0</v>
      </c>
      <c r="R56" s="248">
        <f t="shared" si="120"/>
        <v>0</v>
      </c>
      <c r="S56" s="248">
        <f t="shared" si="120"/>
        <v>0</v>
      </c>
      <c r="T56" s="248">
        <f t="shared" si="120"/>
        <v>0</v>
      </c>
      <c r="U56" s="248">
        <f t="shared" si="120"/>
        <v>0</v>
      </c>
      <c r="V56" s="248">
        <f t="shared" si="120"/>
        <v>0</v>
      </c>
      <c r="W56" s="248">
        <f t="shared" si="120"/>
        <v>0</v>
      </c>
      <c r="X56" s="248">
        <f t="shared" si="120"/>
        <v>0</v>
      </c>
      <c r="Y56" s="248">
        <f t="shared" si="120"/>
        <v>0</v>
      </c>
      <c r="Z56" s="248">
        <f t="shared" si="120"/>
        <v>0</v>
      </c>
      <c r="AA56" s="248">
        <f t="shared" si="120"/>
        <v>0</v>
      </c>
      <c r="AB56" s="248">
        <f t="shared" si="120"/>
        <v>0</v>
      </c>
      <c r="AC56" s="248">
        <f t="shared" si="120"/>
        <v>0</v>
      </c>
      <c r="AD56" s="248">
        <f t="shared" si="120"/>
        <v>0</v>
      </c>
      <c r="AE56" s="248">
        <f t="shared" si="120"/>
        <v>0</v>
      </c>
      <c r="AF56" s="248">
        <f t="shared" si="120"/>
        <v>0</v>
      </c>
      <c r="AG56" s="248">
        <f t="shared" si="120"/>
        <v>0</v>
      </c>
      <c r="AH56" s="248">
        <f t="shared" ref="AH56:BM56" si="121">SUM(AH51:AH55)</f>
        <v>0</v>
      </c>
      <c r="AI56" s="248">
        <f t="shared" si="121"/>
        <v>0</v>
      </c>
      <c r="AJ56" s="248">
        <f t="shared" si="121"/>
        <v>0</v>
      </c>
      <c r="AK56" s="248">
        <f t="shared" si="121"/>
        <v>0</v>
      </c>
      <c r="AL56" s="248">
        <f t="shared" si="121"/>
        <v>0</v>
      </c>
      <c r="AM56" s="248">
        <f t="shared" si="121"/>
        <v>0</v>
      </c>
      <c r="AN56" s="248">
        <f t="shared" si="121"/>
        <v>0</v>
      </c>
      <c r="AO56" s="248">
        <f t="shared" si="121"/>
        <v>0</v>
      </c>
      <c r="AP56" s="248">
        <f t="shared" si="121"/>
        <v>0</v>
      </c>
      <c r="AQ56" s="248">
        <f t="shared" si="121"/>
        <v>0</v>
      </c>
      <c r="AR56" s="248">
        <f t="shared" si="121"/>
        <v>0</v>
      </c>
      <c r="AS56" s="248">
        <f t="shared" si="121"/>
        <v>0</v>
      </c>
      <c r="AT56" s="248">
        <f t="shared" si="121"/>
        <v>0</v>
      </c>
      <c r="AU56" s="248">
        <f t="shared" si="121"/>
        <v>0</v>
      </c>
      <c r="AV56" s="248">
        <f t="shared" si="121"/>
        <v>0</v>
      </c>
      <c r="AW56" s="248">
        <f t="shared" si="121"/>
        <v>0</v>
      </c>
      <c r="AX56" s="248">
        <f t="shared" si="121"/>
        <v>0</v>
      </c>
      <c r="AY56" s="248">
        <f t="shared" si="121"/>
        <v>0</v>
      </c>
      <c r="AZ56" s="248">
        <f t="shared" si="121"/>
        <v>0</v>
      </c>
      <c r="BA56" s="248">
        <f t="shared" si="121"/>
        <v>0</v>
      </c>
      <c r="BB56" s="248">
        <f t="shared" si="121"/>
        <v>0</v>
      </c>
      <c r="BC56" s="248">
        <f t="shared" si="121"/>
        <v>0</v>
      </c>
      <c r="BD56" s="248">
        <f t="shared" si="121"/>
        <v>0</v>
      </c>
      <c r="BE56" s="248">
        <f t="shared" si="121"/>
        <v>0</v>
      </c>
      <c r="BF56" s="248">
        <f t="shared" si="121"/>
        <v>0</v>
      </c>
      <c r="BG56" s="248">
        <f t="shared" si="121"/>
        <v>0</v>
      </c>
      <c r="BH56" s="248">
        <f t="shared" si="121"/>
        <v>0</v>
      </c>
      <c r="BI56" s="248">
        <f t="shared" si="121"/>
        <v>0</v>
      </c>
      <c r="BJ56" s="248">
        <f t="shared" si="121"/>
        <v>0</v>
      </c>
      <c r="BK56" s="248">
        <f t="shared" si="121"/>
        <v>0</v>
      </c>
      <c r="BL56" s="248">
        <f t="shared" si="121"/>
        <v>0</v>
      </c>
      <c r="BM56" s="248">
        <f t="shared" si="121"/>
        <v>0</v>
      </c>
    </row>
    <row r="57" spans="2:71" ht="15" customHeight="1">
      <c r="B57" s="112" t="s">
        <v>544</v>
      </c>
      <c r="C57" s="113" t="s">
        <v>11</v>
      </c>
      <c r="D57" s="248">
        <f t="shared" ref="D57:D59" si="122">SUM(E57:BM57)</f>
        <v>-21214.041095890407</v>
      </c>
      <c r="E57" s="151">
        <f>SUM(E58:E59)</f>
        <v>-479.45205479452073</v>
      </c>
      <c r="F57" s="151">
        <f t="shared" ref="F57:BM57" si="123">SUM(F58:F60)</f>
        <v>-1246.575342465753</v>
      </c>
      <c r="G57" s="151">
        <f t="shared" si="123"/>
        <v>-1232.8767123287666</v>
      </c>
      <c r="H57" s="151">
        <f t="shared" si="123"/>
        <v>-1260.2739726027394</v>
      </c>
      <c r="I57" s="151">
        <f t="shared" si="123"/>
        <v>-1260.2739726027394</v>
      </c>
      <c r="J57" s="151">
        <f t="shared" si="123"/>
        <v>-1246.575342465753</v>
      </c>
      <c r="K57" s="151">
        <f t="shared" si="123"/>
        <v>-1243.5811063702372</v>
      </c>
      <c r="L57" s="151">
        <f t="shared" si="123"/>
        <v>-1256.8306010928961</v>
      </c>
      <c r="M57" s="151">
        <f t="shared" si="123"/>
        <v>-1256.8306010928961</v>
      </c>
      <c r="N57" s="151">
        <f t="shared" si="123"/>
        <v>-1243.1693989071039</v>
      </c>
      <c r="O57" s="151">
        <f t="shared" si="123"/>
        <v>-1232.4650048656331</v>
      </c>
      <c r="P57" s="151">
        <f t="shared" si="123"/>
        <v>-1260.2739726027394</v>
      </c>
      <c r="Q57" s="151">
        <f t="shared" si="123"/>
        <v>-1260.2739726027394</v>
      </c>
      <c r="R57" s="151">
        <f t="shared" si="123"/>
        <v>-1246.575342465753</v>
      </c>
      <c r="S57" s="151">
        <f t="shared" si="123"/>
        <v>-1123.287671232875</v>
      </c>
      <c r="T57" s="151">
        <f t="shared" si="123"/>
        <v>-964.04109589041036</v>
      </c>
      <c r="U57" s="151">
        <f t="shared" si="123"/>
        <v>-804.79452054794615</v>
      </c>
      <c r="V57" s="151">
        <f t="shared" si="123"/>
        <v>-640.41095890410941</v>
      </c>
      <c r="W57" s="151">
        <f t="shared" si="123"/>
        <v>-506.84931506849296</v>
      </c>
      <c r="X57" s="151">
        <f t="shared" si="123"/>
        <v>-333.90410958904101</v>
      </c>
      <c r="Y57" s="151">
        <f t="shared" si="123"/>
        <v>-114.72602739726011</v>
      </c>
      <c r="Z57" s="151">
        <f t="shared" si="123"/>
        <v>0</v>
      </c>
      <c r="AA57" s="151">
        <f t="shared" si="123"/>
        <v>0</v>
      </c>
      <c r="AB57" s="151">
        <f t="shared" si="123"/>
        <v>0</v>
      </c>
      <c r="AC57" s="151">
        <f t="shared" si="123"/>
        <v>0</v>
      </c>
      <c r="AD57" s="151">
        <f t="shared" si="123"/>
        <v>0</v>
      </c>
      <c r="AE57" s="151">
        <f t="shared" si="123"/>
        <v>0</v>
      </c>
      <c r="AF57" s="151">
        <f t="shared" si="123"/>
        <v>0</v>
      </c>
      <c r="AG57" s="151">
        <f t="shared" si="123"/>
        <v>0</v>
      </c>
      <c r="AH57" s="151">
        <f t="shared" si="123"/>
        <v>0</v>
      </c>
      <c r="AI57" s="151">
        <f t="shared" si="123"/>
        <v>0</v>
      </c>
      <c r="AJ57" s="151">
        <f t="shared" si="123"/>
        <v>0</v>
      </c>
      <c r="AK57" s="151">
        <f t="shared" si="123"/>
        <v>0</v>
      </c>
      <c r="AL57" s="151">
        <f t="shared" si="123"/>
        <v>0</v>
      </c>
      <c r="AM57" s="151">
        <f t="shared" si="123"/>
        <v>0</v>
      </c>
      <c r="AN57" s="151">
        <f t="shared" si="123"/>
        <v>0</v>
      </c>
      <c r="AO57" s="151">
        <f t="shared" si="123"/>
        <v>0</v>
      </c>
      <c r="AP57" s="151">
        <f t="shared" si="123"/>
        <v>0</v>
      </c>
      <c r="AQ57" s="151">
        <f t="shared" si="123"/>
        <v>0</v>
      </c>
      <c r="AR57" s="151">
        <f t="shared" si="123"/>
        <v>0</v>
      </c>
      <c r="AS57" s="151">
        <f t="shared" si="123"/>
        <v>0</v>
      </c>
      <c r="AT57" s="151">
        <f t="shared" si="123"/>
        <v>0</v>
      </c>
      <c r="AU57" s="151">
        <f t="shared" si="123"/>
        <v>0</v>
      </c>
      <c r="AV57" s="151">
        <f t="shared" si="123"/>
        <v>0</v>
      </c>
      <c r="AW57" s="151">
        <f t="shared" si="123"/>
        <v>0</v>
      </c>
      <c r="AX57" s="151">
        <f t="shared" si="123"/>
        <v>0</v>
      </c>
      <c r="AY57" s="151">
        <f t="shared" si="123"/>
        <v>0</v>
      </c>
      <c r="AZ57" s="151">
        <f t="shared" si="123"/>
        <v>0</v>
      </c>
      <c r="BA57" s="151">
        <f t="shared" si="123"/>
        <v>0</v>
      </c>
      <c r="BB57" s="151">
        <f t="shared" si="123"/>
        <v>0</v>
      </c>
      <c r="BC57" s="151">
        <f t="shared" si="123"/>
        <v>0</v>
      </c>
      <c r="BD57" s="151">
        <f t="shared" si="123"/>
        <v>0</v>
      </c>
      <c r="BE57" s="151">
        <f t="shared" si="123"/>
        <v>0</v>
      </c>
      <c r="BF57" s="151">
        <f t="shared" si="123"/>
        <v>0</v>
      </c>
      <c r="BG57" s="151">
        <f t="shared" si="123"/>
        <v>0</v>
      </c>
      <c r="BH57" s="151">
        <f t="shared" si="123"/>
        <v>0</v>
      </c>
      <c r="BI57" s="151">
        <f t="shared" si="123"/>
        <v>0</v>
      </c>
      <c r="BJ57" s="151">
        <f t="shared" si="123"/>
        <v>0</v>
      </c>
      <c r="BK57" s="151">
        <f t="shared" si="123"/>
        <v>0</v>
      </c>
      <c r="BL57" s="151">
        <f t="shared" si="123"/>
        <v>0</v>
      </c>
      <c r="BM57" s="151">
        <f t="shared" si="123"/>
        <v>0</v>
      </c>
    </row>
    <row r="58" spans="2:71" ht="15" customHeight="1">
      <c r="B58" s="123" t="s">
        <v>788</v>
      </c>
      <c r="C58" s="113" t="s">
        <v>11</v>
      </c>
      <c r="D58" s="248">
        <f t="shared" si="122"/>
        <v>-21214.041095890407</v>
      </c>
      <c r="E58" s="151">
        <f>Финансирование!E24</f>
        <v>-479.45205479452073</v>
      </c>
      <c r="F58" s="151">
        <f>Финансирование!F24</f>
        <v>-1246.575342465753</v>
      </c>
      <c r="G58" s="151">
        <f>Финансирование!G24</f>
        <v>-1232.8767123287666</v>
      </c>
      <c r="H58" s="151">
        <f>Финансирование!H24</f>
        <v>-1260.2739726027394</v>
      </c>
      <c r="I58" s="151">
        <f>Финансирование!I24</f>
        <v>-1260.2739726027394</v>
      </c>
      <c r="J58" s="151">
        <f>Финансирование!J24</f>
        <v>-1246.575342465753</v>
      </c>
      <c r="K58" s="151">
        <f>Финансирование!K24</f>
        <v>-1243.5811063702372</v>
      </c>
      <c r="L58" s="151">
        <f>Финансирование!L24</f>
        <v>-1256.8306010928961</v>
      </c>
      <c r="M58" s="151">
        <f>Финансирование!M24</f>
        <v>-1256.8306010928961</v>
      </c>
      <c r="N58" s="151">
        <f>Финансирование!N24</f>
        <v>-1243.1693989071039</v>
      </c>
      <c r="O58" s="151">
        <f>Финансирование!O24</f>
        <v>-1232.4650048656331</v>
      </c>
      <c r="P58" s="151">
        <f>Финансирование!P24</f>
        <v>-1260.2739726027394</v>
      </c>
      <c r="Q58" s="151">
        <f>Финансирование!Q24</f>
        <v>-1260.2739726027394</v>
      </c>
      <c r="R58" s="151">
        <f>Финансирование!R24</f>
        <v>-1246.575342465753</v>
      </c>
      <c r="S58" s="151">
        <f>Финансирование!S24</f>
        <v>-1123.287671232875</v>
      </c>
      <c r="T58" s="151">
        <f>Финансирование!T24</f>
        <v>-964.04109589041036</v>
      </c>
      <c r="U58" s="151">
        <f>Финансирование!U24</f>
        <v>-804.79452054794615</v>
      </c>
      <c r="V58" s="151">
        <f>Финансирование!V24</f>
        <v>-640.41095890410941</v>
      </c>
      <c r="W58" s="151">
        <f>Финансирование!W24</f>
        <v>-506.84931506849296</v>
      </c>
      <c r="X58" s="151">
        <f>Финансирование!X24</f>
        <v>-333.90410958904101</v>
      </c>
      <c r="Y58" s="151">
        <f>Финансирование!Y24</f>
        <v>-114.72602739726011</v>
      </c>
      <c r="Z58" s="151">
        <f>Финансирование!Z24</f>
        <v>0</v>
      </c>
      <c r="AA58" s="151">
        <f>Финансирование!AA24</f>
        <v>0</v>
      </c>
      <c r="AB58" s="151">
        <f>Финансирование!AB24</f>
        <v>0</v>
      </c>
      <c r="AC58" s="151">
        <f>Финансирование!AC24</f>
        <v>0</v>
      </c>
      <c r="AD58" s="151">
        <f>Финансирование!AD24</f>
        <v>0</v>
      </c>
      <c r="AE58" s="151">
        <f>Финансирование!AE24</f>
        <v>0</v>
      </c>
      <c r="AF58" s="151">
        <f>Финансирование!AF24</f>
        <v>0</v>
      </c>
      <c r="AG58" s="151">
        <f>Финансирование!AG24</f>
        <v>0</v>
      </c>
      <c r="AH58" s="151">
        <f>Финансирование!AH24</f>
        <v>0</v>
      </c>
      <c r="AI58" s="151">
        <f>Финансирование!AI24</f>
        <v>0</v>
      </c>
      <c r="AJ58" s="151">
        <f>Финансирование!AJ24</f>
        <v>0</v>
      </c>
      <c r="AK58" s="151">
        <f>Финансирование!AK24</f>
        <v>0</v>
      </c>
      <c r="AL58" s="151">
        <f>Финансирование!AL24</f>
        <v>0</v>
      </c>
      <c r="AM58" s="151">
        <f>Финансирование!AM24</f>
        <v>0</v>
      </c>
      <c r="AN58" s="151">
        <f>Финансирование!AN24</f>
        <v>0</v>
      </c>
      <c r="AO58" s="151">
        <f>Финансирование!AO24</f>
        <v>0</v>
      </c>
      <c r="AP58" s="151">
        <f>Финансирование!AP24</f>
        <v>0</v>
      </c>
      <c r="AQ58" s="151">
        <f>Финансирование!AQ24</f>
        <v>0</v>
      </c>
      <c r="AR58" s="151">
        <f>Финансирование!AR24</f>
        <v>0</v>
      </c>
      <c r="AS58" s="151">
        <f>Финансирование!AS24</f>
        <v>0</v>
      </c>
      <c r="AT58" s="151">
        <f>Финансирование!AT24</f>
        <v>0</v>
      </c>
      <c r="AU58" s="151">
        <f>Финансирование!AU24</f>
        <v>0</v>
      </c>
      <c r="AV58" s="151">
        <f>Финансирование!AV24</f>
        <v>0</v>
      </c>
      <c r="AW58" s="151">
        <f>Финансирование!AW24</f>
        <v>0</v>
      </c>
      <c r="AX58" s="151">
        <f>Финансирование!AX24</f>
        <v>0</v>
      </c>
      <c r="AY58" s="151">
        <f>Финансирование!AY24</f>
        <v>0</v>
      </c>
      <c r="AZ58" s="151">
        <f>Финансирование!AZ24</f>
        <v>0</v>
      </c>
      <c r="BA58" s="151">
        <f>Финансирование!BA24</f>
        <v>0</v>
      </c>
      <c r="BB58" s="151">
        <f>Финансирование!BB24</f>
        <v>0</v>
      </c>
      <c r="BC58" s="151">
        <f>Финансирование!BC24</f>
        <v>0</v>
      </c>
      <c r="BD58" s="151">
        <f>Финансирование!BD24</f>
        <v>0</v>
      </c>
      <c r="BE58" s="151">
        <f>Финансирование!BE24</f>
        <v>0</v>
      </c>
      <c r="BF58" s="151">
        <f>Финансирование!BF24</f>
        <v>0</v>
      </c>
      <c r="BG58" s="151">
        <f>Финансирование!BG24</f>
        <v>0</v>
      </c>
      <c r="BH58" s="151">
        <f>Финансирование!BH24</f>
        <v>0</v>
      </c>
      <c r="BI58" s="151">
        <f>Финансирование!BI24</f>
        <v>0</v>
      </c>
      <c r="BJ58" s="151">
        <f>Финансирование!BJ24</f>
        <v>0</v>
      </c>
      <c r="BK58" s="151">
        <f>Финансирование!BK24</f>
        <v>0</v>
      </c>
      <c r="BL58" s="151">
        <f>Финансирование!BL24</f>
        <v>0</v>
      </c>
      <c r="BM58" s="151">
        <f>Финансирование!BM24</f>
        <v>0</v>
      </c>
    </row>
    <row r="59" spans="2:71" ht="29.25" customHeight="1">
      <c r="B59" s="123" t="s">
        <v>789</v>
      </c>
      <c r="C59" s="354" t="s">
        <v>11</v>
      </c>
      <c r="D59" s="355">
        <f t="shared" si="122"/>
        <v>0</v>
      </c>
      <c r="E59" s="356">
        <f>Финансирование!E39+Финансирование!E54</f>
        <v>0</v>
      </c>
      <c r="F59" s="356">
        <f>Финансирование!F39+Финансирование!F54</f>
        <v>0</v>
      </c>
      <c r="G59" s="356">
        <f>Финансирование!G39+Финансирование!G54</f>
        <v>0</v>
      </c>
      <c r="H59" s="356">
        <f>Финансирование!H39+Финансирование!H54</f>
        <v>0</v>
      </c>
      <c r="I59" s="356">
        <f>Финансирование!I39+Финансирование!I54</f>
        <v>0</v>
      </c>
      <c r="J59" s="356">
        <f>Финансирование!J39+Финансирование!J54</f>
        <v>0</v>
      </c>
      <c r="K59" s="356">
        <f>Финансирование!K39+Финансирование!K54</f>
        <v>0</v>
      </c>
      <c r="L59" s="356">
        <f>Финансирование!L39+Финансирование!L54</f>
        <v>0</v>
      </c>
      <c r="M59" s="356">
        <f>Финансирование!M39+Финансирование!M54</f>
        <v>0</v>
      </c>
      <c r="N59" s="356">
        <f>Финансирование!N39+Финансирование!N54</f>
        <v>0</v>
      </c>
      <c r="O59" s="356">
        <f>Финансирование!O39+Финансирование!O54</f>
        <v>0</v>
      </c>
      <c r="P59" s="356">
        <f>Финансирование!P39+Финансирование!P54</f>
        <v>0</v>
      </c>
      <c r="Q59" s="356">
        <f>Финансирование!Q39+Финансирование!Q54</f>
        <v>0</v>
      </c>
      <c r="R59" s="356">
        <f>Финансирование!R39+Финансирование!R54</f>
        <v>0</v>
      </c>
      <c r="S59" s="356">
        <f>Финансирование!S39+Финансирование!S54</f>
        <v>0</v>
      </c>
      <c r="T59" s="356">
        <f>Финансирование!T39+Финансирование!T54</f>
        <v>0</v>
      </c>
      <c r="U59" s="356">
        <f>Финансирование!U39+Финансирование!U54</f>
        <v>0</v>
      </c>
      <c r="V59" s="356">
        <f>Финансирование!V39+Финансирование!V54</f>
        <v>0</v>
      </c>
      <c r="W59" s="356">
        <f>Финансирование!W39+Финансирование!W54</f>
        <v>0</v>
      </c>
      <c r="X59" s="356">
        <f>Финансирование!X39+Финансирование!X54</f>
        <v>0</v>
      </c>
      <c r="Y59" s="356">
        <f>Финансирование!Y39+Финансирование!Y54</f>
        <v>0</v>
      </c>
      <c r="Z59" s="356">
        <f>Финансирование!Z39+Финансирование!Z54</f>
        <v>0</v>
      </c>
      <c r="AA59" s="356">
        <f>Финансирование!AA39+Финансирование!AA54</f>
        <v>0</v>
      </c>
      <c r="AB59" s="356">
        <f>Финансирование!AB39+Финансирование!AB54</f>
        <v>0</v>
      </c>
      <c r="AC59" s="356">
        <f>Финансирование!AC39+Финансирование!AC54</f>
        <v>0</v>
      </c>
      <c r="AD59" s="356">
        <f>Финансирование!AD39+Финансирование!AD54</f>
        <v>0</v>
      </c>
      <c r="AE59" s="356">
        <f>Финансирование!AE39+Финансирование!AE54</f>
        <v>0</v>
      </c>
      <c r="AF59" s="356">
        <f>Финансирование!AF39+Финансирование!AF54</f>
        <v>0</v>
      </c>
      <c r="AG59" s="356">
        <f>Финансирование!AG39+Финансирование!AG54</f>
        <v>0</v>
      </c>
      <c r="AH59" s="356">
        <f>Финансирование!AH39+Финансирование!AH54</f>
        <v>0</v>
      </c>
      <c r="AI59" s="356">
        <f>Финансирование!AI39+Финансирование!AI54</f>
        <v>0</v>
      </c>
      <c r="AJ59" s="356">
        <f>Финансирование!AJ39+Финансирование!AJ54</f>
        <v>0</v>
      </c>
      <c r="AK59" s="356">
        <f>Финансирование!AK39+Финансирование!AK54</f>
        <v>0</v>
      </c>
      <c r="AL59" s="356">
        <f>Финансирование!AL39+Финансирование!AL54</f>
        <v>0</v>
      </c>
      <c r="AM59" s="356">
        <f>Финансирование!AM39+Финансирование!AM54</f>
        <v>0</v>
      </c>
      <c r="AN59" s="356">
        <f>Финансирование!AN39+Финансирование!AN54</f>
        <v>0</v>
      </c>
      <c r="AO59" s="356">
        <f>Финансирование!AO39+Финансирование!AO54</f>
        <v>0</v>
      </c>
      <c r="AP59" s="356">
        <f>Финансирование!AP39+Финансирование!AP54</f>
        <v>0</v>
      </c>
      <c r="AQ59" s="356">
        <f>Финансирование!AQ39+Финансирование!AQ54</f>
        <v>0</v>
      </c>
      <c r="AR59" s="356">
        <f>Финансирование!AR39+Финансирование!AR54</f>
        <v>0</v>
      </c>
      <c r="AS59" s="356">
        <f>Финансирование!AS39+Финансирование!AS54</f>
        <v>0</v>
      </c>
      <c r="AT59" s="356">
        <f>Финансирование!AT39+Финансирование!AT54</f>
        <v>0</v>
      </c>
      <c r="AU59" s="356">
        <f>Финансирование!AU39+Финансирование!AU54</f>
        <v>0</v>
      </c>
      <c r="AV59" s="356">
        <f>Финансирование!AV39+Финансирование!AV54</f>
        <v>0</v>
      </c>
      <c r="AW59" s="356">
        <f>Финансирование!AW39+Финансирование!AW54</f>
        <v>0</v>
      </c>
      <c r="AX59" s="356">
        <f>Финансирование!AX39+Финансирование!AX54</f>
        <v>0</v>
      </c>
      <c r="AY59" s="356">
        <f>Финансирование!AY39+Финансирование!AY54</f>
        <v>0</v>
      </c>
      <c r="AZ59" s="356">
        <f>Финансирование!AZ39+Финансирование!AZ54</f>
        <v>0</v>
      </c>
      <c r="BA59" s="356">
        <f>Финансирование!BA39+Финансирование!BA54</f>
        <v>0</v>
      </c>
      <c r="BB59" s="356">
        <f>Финансирование!BB39+Финансирование!BB54</f>
        <v>0</v>
      </c>
      <c r="BC59" s="356">
        <f>Финансирование!BC39+Финансирование!BC54</f>
        <v>0</v>
      </c>
      <c r="BD59" s="356">
        <f>Финансирование!BD39+Финансирование!BD54</f>
        <v>0</v>
      </c>
      <c r="BE59" s="356">
        <f>Финансирование!BE39+Финансирование!BE54</f>
        <v>0</v>
      </c>
      <c r="BF59" s="356">
        <f>Финансирование!BF39+Финансирование!BF54</f>
        <v>0</v>
      </c>
      <c r="BG59" s="356">
        <f>Финансирование!BG39+Финансирование!BG54</f>
        <v>0</v>
      </c>
      <c r="BH59" s="356">
        <f>Финансирование!BH39+Финансирование!BH54</f>
        <v>0</v>
      </c>
      <c r="BI59" s="356">
        <f>Финансирование!BI39+Финансирование!BI54</f>
        <v>0</v>
      </c>
      <c r="BJ59" s="356">
        <f>Финансирование!BJ39+Финансирование!BJ54</f>
        <v>0</v>
      </c>
      <c r="BK59" s="356">
        <f>Финансирование!BK39+Финансирование!BK54</f>
        <v>0</v>
      </c>
      <c r="BL59" s="356">
        <f>Финансирование!BL39+Финансирование!BL54</f>
        <v>0</v>
      </c>
      <c r="BM59" s="356">
        <f>Финансирование!BM39+Финансирование!BM54</f>
        <v>0</v>
      </c>
      <c r="BN59" s="357"/>
    </row>
    <row r="60" spans="2:71" ht="15" customHeight="1">
      <c r="B60" s="37"/>
      <c r="C60" s="37"/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37"/>
      <c r="U60" s="37"/>
      <c r="V60" s="37"/>
      <c r="W60" s="37"/>
      <c r="X60" s="37"/>
      <c r="Y60" s="37"/>
      <c r="Z60" s="37"/>
      <c r="AA60" s="37"/>
      <c r="AB60" s="37"/>
      <c r="AC60" s="37"/>
      <c r="AD60" s="37"/>
      <c r="AE60" s="37"/>
      <c r="AF60" s="37"/>
      <c r="AG60" s="37"/>
      <c r="AH60" s="37"/>
      <c r="AI60" s="37"/>
      <c r="AJ60" s="37"/>
      <c r="AK60" s="37"/>
      <c r="AL60" s="37"/>
      <c r="AM60" s="37"/>
      <c r="AN60" s="37"/>
      <c r="AO60" s="37"/>
      <c r="AP60" s="37"/>
      <c r="AQ60" s="37"/>
      <c r="AR60" s="37"/>
      <c r="AS60" s="37"/>
      <c r="AT60" s="37"/>
      <c r="AU60" s="37"/>
      <c r="AV60" s="37"/>
      <c r="AW60" s="37"/>
      <c r="AX60" s="37"/>
      <c r="AY60" s="37"/>
      <c r="AZ60" s="37"/>
      <c r="BA60" s="37"/>
      <c r="BB60" s="37"/>
      <c r="BC60" s="37"/>
      <c r="BD60" s="37"/>
      <c r="BE60" s="37"/>
      <c r="BF60" s="37"/>
      <c r="BG60" s="37"/>
      <c r="BH60" s="37"/>
      <c r="BI60" s="37"/>
      <c r="BJ60" s="37"/>
      <c r="BK60" s="37"/>
      <c r="BL60" s="37"/>
      <c r="BM60" s="37"/>
    </row>
    <row r="61" spans="2:71" ht="15" customHeight="1">
      <c r="B61" s="262" t="s">
        <v>109</v>
      </c>
      <c r="C61" s="263" t="s">
        <v>11</v>
      </c>
      <c r="D61" s="261">
        <f t="shared" ref="D61:BM61" si="124">SUM(D48,D56)</f>
        <v>0</v>
      </c>
      <c r="E61" s="261">
        <f t="shared" si="124"/>
        <v>0</v>
      </c>
      <c r="F61" s="261">
        <f t="shared" si="124"/>
        <v>0</v>
      </c>
      <c r="G61" s="261">
        <f t="shared" si="124"/>
        <v>0</v>
      </c>
      <c r="H61" s="261">
        <f t="shared" si="124"/>
        <v>0</v>
      </c>
      <c r="I61" s="261">
        <f t="shared" si="124"/>
        <v>0</v>
      </c>
      <c r="J61" s="261">
        <f t="shared" si="124"/>
        <v>0</v>
      </c>
      <c r="K61" s="261">
        <f t="shared" si="124"/>
        <v>0</v>
      </c>
      <c r="L61" s="261">
        <f t="shared" si="124"/>
        <v>0</v>
      </c>
      <c r="M61" s="261">
        <f t="shared" si="124"/>
        <v>0</v>
      </c>
      <c r="N61" s="261">
        <f t="shared" si="124"/>
        <v>0</v>
      </c>
      <c r="O61" s="261">
        <f t="shared" si="124"/>
        <v>0</v>
      </c>
      <c r="P61" s="261">
        <f t="shared" si="124"/>
        <v>0</v>
      </c>
      <c r="Q61" s="261">
        <f t="shared" si="124"/>
        <v>0</v>
      </c>
      <c r="R61" s="261">
        <f t="shared" si="124"/>
        <v>0</v>
      </c>
      <c r="S61" s="261">
        <f t="shared" si="124"/>
        <v>0</v>
      </c>
      <c r="T61" s="261">
        <f t="shared" si="124"/>
        <v>0</v>
      </c>
      <c r="U61" s="261">
        <f t="shared" si="124"/>
        <v>0</v>
      </c>
      <c r="V61" s="261">
        <f t="shared" si="124"/>
        <v>0</v>
      </c>
      <c r="W61" s="261">
        <f t="shared" si="124"/>
        <v>0</v>
      </c>
      <c r="X61" s="261">
        <f t="shared" si="124"/>
        <v>0</v>
      </c>
      <c r="Y61" s="261">
        <f t="shared" si="124"/>
        <v>0</v>
      </c>
      <c r="Z61" s="261">
        <f t="shared" si="124"/>
        <v>0</v>
      </c>
      <c r="AA61" s="261">
        <f t="shared" si="124"/>
        <v>0</v>
      </c>
      <c r="AB61" s="261">
        <f t="shared" si="124"/>
        <v>0</v>
      </c>
      <c r="AC61" s="261">
        <f t="shared" si="124"/>
        <v>0</v>
      </c>
      <c r="AD61" s="261">
        <f t="shared" si="124"/>
        <v>0</v>
      </c>
      <c r="AE61" s="261">
        <f t="shared" si="124"/>
        <v>0</v>
      </c>
      <c r="AF61" s="261">
        <f t="shared" si="124"/>
        <v>0</v>
      </c>
      <c r="AG61" s="261">
        <f t="shared" si="124"/>
        <v>0</v>
      </c>
      <c r="AH61" s="261">
        <f t="shared" si="124"/>
        <v>0</v>
      </c>
      <c r="AI61" s="261">
        <f t="shared" si="124"/>
        <v>0</v>
      </c>
      <c r="AJ61" s="261">
        <f t="shared" si="124"/>
        <v>0</v>
      </c>
      <c r="AK61" s="261">
        <f t="shared" si="124"/>
        <v>0</v>
      </c>
      <c r="AL61" s="261">
        <f t="shared" si="124"/>
        <v>0</v>
      </c>
      <c r="AM61" s="261">
        <f t="shared" si="124"/>
        <v>0</v>
      </c>
      <c r="AN61" s="261">
        <f t="shared" si="124"/>
        <v>0</v>
      </c>
      <c r="AO61" s="261">
        <f t="shared" si="124"/>
        <v>0</v>
      </c>
      <c r="AP61" s="261">
        <f t="shared" si="124"/>
        <v>0</v>
      </c>
      <c r="AQ61" s="261">
        <f t="shared" si="124"/>
        <v>0</v>
      </c>
      <c r="AR61" s="261">
        <f t="shared" si="124"/>
        <v>0</v>
      </c>
      <c r="AS61" s="261">
        <f t="shared" si="124"/>
        <v>0</v>
      </c>
      <c r="AT61" s="261">
        <f t="shared" si="124"/>
        <v>0</v>
      </c>
      <c r="AU61" s="261">
        <f t="shared" si="124"/>
        <v>0</v>
      </c>
      <c r="AV61" s="261">
        <f t="shared" si="124"/>
        <v>0</v>
      </c>
      <c r="AW61" s="261">
        <f t="shared" si="124"/>
        <v>0</v>
      </c>
      <c r="AX61" s="261">
        <f t="shared" si="124"/>
        <v>0</v>
      </c>
      <c r="AY61" s="261">
        <f t="shared" si="124"/>
        <v>0</v>
      </c>
      <c r="AZ61" s="261">
        <f t="shared" si="124"/>
        <v>0</v>
      </c>
      <c r="BA61" s="261">
        <f t="shared" si="124"/>
        <v>0</v>
      </c>
      <c r="BB61" s="261">
        <f t="shared" si="124"/>
        <v>0</v>
      </c>
      <c r="BC61" s="261">
        <f t="shared" si="124"/>
        <v>0</v>
      </c>
      <c r="BD61" s="261">
        <f t="shared" si="124"/>
        <v>0</v>
      </c>
      <c r="BE61" s="261">
        <f t="shared" si="124"/>
        <v>0</v>
      </c>
      <c r="BF61" s="261">
        <f t="shared" si="124"/>
        <v>0</v>
      </c>
      <c r="BG61" s="261">
        <f t="shared" si="124"/>
        <v>0</v>
      </c>
      <c r="BH61" s="261">
        <f t="shared" si="124"/>
        <v>0</v>
      </c>
      <c r="BI61" s="261">
        <f t="shared" si="124"/>
        <v>0</v>
      </c>
      <c r="BJ61" s="261">
        <f t="shared" si="124"/>
        <v>0</v>
      </c>
      <c r="BK61" s="261">
        <f t="shared" si="124"/>
        <v>0</v>
      </c>
      <c r="BL61" s="261">
        <f t="shared" si="124"/>
        <v>0</v>
      </c>
      <c r="BM61" s="261">
        <f t="shared" si="124"/>
        <v>0</v>
      </c>
    </row>
    <row r="62" spans="2:71" ht="15" customHeight="1">
      <c r="B62" s="37"/>
      <c r="C62" s="37"/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37"/>
      <c r="U62" s="37"/>
      <c r="V62" s="37"/>
      <c r="W62" s="37"/>
      <c r="X62" s="37"/>
      <c r="Y62" s="37"/>
      <c r="Z62" s="37"/>
      <c r="AA62" s="37"/>
      <c r="AB62" s="37"/>
      <c r="AC62" s="37"/>
      <c r="AD62" s="37"/>
      <c r="AE62" s="37"/>
      <c r="AF62" s="37"/>
      <c r="AG62" s="37"/>
      <c r="AH62" s="37"/>
      <c r="AI62" s="37"/>
      <c r="AJ62" s="37"/>
      <c r="AK62" s="37"/>
      <c r="AL62" s="37"/>
      <c r="AM62" s="37"/>
      <c r="AN62" s="37"/>
      <c r="AO62" s="37"/>
      <c r="AP62" s="37"/>
      <c r="AQ62" s="37"/>
      <c r="AR62" s="37"/>
      <c r="AS62" s="37"/>
      <c r="AT62" s="37"/>
      <c r="AU62" s="37"/>
      <c r="AV62" s="37"/>
      <c r="AW62" s="37"/>
      <c r="AX62" s="37"/>
      <c r="AY62" s="37"/>
      <c r="AZ62" s="37"/>
      <c r="BA62" s="37"/>
      <c r="BB62" s="37"/>
      <c r="BC62" s="37"/>
      <c r="BD62" s="37"/>
      <c r="BE62" s="37"/>
      <c r="BF62" s="37"/>
      <c r="BG62" s="37"/>
      <c r="BH62" s="37"/>
      <c r="BI62" s="37"/>
      <c r="BJ62" s="37"/>
      <c r="BK62" s="37"/>
      <c r="BL62" s="37"/>
      <c r="BM62" s="37"/>
    </row>
    <row r="63" spans="2:71" ht="21">
      <c r="B63" s="118" t="s">
        <v>105</v>
      </c>
      <c r="C63" s="37"/>
      <c r="D63" s="40"/>
      <c r="E63" s="41"/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F63" s="41"/>
      <c r="AG63" s="41"/>
      <c r="AH63" s="41"/>
      <c r="AI63" s="41"/>
      <c r="AJ63" s="41"/>
      <c r="AK63" s="41"/>
      <c r="AL63" s="41"/>
      <c r="AM63" s="41"/>
      <c r="AN63" s="41"/>
      <c r="AO63" s="41"/>
      <c r="AP63" s="41"/>
      <c r="AQ63" s="41"/>
      <c r="AR63" s="41"/>
      <c r="AS63" s="41"/>
      <c r="AT63" s="41"/>
      <c r="AU63" s="41"/>
      <c r="AV63" s="41"/>
      <c r="AW63" s="41"/>
      <c r="AX63" s="41"/>
      <c r="AY63" s="41"/>
      <c r="AZ63" s="41"/>
      <c r="BA63" s="41"/>
      <c r="BB63" s="41"/>
      <c r="BC63" s="41"/>
      <c r="BD63" s="41"/>
      <c r="BE63" s="41"/>
      <c r="BF63" s="41"/>
      <c r="BG63" s="41"/>
      <c r="BH63" s="41"/>
      <c r="BI63" s="41"/>
      <c r="BJ63" s="41"/>
      <c r="BK63" s="41"/>
      <c r="BL63" s="41"/>
      <c r="BM63" s="41"/>
      <c r="BN63" s="5"/>
      <c r="BO63" s="5"/>
      <c r="BP63" s="5"/>
      <c r="BQ63" s="5"/>
      <c r="BR63" s="5"/>
      <c r="BS63" s="5"/>
    </row>
    <row r="64" spans="2:71">
      <c r="B64" s="120" t="s">
        <v>195</v>
      </c>
      <c r="C64" s="121"/>
      <c r="D64" s="121"/>
      <c r="E64" s="41"/>
      <c r="F64" s="41"/>
      <c r="G64" s="41"/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1"/>
      <c r="U64" s="41"/>
      <c r="V64" s="41"/>
      <c r="W64" s="41"/>
      <c r="X64" s="41"/>
      <c r="Y64" s="41"/>
      <c r="Z64" s="41"/>
      <c r="AA64" s="41"/>
      <c r="AB64" s="41"/>
      <c r="AC64" s="41"/>
      <c r="AD64" s="41"/>
      <c r="AE64" s="41"/>
      <c r="AF64" s="41"/>
      <c r="AG64" s="41"/>
      <c r="AH64" s="41"/>
      <c r="AI64" s="41"/>
      <c r="AJ64" s="41"/>
      <c r="AK64" s="41"/>
      <c r="AL64" s="41"/>
      <c r="AM64" s="41"/>
      <c r="AN64" s="41"/>
      <c r="AO64" s="41"/>
      <c r="AP64" s="41"/>
      <c r="AQ64" s="41"/>
      <c r="AR64" s="41"/>
      <c r="AS64" s="41"/>
      <c r="AT64" s="41"/>
      <c r="AU64" s="41"/>
      <c r="AV64" s="41"/>
      <c r="AW64" s="41"/>
      <c r="AX64" s="41"/>
      <c r="AY64" s="41"/>
      <c r="AZ64" s="41"/>
      <c r="BA64" s="41"/>
      <c r="BB64" s="41"/>
      <c r="BC64" s="41"/>
      <c r="BD64" s="41"/>
      <c r="BE64" s="41"/>
      <c r="BF64" s="41"/>
      <c r="BG64" s="41"/>
      <c r="BH64" s="41"/>
      <c r="BI64" s="41"/>
      <c r="BJ64" s="41"/>
      <c r="BK64" s="41"/>
      <c r="BL64" s="41"/>
      <c r="BM64" s="41"/>
      <c r="BN64" s="5"/>
      <c r="BO64" s="5"/>
      <c r="BP64" s="5"/>
      <c r="BQ64" s="5"/>
    </row>
    <row r="65" spans="2:69" ht="15" customHeight="1">
      <c r="B65" s="123" t="s">
        <v>219</v>
      </c>
      <c r="C65" s="113" t="s">
        <v>11</v>
      </c>
      <c r="D65" s="248">
        <f>SUM(E65:BM65)</f>
        <v>0</v>
      </c>
      <c r="E65" s="299"/>
      <c r="F65" s="292"/>
      <c r="G65" s="292"/>
      <c r="H65" s="292"/>
      <c r="I65" s="292"/>
      <c r="J65" s="292"/>
      <c r="K65" s="292"/>
      <c r="L65" s="292"/>
      <c r="M65" s="292"/>
      <c r="N65" s="292"/>
      <c r="O65" s="292"/>
      <c r="P65" s="292"/>
      <c r="Q65" s="292"/>
      <c r="R65" s="292"/>
      <c r="S65" s="292"/>
      <c r="T65" s="292"/>
      <c r="U65" s="292"/>
      <c r="V65" s="292"/>
      <c r="W65" s="292"/>
      <c r="X65" s="292"/>
      <c r="Y65" s="292"/>
      <c r="Z65" s="292"/>
      <c r="AA65" s="292"/>
      <c r="AB65" s="292"/>
      <c r="AC65" s="292"/>
      <c r="AD65" s="292"/>
      <c r="AE65" s="292"/>
      <c r="AF65" s="292"/>
      <c r="AG65" s="292"/>
      <c r="AH65" s="292"/>
      <c r="AI65" s="292"/>
      <c r="AJ65" s="292"/>
      <c r="AK65" s="292"/>
      <c r="AL65" s="292"/>
      <c r="AM65" s="292"/>
      <c r="AN65" s="292"/>
      <c r="AO65" s="292"/>
      <c r="AP65" s="292"/>
      <c r="AQ65" s="292"/>
      <c r="AR65" s="292"/>
      <c r="AS65" s="292"/>
      <c r="AT65" s="299"/>
      <c r="AU65" s="299"/>
      <c r="AV65" s="299"/>
      <c r="AW65" s="299"/>
      <c r="AX65" s="299"/>
      <c r="AY65" s="299"/>
      <c r="AZ65" s="299"/>
      <c r="BA65" s="299"/>
      <c r="BB65" s="299"/>
      <c r="BC65" s="299"/>
      <c r="BD65" s="299"/>
      <c r="BE65" s="299"/>
      <c r="BF65" s="299"/>
      <c r="BG65" s="299"/>
      <c r="BH65" s="299"/>
      <c r="BI65" s="299"/>
      <c r="BJ65" s="299"/>
      <c r="BK65" s="299"/>
      <c r="BL65" s="299"/>
      <c r="BM65" s="299"/>
    </row>
    <row r="66" spans="2:69" ht="15" customHeight="1">
      <c r="B66" s="112" t="s">
        <v>220</v>
      </c>
      <c r="C66" s="113" t="s">
        <v>11</v>
      </c>
      <c r="D66" s="248">
        <f>SUM(E66:BM66)</f>
        <v>0</v>
      </c>
      <c r="E66" s="299"/>
      <c r="F66" s="292"/>
      <c r="G66" s="292"/>
      <c r="H66" s="292"/>
      <c r="I66" s="292"/>
      <c r="J66" s="292"/>
      <c r="K66" s="292"/>
      <c r="L66" s="292"/>
      <c r="M66" s="292"/>
      <c r="N66" s="292"/>
      <c r="O66" s="292"/>
      <c r="P66" s="292"/>
      <c r="Q66" s="292"/>
      <c r="R66" s="292"/>
      <c r="S66" s="292"/>
      <c r="T66" s="292"/>
      <c r="U66" s="292"/>
      <c r="V66" s="292"/>
      <c r="W66" s="292"/>
      <c r="X66" s="292"/>
      <c r="Y66" s="292"/>
      <c r="Z66" s="292"/>
      <c r="AA66" s="292"/>
      <c r="AB66" s="292"/>
      <c r="AC66" s="292"/>
      <c r="AD66" s="292"/>
      <c r="AE66" s="292"/>
      <c r="AF66" s="292"/>
      <c r="AG66" s="292"/>
      <c r="AH66" s="292"/>
      <c r="AI66" s="292"/>
      <c r="AJ66" s="292"/>
      <c r="AK66" s="292"/>
      <c r="AL66" s="292"/>
      <c r="AM66" s="292"/>
      <c r="AN66" s="292"/>
      <c r="AO66" s="292"/>
      <c r="AP66" s="292"/>
      <c r="AQ66" s="292"/>
      <c r="AR66" s="292"/>
      <c r="AS66" s="292"/>
      <c r="AT66" s="299"/>
      <c r="AU66" s="299"/>
      <c r="AV66" s="299"/>
      <c r="AW66" s="299"/>
      <c r="AX66" s="299"/>
      <c r="AY66" s="299"/>
      <c r="AZ66" s="299"/>
      <c r="BA66" s="299"/>
      <c r="BB66" s="299"/>
      <c r="BC66" s="299"/>
      <c r="BD66" s="299"/>
      <c r="BE66" s="299"/>
      <c r="BF66" s="299"/>
      <c r="BG66" s="299"/>
      <c r="BH66" s="299"/>
      <c r="BI66" s="299"/>
      <c r="BJ66" s="299"/>
      <c r="BK66" s="299"/>
      <c r="BL66" s="299"/>
      <c r="BM66" s="299"/>
    </row>
    <row r="67" spans="2:69" ht="15" customHeight="1">
      <c r="B67" s="112" t="s">
        <v>221</v>
      </c>
      <c r="C67" s="113" t="s">
        <v>11</v>
      </c>
      <c r="D67" s="248">
        <f>SUM(E67:BM67)</f>
        <v>0</v>
      </c>
      <c r="E67" s="299"/>
      <c r="F67" s="292"/>
      <c r="G67" s="292"/>
      <c r="H67" s="292"/>
      <c r="I67" s="292"/>
      <c r="J67" s="292"/>
      <c r="K67" s="292"/>
      <c r="L67" s="292"/>
      <c r="M67" s="292"/>
      <c r="N67" s="292"/>
      <c r="O67" s="292"/>
      <c r="P67" s="292"/>
      <c r="Q67" s="292"/>
      <c r="R67" s="292"/>
      <c r="S67" s="292"/>
      <c r="T67" s="292"/>
      <c r="U67" s="292"/>
      <c r="V67" s="292"/>
      <c r="W67" s="292"/>
      <c r="X67" s="292"/>
      <c r="Y67" s="292"/>
      <c r="Z67" s="292"/>
      <c r="AA67" s="292"/>
      <c r="AB67" s="292"/>
      <c r="AC67" s="292"/>
      <c r="AD67" s="292"/>
      <c r="AE67" s="292"/>
      <c r="AF67" s="292"/>
      <c r="AG67" s="292"/>
      <c r="AH67" s="292"/>
      <c r="AI67" s="292"/>
      <c r="AJ67" s="292"/>
      <c r="AK67" s="292"/>
      <c r="AL67" s="292"/>
      <c r="AM67" s="292"/>
      <c r="AN67" s="292"/>
      <c r="AO67" s="292"/>
      <c r="AP67" s="292"/>
      <c r="AQ67" s="292"/>
      <c r="AR67" s="292"/>
      <c r="AS67" s="292"/>
      <c r="AT67" s="299"/>
      <c r="AU67" s="299"/>
      <c r="AV67" s="299"/>
      <c r="AW67" s="299"/>
      <c r="AX67" s="299"/>
      <c r="AY67" s="299"/>
      <c r="AZ67" s="299"/>
      <c r="BA67" s="299"/>
      <c r="BB67" s="299"/>
      <c r="BC67" s="299"/>
      <c r="BD67" s="299"/>
      <c r="BE67" s="299"/>
      <c r="BF67" s="299"/>
      <c r="BG67" s="299"/>
      <c r="BH67" s="299"/>
      <c r="BI67" s="299"/>
      <c r="BJ67" s="299"/>
      <c r="BK67" s="299"/>
      <c r="BL67" s="299"/>
      <c r="BM67" s="299"/>
    </row>
    <row r="68" spans="2:69" ht="15" customHeight="1">
      <c r="B68" s="112" t="s">
        <v>222</v>
      </c>
      <c r="C68" s="113" t="s">
        <v>11</v>
      </c>
      <c r="D68" s="248">
        <f>SUM(E68:BM68)</f>
        <v>0</v>
      </c>
      <c r="E68" s="299"/>
      <c r="F68" s="292"/>
      <c r="G68" s="292"/>
      <c r="H68" s="292"/>
      <c r="I68" s="292"/>
      <c r="J68" s="292"/>
      <c r="K68" s="292"/>
      <c r="L68" s="292"/>
      <c r="M68" s="292"/>
      <c r="N68" s="292"/>
      <c r="O68" s="292"/>
      <c r="P68" s="292"/>
      <c r="Q68" s="292"/>
      <c r="R68" s="292"/>
      <c r="S68" s="292"/>
      <c r="T68" s="292"/>
      <c r="U68" s="292"/>
      <c r="V68" s="292"/>
      <c r="W68" s="292"/>
      <c r="X68" s="292"/>
      <c r="Y68" s="292"/>
      <c r="Z68" s="292"/>
      <c r="AA68" s="292"/>
      <c r="AB68" s="292"/>
      <c r="AC68" s="292"/>
      <c r="AD68" s="292"/>
      <c r="AE68" s="292"/>
      <c r="AF68" s="292"/>
      <c r="AG68" s="292"/>
      <c r="AH68" s="292"/>
      <c r="AI68" s="292"/>
      <c r="AJ68" s="292"/>
      <c r="AK68" s="292"/>
      <c r="AL68" s="292"/>
      <c r="AM68" s="292"/>
      <c r="AN68" s="292"/>
      <c r="AO68" s="292"/>
      <c r="AP68" s="292"/>
      <c r="AQ68" s="292"/>
      <c r="AR68" s="292"/>
      <c r="AS68" s="292"/>
      <c r="AT68" s="299"/>
      <c r="AU68" s="299"/>
      <c r="AV68" s="299"/>
      <c r="AW68" s="299"/>
      <c r="AX68" s="299"/>
      <c r="AY68" s="299"/>
      <c r="AZ68" s="299"/>
      <c r="BA68" s="299"/>
      <c r="BB68" s="299"/>
      <c r="BC68" s="299"/>
      <c r="BD68" s="299"/>
      <c r="BE68" s="299"/>
      <c r="BF68" s="299"/>
      <c r="BG68" s="299"/>
      <c r="BH68" s="299"/>
      <c r="BI68" s="299"/>
      <c r="BJ68" s="299"/>
      <c r="BK68" s="299"/>
      <c r="BL68" s="299"/>
      <c r="BM68" s="299"/>
    </row>
    <row r="69" spans="2:69" ht="15" customHeight="1">
      <c r="B69" s="112" t="s">
        <v>196</v>
      </c>
      <c r="C69" s="113" t="s">
        <v>11</v>
      </c>
      <c r="D69" s="248">
        <f>SUM(E69:BM69)</f>
        <v>0</v>
      </c>
      <c r="E69" s="299"/>
      <c r="F69" s="292"/>
      <c r="G69" s="292"/>
      <c r="H69" s="292"/>
      <c r="I69" s="292"/>
      <c r="J69" s="292"/>
      <c r="K69" s="292"/>
      <c r="L69" s="292"/>
      <c r="M69" s="292"/>
      <c r="N69" s="292"/>
      <c r="O69" s="292"/>
      <c r="P69" s="292"/>
      <c r="Q69" s="292"/>
      <c r="R69" s="292"/>
      <c r="S69" s="292"/>
      <c r="T69" s="292"/>
      <c r="U69" s="292"/>
      <c r="V69" s="292"/>
      <c r="W69" s="292"/>
      <c r="X69" s="292"/>
      <c r="Y69" s="292"/>
      <c r="Z69" s="292"/>
      <c r="AA69" s="292"/>
      <c r="AB69" s="292"/>
      <c r="AC69" s="292"/>
      <c r="AD69" s="292"/>
      <c r="AE69" s="292"/>
      <c r="AF69" s="292"/>
      <c r="AG69" s="292"/>
      <c r="AH69" s="292"/>
      <c r="AI69" s="292"/>
      <c r="AJ69" s="292"/>
      <c r="AK69" s="292"/>
      <c r="AL69" s="292"/>
      <c r="AM69" s="292"/>
      <c r="AN69" s="292"/>
      <c r="AO69" s="292"/>
      <c r="AP69" s="292"/>
      <c r="AQ69" s="292"/>
      <c r="AR69" s="292"/>
      <c r="AS69" s="292"/>
      <c r="AT69" s="299"/>
      <c r="AU69" s="299"/>
      <c r="AV69" s="299"/>
      <c r="AW69" s="299"/>
      <c r="AX69" s="299"/>
      <c r="AY69" s="299"/>
      <c r="AZ69" s="299"/>
      <c r="BA69" s="299"/>
      <c r="BB69" s="299"/>
      <c r="BC69" s="299"/>
      <c r="BD69" s="299"/>
      <c r="BE69" s="299"/>
      <c r="BF69" s="299"/>
      <c r="BG69" s="299"/>
      <c r="BH69" s="299"/>
      <c r="BI69" s="299"/>
      <c r="BJ69" s="299"/>
      <c r="BK69" s="299"/>
      <c r="BL69" s="299"/>
      <c r="BM69" s="299"/>
    </row>
    <row r="70" spans="2:69" ht="15" customHeight="1">
      <c r="B70" s="259" t="s">
        <v>12</v>
      </c>
      <c r="C70" s="260" t="s">
        <v>11</v>
      </c>
      <c r="D70" s="261">
        <f t="shared" ref="D70:E70" si="125">SUM(D65:D69)</f>
        <v>0</v>
      </c>
      <c r="E70" s="248">
        <f t="shared" si="125"/>
        <v>0</v>
      </c>
      <c r="F70" s="248">
        <f t="shared" ref="F70:AG70" si="126">SUM(F65:F69)</f>
        <v>0</v>
      </c>
      <c r="G70" s="248">
        <f t="shared" si="126"/>
        <v>0</v>
      </c>
      <c r="H70" s="248">
        <f t="shared" si="126"/>
        <v>0</v>
      </c>
      <c r="I70" s="248">
        <f t="shared" si="126"/>
        <v>0</v>
      </c>
      <c r="J70" s="248">
        <f t="shared" si="126"/>
        <v>0</v>
      </c>
      <c r="K70" s="248">
        <f t="shared" si="126"/>
        <v>0</v>
      </c>
      <c r="L70" s="248">
        <f t="shared" si="126"/>
        <v>0</v>
      </c>
      <c r="M70" s="248">
        <f t="shared" si="126"/>
        <v>0</v>
      </c>
      <c r="N70" s="248">
        <f t="shared" si="126"/>
        <v>0</v>
      </c>
      <c r="O70" s="248">
        <f t="shared" si="126"/>
        <v>0</v>
      </c>
      <c r="P70" s="248">
        <f t="shared" si="126"/>
        <v>0</v>
      </c>
      <c r="Q70" s="248">
        <f t="shared" si="126"/>
        <v>0</v>
      </c>
      <c r="R70" s="248">
        <f t="shared" si="126"/>
        <v>0</v>
      </c>
      <c r="S70" s="248">
        <f t="shared" si="126"/>
        <v>0</v>
      </c>
      <c r="T70" s="248">
        <f t="shared" si="126"/>
        <v>0</v>
      </c>
      <c r="U70" s="248">
        <f t="shared" si="126"/>
        <v>0</v>
      </c>
      <c r="V70" s="248">
        <f t="shared" si="126"/>
        <v>0</v>
      </c>
      <c r="W70" s="248">
        <f t="shared" si="126"/>
        <v>0</v>
      </c>
      <c r="X70" s="248">
        <f t="shared" si="126"/>
        <v>0</v>
      </c>
      <c r="Y70" s="248">
        <f t="shared" si="126"/>
        <v>0</v>
      </c>
      <c r="Z70" s="248">
        <f t="shared" si="126"/>
        <v>0</v>
      </c>
      <c r="AA70" s="248">
        <f t="shared" si="126"/>
        <v>0</v>
      </c>
      <c r="AB70" s="248">
        <f t="shared" si="126"/>
        <v>0</v>
      </c>
      <c r="AC70" s="248">
        <f t="shared" si="126"/>
        <v>0</v>
      </c>
      <c r="AD70" s="248">
        <f t="shared" si="126"/>
        <v>0</v>
      </c>
      <c r="AE70" s="248">
        <f t="shared" si="126"/>
        <v>0</v>
      </c>
      <c r="AF70" s="248">
        <f t="shared" si="126"/>
        <v>0</v>
      </c>
      <c r="AG70" s="248">
        <f t="shared" si="126"/>
        <v>0</v>
      </c>
      <c r="AH70" s="248">
        <f t="shared" ref="AH70:BM70" si="127">SUM(AH65:AH69)</f>
        <v>0</v>
      </c>
      <c r="AI70" s="248">
        <f t="shared" si="127"/>
        <v>0</v>
      </c>
      <c r="AJ70" s="248">
        <f t="shared" si="127"/>
        <v>0</v>
      </c>
      <c r="AK70" s="248">
        <f t="shared" si="127"/>
        <v>0</v>
      </c>
      <c r="AL70" s="248">
        <f t="shared" si="127"/>
        <v>0</v>
      </c>
      <c r="AM70" s="248">
        <f t="shared" si="127"/>
        <v>0</v>
      </c>
      <c r="AN70" s="248">
        <f t="shared" si="127"/>
        <v>0</v>
      </c>
      <c r="AO70" s="248">
        <f t="shared" si="127"/>
        <v>0</v>
      </c>
      <c r="AP70" s="248">
        <f t="shared" si="127"/>
        <v>0</v>
      </c>
      <c r="AQ70" s="248">
        <f t="shared" si="127"/>
        <v>0</v>
      </c>
      <c r="AR70" s="248">
        <f t="shared" si="127"/>
        <v>0</v>
      </c>
      <c r="AS70" s="248">
        <f t="shared" si="127"/>
        <v>0</v>
      </c>
      <c r="AT70" s="248">
        <f t="shared" si="127"/>
        <v>0</v>
      </c>
      <c r="AU70" s="248">
        <f t="shared" si="127"/>
        <v>0</v>
      </c>
      <c r="AV70" s="248">
        <f t="shared" si="127"/>
        <v>0</v>
      </c>
      <c r="AW70" s="248">
        <f t="shared" si="127"/>
        <v>0</v>
      </c>
      <c r="AX70" s="248">
        <f t="shared" si="127"/>
        <v>0</v>
      </c>
      <c r="AY70" s="248">
        <f t="shared" si="127"/>
        <v>0</v>
      </c>
      <c r="AZ70" s="248">
        <f t="shared" si="127"/>
        <v>0</v>
      </c>
      <c r="BA70" s="248">
        <f t="shared" si="127"/>
        <v>0</v>
      </c>
      <c r="BB70" s="248">
        <f t="shared" si="127"/>
        <v>0</v>
      </c>
      <c r="BC70" s="248">
        <f t="shared" si="127"/>
        <v>0</v>
      </c>
      <c r="BD70" s="248">
        <f t="shared" si="127"/>
        <v>0</v>
      </c>
      <c r="BE70" s="248">
        <f t="shared" si="127"/>
        <v>0</v>
      </c>
      <c r="BF70" s="248">
        <f t="shared" si="127"/>
        <v>0</v>
      </c>
      <c r="BG70" s="248">
        <f t="shared" si="127"/>
        <v>0</v>
      </c>
      <c r="BH70" s="248">
        <f t="shared" si="127"/>
        <v>0</v>
      </c>
      <c r="BI70" s="248">
        <f t="shared" si="127"/>
        <v>0</v>
      </c>
      <c r="BJ70" s="248">
        <f t="shared" si="127"/>
        <v>0</v>
      </c>
      <c r="BK70" s="248">
        <f t="shared" si="127"/>
        <v>0</v>
      </c>
      <c r="BL70" s="248">
        <f t="shared" si="127"/>
        <v>0</v>
      </c>
      <c r="BM70" s="248">
        <f t="shared" si="127"/>
        <v>0</v>
      </c>
    </row>
    <row r="71" spans="2:69" ht="15" customHeight="1">
      <c r="B71" s="37"/>
      <c r="C71" s="37"/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37"/>
      <c r="U71" s="37"/>
      <c r="V71" s="37"/>
      <c r="W71" s="37"/>
      <c r="X71" s="37"/>
      <c r="Y71" s="37"/>
      <c r="Z71" s="37"/>
      <c r="AA71" s="37"/>
      <c r="AB71" s="37"/>
      <c r="AC71" s="37"/>
      <c r="AD71" s="37"/>
      <c r="AE71" s="37"/>
      <c r="AF71" s="37"/>
      <c r="AG71" s="37"/>
      <c r="AH71" s="37"/>
      <c r="AI71" s="37"/>
      <c r="AJ71" s="37"/>
      <c r="AK71" s="37"/>
      <c r="AL71" s="37"/>
      <c r="AM71" s="37"/>
      <c r="AN71" s="37"/>
      <c r="AO71" s="37"/>
      <c r="AP71" s="37"/>
      <c r="AQ71" s="37"/>
      <c r="AR71" s="37"/>
      <c r="AS71" s="37"/>
      <c r="AT71" s="37"/>
      <c r="AU71" s="37"/>
      <c r="AV71" s="37"/>
      <c r="AW71" s="37"/>
      <c r="AX71" s="37"/>
      <c r="AY71" s="37"/>
      <c r="AZ71" s="37"/>
      <c r="BA71" s="37"/>
      <c r="BB71" s="37"/>
      <c r="BC71" s="37"/>
      <c r="BD71" s="37"/>
      <c r="BE71" s="37"/>
      <c r="BF71" s="37"/>
      <c r="BG71" s="37"/>
      <c r="BH71" s="37"/>
      <c r="BI71" s="37"/>
      <c r="BJ71" s="37"/>
      <c r="BK71" s="37"/>
      <c r="BL71" s="37"/>
      <c r="BM71" s="37"/>
    </row>
    <row r="72" spans="2:69">
      <c r="B72" s="120" t="s">
        <v>200</v>
      </c>
      <c r="C72" s="121"/>
      <c r="D72" s="121"/>
      <c r="E72" s="41"/>
      <c r="F72" s="41"/>
      <c r="G72" s="41"/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  <c r="AF72" s="41"/>
      <c r="AG72" s="41"/>
      <c r="AH72" s="41"/>
      <c r="AI72" s="41"/>
      <c r="AJ72" s="41"/>
      <c r="AK72" s="41"/>
      <c r="AL72" s="41"/>
      <c r="AM72" s="41"/>
      <c r="AN72" s="41"/>
      <c r="AO72" s="41"/>
      <c r="AP72" s="41"/>
      <c r="AQ72" s="41"/>
      <c r="AR72" s="41"/>
      <c r="AS72" s="41"/>
      <c r="AT72" s="41"/>
      <c r="AU72" s="41"/>
      <c r="AV72" s="41"/>
      <c r="AW72" s="41"/>
      <c r="AX72" s="41"/>
      <c r="AY72" s="41"/>
      <c r="AZ72" s="41"/>
      <c r="BA72" s="41"/>
      <c r="BB72" s="41"/>
      <c r="BC72" s="41"/>
      <c r="BD72" s="41"/>
      <c r="BE72" s="41"/>
      <c r="BF72" s="41"/>
      <c r="BG72" s="41"/>
      <c r="BH72" s="41"/>
      <c r="BI72" s="41"/>
      <c r="BJ72" s="41"/>
      <c r="BK72" s="41"/>
      <c r="BL72" s="41"/>
      <c r="BM72" s="41"/>
      <c r="BN72" s="5"/>
      <c r="BO72" s="5"/>
      <c r="BP72" s="5"/>
      <c r="BQ72" s="5"/>
    </row>
    <row r="73" spans="2:69" ht="15" customHeight="1">
      <c r="B73" s="112" t="s">
        <v>106</v>
      </c>
      <c r="C73" s="113" t="s">
        <v>11</v>
      </c>
      <c r="D73" s="248">
        <f>SUM(E73:BM73)</f>
        <v>0</v>
      </c>
      <c r="E73" s="292"/>
      <c r="F73" s="292"/>
      <c r="G73" s="292"/>
      <c r="H73" s="292"/>
      <c r="I73" s="292"/>
      <c r="J73" s="292"/>
      <c r="K73" s="292"/>
      <c r="L73" s="292"/>
      <c r="M73" s="292"/>
      <c r="N73" s="292"/>
      <c r="O73" s="292"/>
      <c r="P73" s="292"/>
      <c r="Q73" s="292"/>
      <c r="R73" s="292"/>
      <c r="S73" s="292"/>
      <c r="T73" s="292"/>
      <c r="U73" s="292"/>
      <c r="V73" s="292"/>
      <c r="W73" s="292"/>
      <c r="X73" s="292"/>
      <c r="Y73" s="292"/>
      <c r="Z73" s="292"/>
      <c r="AA73" s="292"/>
      <c r="AB73" s="292"/>
      <c r="AC73" s="292"/>
      <c r="AD73" s="292"/>
      <c r="AE73" s="292"/>
      <c r="AF73" s="292"/>
      <c r="AG73" s="292"/>
      <c r="AH73" s="292"/>
      <c r="AI73" s="292"/>
      <c r="AJ73" s="292"/>
      <c r="AK73" s="292"/>
      <c r="AL73" s="292"/>
      <c r="AM73" s="292"/>
      <c r="AN73" s="292"/>
      <c r="AO73" s="292"/>
      <c r="AP73" s="292"/>
      <c r="AQ73" s="292"/>
      <c r="AR73" s="292"/>
      <c r="AS73" s="292"/>
      <c r="AT73" s="299"/>
      <c r="AU73" s="299"/>
      <c r="AV73" s="299"/>
      <c r="AW73" s="299"/>
      <c r="AX73" s="299"/>
      <c r="AY73" s="299"/>
      <c r="AZ73" s="299"/>
      <c r="BA73" s="299"/>
      <c r="BB73" s="299"/>
      <c r="BC73" s="299"/>
      <c r="BD73" s="299"/>
      <c r="BE73" s="299"/>
      <c r="BF73" s="299"/>
      <c r="BG73" s="299"/>
      <c r="BH73" s="299"/>
      <c r="BI73" s="299"/>
      <c r="BJ73" s="299"/>
      <c r="BK73" s="299"/>
      <c r="BL73" s="299"/>
      <c r="BM73" s="299"/>
    </row>
    <row r="74" spans="2:69" ht="15" customHeight="1">
      <c r="B74" s="112" t="s">
        <v>228</v>
      </c>
      <c r="C74" s="113" t="s">
        <v>11</v>
      </c>
      <c r="D74" s="248">
        <f>SUM(E74:BM74)</f>
        <v>0</v>
      </c>
      <c r="E74" s="292"/>
      <c r="F74" s="292"/>
      <c r="G74" s="292"/>
      <c r="H74" s="292"/>
      <c r="I74" s="292"/>
      <c r="J74" s="292"/>
      <c r="K74" s="292"/>
      <c r="L74" s="292"/>
      <c r="M74" s="292"/>
      <c r="N74" s="292"/>
      <c r="O74" s="292"/>
      <c r="P74" s="292"/>
      <c r="Q74" s="292"/>
      <c r="R74" s="292"/>
      <c r="S74" s="292"/>
      <c r="T74" s="292"/>
      <c r="U74" s="292"/>
      <c r="V74" s="292"/>
      <c r="W74" s="292"/>
      <c r="X74" s="292"/>
      <c r="Y74" s="292"/>
      <c r="Z74" s="292"/>
      <c r="AA74" s="292"/>
      <c r="AB74" s="292"/>
      <c r="AC74" s="292"/>
      <c r="AD74" s="292"/>
      <c r="AE74" s="292"/>
      <c r="AF74" s="292"/>
      <c r="AG74" s="292"/>
      <c r="AH74" s="292"/>
      <c r="AI74" s="292"/>
      <c r="AJ74" s="292"/>
      <c r="AK74" s="292"/>
      <c r="AL74" s="292"/>
      <c r="AM74" s="292"/>
      <c r="AN74" s="292"/>
      <c r="AO74" s="292"/>
      <c r="AP74" s="292"/>
      <c r="AQ74" s="292"/>
      <c r="AR74" s="292"/>
      <c r="AS74" s="292"/>
      <c r="AT74" s="292"/>
      <c r="AU74" s="292"/>
      <c r="AV74" s="292"/>
      <c r="AW74" s="292"/>
      <c r="AX74" s="299"/>
      <c r="AY74" s="299"/>
      <c r="AZ74" s="299"/>
      <c r="BA74" s="299"/>
      <c r="BB74" s="299"/>
      <c r="BC74" s="299"/>
      <c r="BD74" s="299"/>
      <c r="BE74" s="299"/>
      <c r="BF74" s="299"/>
      <c r="BG74" s="299"/>
      <c r="BH74" s="299"/>
      <c r="BI74" s="299"/>
      <c r="BJ74" s="299"/>
      <c r="BK74" s="299"/>
      <c r="BL74" s="299"/>
      <c r="BM74" s="299"/>
    </row>
    <row r="75" spans="2:69" ht="15" customHeight="1">
      <c r="B75" s="112" t="s">
        <v>216</v>
      </c>
      <c r="C75" s="113" t="s">
        <v>11</v>
      </c>
      <c r="D75" s="248">
        <f>SUM(E75:BM75)</f>
        <v>0</v>
      </c>
      <c r="E75" s="292"/>
      <c r="F75" s="292"/>
      <c r="G75" s="292"/>
      <c r="H75" s="292"/>
      <c r="I75" s="292"/>
      <c r="J75" s="292"/>
      <c r="K75" s="292"/>
      <c r="L75" s="292"/>
      <c r="M75" s="292"/>
      <c r="N75" s="292"/>
      <c r="O75" s="292"/>
      <c r="P75" s="292"/>
      <c r="Q75" s="292"/>
      <c r="R75" s="292"/>
      <c r="S75" s="292"/>
      <c r="T75" s="292"/>
      <c r="U75" s="292"/>
      <c r="V75" s="292"/>
      <c r="W75" s="292"/>
      <c r="X75" s="292"/>
      <c r="Y75" s="292"/>
      <c r="Z75" s="292"/>
      <c r="AA75" s="292"/>
      <c r="AB75" s="292"/>
      <c r="AC75" s="292"/>
      <c r="AD75" s="292"/>
      <c r="AE75" s="292"/>
      <c r="AF75" s="292"/>
      <c r="AG75" s="292"/>
      <c r="AH75" s="292"/>
      <c r="AI75" s="292"/>
      <c r="AJ75" s="292"/>
      <c r="AK75" s="292"/>
      <c r="AL75" s="292"/>
      <c r="AM75" s="292"/>
      <c r="AN75" s="292"/>
      <c r="AO75" s="292"/>
      <c r="AP75" s="292"/>
      <c r="AQ75" s="292"/>
      <c r="AR75" s="292"/>
      <c r="AS75" s="292"/>
      <c r="AT75" s="292"/>
      <c r="AU75" s="292"/>
      <c r="AV75" s="292"/>
      <c r="AW75" s="292"/>
      <c r="AX75" s="299"/>
      <c r="AY75" s="299"/>
      <c r="AZ75" s="299"/>
      <c r="BA75" s="299"/>
      <c r="BB75" s="299"/>
      <c r="BC75" s="299"/>
      <c r="BD75" s="299"/>
      <c r="BE75" s="299"/>
      <c r="BF75" s="299"/>
      <c r="BG75" s="299"/>
      <c r="BH75" s="299"/>
      <c r="BI75" s="299"/>
      <c r="BJ75" s="299"/>
      <c r="BK75" s="299"/>
      <c r="BL75" s="299"/>
      <c r="BM75" s="299"/>
    </row>
    <row r="76" spans="2:69" ht="15" customHeight="1">
      <c r="B76" s="112" t="s">
        <v>203</v>
      </c>
      <c r="C76" s="113" t="s">
        <v>11</v>
      </c>
      <c r="D76" s="248">
        <f>SUM(E76:BM76)</f>
        <v>0</v>
      </c>
      <c r="E76" s="292"/>
      <c r="F76" s="292"/>
      <c r="G76" s="292"/>
      <c r="H76" s="292"/>
      <c r="I76" s="292"/>
      <c r="J76" s="292"/>
      <c r="K76" s="292"/>
      <c r="L76" s="292"/>
      <c r="M76" s="292"/>
      <c r="N76" s="292"/>
      <c r="O76" s="292"/>
      <c r="P76" s="292"/>
      <c r="Q76" s="292"/>
      <c r="R76" s="292"/>
      <c r="S76" s="292"/>
      <c r="T76" s="292"/>
      <c r="U76" s="292"/>
      <c r="V76" s="292"/>
      <c r="W76" s="292"/>
      <c r="X76" s="292"/>
      <c r="Y76" s="292"/>
      <c r="Z76" s="292"/>
      <c r="AA76" s="292"/>
      <c r="AB76" s="292"/>
      <c r="AC76" s="292"/>
      <c r="AD76" s="292"/>
      <c r="AE76" s="292"/>
      <c r="AF76" s="292"/>
      <c r="AG76" s="292"/>
      <c r="AH76" s="292"/>
      <c r="AI76" s="292"/>
      <c r="AJ76" s="292"/>
      <c r="AK76" s="292"/>
      <c r="AL76" s="292"/>
      <c r="AM76" s="292"/>
      <c r="AN76" s="292"/>
      <c r="AO76" s="292"/>
      <c r="AP76" s="292"/>
      <c r="AQ76" s="292"/>
      <c r="AR76" s="292"/>
      <c r="AS76" s="292"/>
      <c r="AT76" s="292"/>
      <c r="AU76" s="292"/>
      <c r="AV76" s="292"/>
      <c r="AW76" s="292"/>
      <c r="AX76" s="299"/>
      <c r="AY76" s="299"/>
      <c r="AZ76" s="299"/>
      <c r="BA76" s="299"/>
      <c r="BB76" s="299"/>
      <c r="BC76" s="299"/>
      <c r="BD76" s="299"/>
      <c r="BE76" s="299"/>
      <c r="BF76" s="299"/>
      <c r="BG76" s="299"/>
      <c r="BH76" s="299"/>
      <c r="BI76" s="299"/>
      <c r="BJ76" s="299"/>
      <c r="BK76" s="299"/>
      <c r="BL76" s="299"/>
      <c r="BM76" s="299"/>
    </row>
    <row r="77" spans="2:69" ht="15" customHeight="1">
      <c r="B77" s="259" t="s">
        <v>12</v>
      </c>
      <c r="C77" s="260" t="s">
        <v>11</v>
      </c>
      <c r="D77" s="261">
        <f t="shared" ref="D77:AI79" si="128">SUM(D73:D76)</f>
        <v>0</v>
      </c>
      <c r="E77" s="248">
        <f t="shared" si="128"/>
        <v>0</v>
      </c>
      <c r="F77" s="248">
        <f t="shared" si="128"/>
        <v>0</v>
      </c>
      <c r="G77" s="248">
        <f t="shared" si="128"/>
        <v>0</v>
      </c>
      <c r="H77" s="248">
        <f t="shared" si="128"/>
        <v>0</v>
      </c>
      <c r="I77" s="248">
        <f t="shared" si="128"/>
        <v>0</v>
      </c>
      <c r="J77" s="248">
        <f t="shared" si="128"/>
        <v>0</v>
      </c>
      <c r="K77" s="248">
        <f t="shared" si="128"/>
        <v>0</v>
      </c>
      <c r="L77" s="248">
        <f t="shared" si="128"/>
        <v>0</v>
      </c>
      <c r="M77" s="248">
        <f t="shared" si="128"/>
        <v>0</v>
      </c>
      <c r="N77" s="248">
        <f t="shared" si="128"/>
        <v>0</v>
      </c>
      <c r="O77" s="248">
        <f t="shared" si="128"/>
        <v>0</v>
      </c>
      <c r="P77" s="248">
        <f t="shared" si="128"/>
        <v>0</v>
      </c>
      <c r="Q77" s="248">
        <f t="shared" si="128"/>
        <v>0</v>
      </c>
      <c r="R77" s="248">
        <f t="shared" si="128"/>
        <v>0</v>
      </c>
      <c r="S77" s="248">
        <f t="shared" si="128"/>
        <v>0</v>
      </c>
      <c r="T77" s="248">
        <f t="shared" si="128"/>
        <v>0</v>
      </c>
      <c r="U77" s="248">
        <f t="shared" si="128"/>
        <v>0</v>
      </c>
      <c r="V77" s="248">
        <f t="shared" si="128"/>
        <v>0</v>
      </c>
      <c r="W77" s="248">
        <f t="shared" si="128"/>
        <v>0</v>
      </c>
      <c r="X77" s="248">
        <f t="shared" si="128"/>
        <v>0</v>
      </c>
      <c r="Y77" s="248">
        <f t="shared" si="128"/>
        <v>0</v>
      </c>
      <c r="Z77" s="248">
        <f t="shared" si="128"/>
        <v>0</v>
      </c>
      <c r="AA77" s="248">
        <f t="shared" si="128"/>
        <v>0</v>
      </c>
      <c r="AB77" s="248">
        <f t="shared" si="128"/>
        <v>0</v>
      </c>
      <c r="AC77" s="248">
        <f t="shared" si="128"/>
        <v>0</v>
      </c>
      <c r="AD77" s="248">
        <f t="shared" si="128"/>
        <v>0</v>
      </c>
      <c r="AE77" s="248">
        <f t="shared" si="128"/>
        <v>0</v>
      </c>
      <c r="AF77" s="248">
        <f t="shared" si="128"/>
        <v>0</v>
      </c>
      <c r="AG77" s="248">
        <f t="shared" si="128"/>
        <v>0</v>
      </c>
      <c r="AH77" s="248">
        <f t="shared" si="128"/>
        <v>0</v>
      </c>
      <c r="AI77" s="248">
        <f t="shared" si="128"/>
        <v>0</v>
      </c>
      <c r="AJ77" s="248">
        <f t="shared" ref="AJ77:BM77" si="129">SUM(AJ73:AJ76)</f>
        <v>0</v>
      </c>
      <c r="AK77" s="248">
        <f t="shared" si="129"/>
        <v>0</v>
      </c>
      <c r="AL77" s="248">
        <f t="shared" si="129"/>
        <v>0</v>
      </c>
      <c r="AM77" s="248">
        <f t="shared" si="129"/>
        <v>0</v>
      </c>
      <c r="AN77" s="248">
        <f t="shared" si="129"/>
        <v>0</v>
      </c>
      <c r="AO77" s="248">
        <f t="shared" si="129"/>
        <v>0</v>
      </c>
      <c r="AP77" s="248">
        <f t="shared" si="129"/>
        <v>0</v>
      </c>
      <c r="AQ77" s="248">
        <f t="shared" si="129"/>
        <v>0</v>
      </c>
      <c r="AR77" s="248">
        <f t="shared" si="129"/>
        <v>0</v>
      </c>
      <c r="AS77" s="248">
        <f t="shared" si="129"/>
        <v>0</v>
      </c>
      <c r="AT77" s="248">
        <f t="shared" si="129"/>
        <v>0</v>
      </c>
      <c r="AU77" s="248">
        <f t="shared" si="129"/>
        <v>0</v>
      </c>
      <c r="AV77" s="248">
        <f t="shared" si="129"/>
        <v>0</v>
      </c>
      <c r="AW77" s="248">
        <f t="shared" si="129"/>
        <v>0</v>
      </c>
      <c r="AX77" s="248">
        <f t="shared" si="129"/>
        <v>0</v>
      </c>
      <c r="AY77" s="248">
        <f t="shared" si="129"/>
        <v>0</v>
      </c>
      <c r="AZ77" s="248">
        <f t="shared" si="129"/>
        <v>0</v>
      </c>
      <c r="BA77" s="248">
        <f t="shared" si="129"/>
        <v>0</v>
      </c>
      <c r="BB77" s="248">
        <f t="shared" si="129"/>
        <v>0</v>
      </c>
      <c r="BC77" s="248">
        <f t="shared" si="129"/>
        <v>0</v>
      </c>
      <c r="BD77" s="248">
        <f t="shared" si="129"/>
        <v>0</v>
      </c>
      <c r="BE77" s="248">
        <f t="shared" si="129"/>
        <v>0</v>
      </c>
      <c r="BF77" s="248">
        <f t="shared" si="129"/>
        <v>0</v>
      </c>
      <c r="BG77" s="248">
        <f t="shared" si="129"/>
        <v>0</v>
      </c>
      <c r="BH77" s="248">
        <f t="shared" si="129"/>
        <v>0</v>
      </c>
      <c r="BI77" s="248">
        <f t="shared" si="129"/>
        <v>0</v>
      </c>
      <c r="BJ77" s="248">
        <f t="shared" si="129"/>
        <v>0</v>
      </c>
      <c r="BK77" s="248">
        <f t="shared" si="129"/>
        <v>0</v>
      </c>
      <c r="BL77" s="248">
        <f t="shared" si="129"/>
        <v>0</v>
      </c>
      <c r="BM77" s="248">
        <f t="shared" si="129"/>
        <v>0</v>
      </c>
    </row>
    <row r="78" spans="2:69" ht="15" customHeight="1">
      <c r="B78" s="112" t="s">
        <v>544</v>
      </c>
      <c r="C78" s="113" t="s">
        <v>11</v>
      </c>
      <c r="D78" s="367">
        <f t="shared" si="128"/>
        <v>0</v>
      </c>
      <c r="E78" s="151">
        <f>SUM(E79)</f>
        <v>0</v>
      </c>
      <c r="F78" s="151">
        <f t="shared" ref="F78:BM78" si="130">SUM(F79)</f>
        <v>0</v>
      </c>
      <c r="G78" s="151">
        <f t="shared" si="130"/>
        <v>0</v>
      </c>
      <c r="H78" s="151">
        <f t="shared" si="130"/>
        <v>0</v>
      </c>
      <c r="I78" s="151">
        <f t="shared" si="130"/>
        <v>0</v>
      </c>
      <c r="J78" s="151">
        <f t="shared" si="130"/>
        <v>0</v>
      </c>
      <c r="K78" s="151">
        <f t="shared" si="130"/>
        <v>0</v>
      </c>
      <c r="L78" s="151">
        <f t="shared" si="130"/>
        <v>0</v>
      </c>
      <c r="M78" s="151">
        <f t="shared" si="130"/>
        <v>0</v>
      </c>
      <c r="N78" s="151">
        <f t="shared" si="130"/>
        <v>0</v>
      </c>
      <c r="O78" s="151">
        <f t="shared" si="130"/>
        <v>0</v>
      </c>
      <c r="P78" s="151">
        <f t="shared" si="130"/>
        <v>0</v>
      </c>
      <c r="Q78" s="151">
        <f t="shared" si="130"/>
        <v>0</v>
      </c>
      <c r="R78" s="151">
        <f t="shared" si="130"/>
        <v>0</v>
      </c>
      <c r="S78" s="151">
        <f t="shared" si="130"/>
        <v>0</v>
      </c>
      <c r="T78" s="151">
        <f t="shared" si="130"/>
        <v>0</v>
      </c>
      <c r="U78" s="151">
        <f t="shared" si="130"/>
        <v>0</v>
      </c>
      <c r="V78" s="151">
        <f t="shared" si="130"/>
        <v>0</v>
      </c>
      <c r="W78" s="151">
        <f t="shared" si="130"/>
        <v>0</v>
      </c>
      <c r="X78" s="151">
        <f t="shared" si="130"/>
        <v>0</v>
      </c>
      <c r="Y78" s="151">
        <f t="shared" si="130"/>
        <v>0</v>
      </c>
      <c r="Z78" s="151">
        <f t="shared" si="130"/>
        <v>0</v>
      </c>
      <c r="AA78" s="151">
        <f t="shared" si="130"/>
        <v>0</v>
      </c>
      <c r="AB78" s="151">
        <f t="shared" si="130"/>
        <v>0</v>
      </c>
      <c r="AC78" s="151">
        <f t="shared" si="130"/>
        <v>0</v>
      </c>
      <c r="AD78" s="151">
        <f t="shared" si="130"/>
        <v>0</v>
      </c>
      <c r="AE78" s="151">
        <f t="shared" si="130"/>
        <v>0</v>
      </c>
      <c r="AF78" s="151">
        <f t="shared" si="130"/>
        <v>0</v>
      </c>
      <c r="AG78" s="151">
        <f t="shared" si="130"/>
        <v>0</v>
      </c>
      <c r="AH78" s="151">
        <f t="shared" si="130"/>
        <v>0</v>
      </c>
      <c r="AI78" s="151">
        <f t="shared" si="130"/>
        <v>0</v>
      </c>
      <c r="AJ78" s="151">
        <f t="shared" si="130"/>
        <v>0</v>
      </c>
      <c r="AK78" s="151">
        <f t="shared" si="130"/>
        <v>0</v>
      </c>
      <c r="AL78" s="151">
        <f t="shared" si="130"/>
        <v>0</v>
      </c>
      <c r="AM78" s="151">
        <f t="shared" si="130"/>
        <v>0</v>
      </c>
      <c r="AN78" s="151">
        <f t="shared" si="130"/>
        <v>0</v>
      </c>
      <c r="AO78" s="151">
        <f t="shared" si="130"/>
        <v>0</v>
      </c>
      <c r="AP78" s="151">
        <f t="shared" si="130"/>
        <v>0</v>
      </c>
      <c r="AQ78" s="151">
        <f t="shared" si="130"/>
        <v>0</v>
      </c>
      <c r="AR78" s="151">
        <f t="shared" si="130"/>
        <v>0</v>
      </c>
      <c r="AS78" s="151">
        <f t="shared" si="130"/>
        <v>0</v>
      </c>
      <c r="AT78" s="151">
        <f t="shared" si="130"/>
        <v>0</v>
      </c>
      <c r="AU78" s="151">
        <f t="shared" si="130"/>
        <v>0</v>
      </c>
      <c r="AV78" s="151">
        <f t="shared" si="130"/>
        <v>0</v>
      </c>
      <c r="AW78" s="151">
        <f t="shared" si="130"/>
        <v>0</v>
      </c>
      <c r="AX78" s="151">
        <f t="shared" si="130"/>
        <v>0</v>
      </c>
      <c r="AY78" s="151">
        <f t="shared" si="130"/>
        <v>0</v>
      </c>
      <c r="AZ78" s="151">
        <f t="shared" si="130"/>
        <v>0</v>
      </c>
      <c r="BA78" s="151">
        <f t="shared" si="130"/>
        <v>0</v>
      </c>
      <c r="BB78" s="151">
        <f t="shared" si="130"/>
        <v>0</v>
      </c>
      <c r="BC78" s="151">
        <f t="shared" si="130"/>
        <v>0</v>
      </c>
      <c r="BD78" s="151">
        <f t="shared" si="130"/>
        <v>0</v>
      </c>
      <c r="BE78" s="151">
        <f t="shared" si="130"/>
        <v>0</v>
      </c>
      <c r="BF78" s="151">
        <f t="shared" si="130"/>
        <v>0</v>
      </c>
      <c r="BG78" s="151">
        <f t="shared" si="130"/>
        <v>0</v>
      </c>
      <c r="BH78" s="151">
        <f t="shared" si="130"/>
        <v>0</v>
      </c>
      <c r="BI78" s="151">
        <f t="shared" si="130"/>
        <v>0</v>
      </c>
      <c r="BJ78" s="151">
        <f t="shared" si="130"/>
        <v>0</v>
      </c>
      <c r="BK78" s="151">
        <f t="shared" si="130"/>
        <v>0</v>
      </c>
      <c r="BL78" s="151">
        <f t="shared" si="130"/>
        <v>0</v>
      </c>
      <c r="BM78" s="151">
        <f t="shared" si="130"/>
        <v>0</v>
      </c>
    </row>
    <row r="79" spans="2:69" ht="15" customHeight="1">
      <c r="B79" s="123" t="s">
        <v>800</v>
      </c>
      <c r="C79" s="113" t="s">
        <v>11</v>
      </c>
      <c r="D79" s="367">
        <f t="shared" si="128"/>
        <v>0</v>
      </c>
      <c r="E79" s="335">
        <f>-Предпосылки!D231</f>
        <v>0</v>
      </c>
      <c r="F79" s="335">
        <f>-Предпосылки!E231</f>
        <v>0</v>
      </c>
      <c r="G79" s="335">
        <f>-Предпосылки!F231</f>
        <v>0</v>
      </c>
      <c r="H79" s="335">
        <f>-Предпосылки!G231</f>
        <v>0</v>
      </c>
      <c r="I79" s="335">
        <f>-Предпосылки!H231</f>
        <v>0</v>
      </c>
      <c r="J79" s="335">
        <f>-Предпосылки!I231</f>
        <v>0</v>
      </c>
      <c r="K79" s="335">
        <f>-Предпосылки!J231</f>
        <v>0</v>
      </c>
      <c r="L79" s="335">
        <f>-Предпосылки!K231</f>
        <v>0</v>
      </c>
      <c r="M79" s="335">
        <f>-Предпосылки!L231</f>
        <v>0</v>
      </c>
      <c r="N79" s="335">
        <f>-Предпосылки!M231</f>
        <v>0</v>
      </c>
      <c r="O79" s="335">
        <f>-Предпосылки!N231</f>
        <v>0</v>
      </c>
      <c r="P79" s="335">
        <f>-Предпосылки!O231</f>
        <v>0</v>
      </c>
      <c r="Q79" s="335">
        <f>-Предпосылки!P231</f>
        <v>0</v>
      </c>
      <c r="R79" s="335">
        <f>-Предпосылки!Q231</f>
        <v>0</v>
      </c>
      <c r="S79" s="335">
        <f>-Предпосылки!R231</f>
        <v>0</v>
      </c>
      <c r="T79" s="335">
        <f>-Предпосылки!S231</f>
        <v>0</v>
      </c>
      <c r="U79" s="335">
        <f>-Предпосылки!T231</f>
        <v>0</v>
      </c>
      <c r="V79" s="335">
        <f>-Предпосылки!U231</f>
        <v>0</v>
      </c>
      <c r="W79" s="335">
        <f>-Предпосылки!V231</f>
        <v>0</v>
      </c>
      <c r="X79" s="335">
        <f>-Предпосылки!W231</f>
        <v>0</v>
      </c>
      <c r="Y79" s="335">
        <f>-Предпосылки!X231</f>
        <v>0</v>
      </c>
      <c r="Z79" s="335">
        <f>-Предпосылки!Y231</f>
        <v>0</v>
      </c>
      <c r="AA79" s="335">
        <f>-Предпосылки!Z231</f>
        <v>0</v>
      </c>
      <c r="AB79" s="335">
        <f>-Предпосылки!AA231</f>
        <v>0</v>
      </c>
      <c r="AC79" s="335">
        <f>-Предпосылки!AB231</f>
        <v>0</v>
      </c>
      <c r="AD79" s="335">
        <f>-Предпосылки!AC231</f>
        <v>0</v>
      </c>
      <c r="AE79" s="335">
        <f>-Предпосылки!AD231</f>
        <v>0</v>
      </c>
      <c r="AF79" s="335">
        <f>-Предпосылки!AE231</f>
        <v>0</v>
      </c>
      <c r="AG79" s="335">
        <f>-Предпосылки!AF231</f>
        <v>0</v>
      </c>
      <c r="AH79" s="335">
        <f>-Предпосылки!AG231</f>
        <v>0</v>
      </c>
      <c r="AI79" s="335">
        <f>-Предпосылки!AH231</f>
        <v>0</v>
      </c>
      <c r="AJ79" s="335">
        <f>-Предпосылки!AI231</f>
        <v>0</v>
      </c>
      <c r="AK79" s="335">
        <f>-Предпосылки!AJ231</f>
        <v>0</v>
      </c>
      <c r="AL79" s="335">
        <f>-Предпосылки!AK231</f>
        <v>0</v>
      </c>
      <c r="AM79" s="335">
        <f>-Предпосылки!AL231</f>
        <v>0</v>
      </c>
      <c r="AN79" s="335">
        <f>-Предпосылки!AM231</f>
        <v>0</v>
      </c>
      <c r="AO79" s="335">
        <f>-Предпосылки!AN231</f>
        <v>0</v>
      </c>
      <c r="AP79" s="335">
        <f>-Предпосылки!AO231</f>
        <v>0</v>
      </c>
      <c r="AQ79" s="335">
        <f>-Предпосылки!AP231</f>
        <v>0</v>
      </c>
      <c r="AR79" s="335">
        <f>-Предпосылки!AQ231</f>
        <v>0</v>
      </c>
      <c r="AS79" s="335">
        <f>-Предпосылки!AR231</f>
        <v>0</v>
      </c>
      <c r="AT79" s="335">
        <f>-Предпосылки!AS231</f>
        <v>0</v>
      </c>
      <c r="AU79" s="335">
        <f>-Предпосылки!AT231</f>
        <v>0</v>
      </c>
      <c r="AV79" s="335">
        <f>-Предпосылки!AU231</f>
        <v>0</v>
      </c>
      <c r="AW79" s="335">
        <f>-Предпосылки!AV231</f>
        <v>0</v>
      </c>
      <c r="AX79" s="335">
        <f>-Предпосылки!AW231</f>
        <v>0</v>
      </c>
      <c r="AY79" s="335">
        <f>-Предпосылки!AX231</f>
        <v>0</v>
      </c>
      <c r="AZ79" s="335">
        <f>-Предпосылки!AY231</f>
        <v>0</v>
      </c>
      <c r="BA79" s="335">
        <f>-Предпосылки!AZ231</f>
        <v>0</v>
      </c>
      <c r="BB79" s="335">
        <f>-Предпосылки!BA231</f>
        <v>0</v>
      </c>
      <c r="BC79" s="335">
        <f>-Предпосылки!BB231</f>
        <v>0</v>
      </c>
      <c r="BD79" s="335">
        <f>-Предпосылки!BC231</f>
        <v>0</v>
      </c>
      <c r="BE79" s="335">
        <f>-Предпосылки!BD231</f>
        <v>0</v>
      </c>
      <c r="BF79" s="335">
        <f>-Предпосылки!BE231</f>
        <v>0</v>
      </c>
      <c r="BG79" s="335">
        <f>-Предпосылки!BF231</f>
        <v>0</v>
      </c>
      <c r="BH79" s="335">
        <f>-Предпосылки!BG231</f>
        <v>0</v>
      </c>
      <c r="BI79" s="335">
        <f>-Предпосылки!BH231</f>
        <v>0</v>
      </c>
      <c r="BJ79" s="335">
        <f>-Предпосылки!BI231</f>
        <v>0</v>
      </c>
      <c r="BK79" s="335">
        <f>-Предпосылки!BJ231</f>
        <v>0</v>
      </c>
      <c r="BL79" s="335">
        <f>-Предпосылки!BK231</f>
        <v>0</v>
      </c>
      <c r="BM79" s="335">
        <f>-Предпосылки!BL231</f>
        <v>0</v>
      </c>
    </row>
    <row r="80" spans="2:69" ht="15" customHeight="1"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  <c r="AN80" s="37"/>
      <c r="AO80" s="37"/>
      <c r="AP80" s="37"/>
      <c r="AQ80" s="37"/>
      <c r="AR80" s="37"/>
      <c r="AS80" s="37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  <c r="BM80" s="37"/>
    </row>
    <row r="81" spans="2:71" ht="15" customHeight="1">
      <c r="B81" s="262" t="s">
        <v>110</v>
      </c>
      <c r="C81" s="263" t="s">
        <v>11</v>
      </c>
      <c r="D81" s="261">
        <f t="shared" ref="D81:AI81" si="131">SUM(D70,D77)</f>
        <v>0</v>
      </c>
      <c r="E81" s="261">
        <f t="shared" si="131"/>
        <v>0</v>
      </c>
      <c r="F81" s="261">
        <f t="shared" si="131"/>
        <v>0</v>
      </c>
      <c r="G81" s="261">
        <f t="shared" si="131"/>
        <v>0</v>
      </c>
      <c r="H81" s="261">
        <f t="shared" si="131"/>
        <v>0</v>
      </c>
      <c r="I81" s="261">
        <f t="shared" si="131"/>
        <v>0</v>
      </c>
      <c r="J81" s="261">
        <f t="shared" si="131"/>
        <v>0</v>
      </c>
      <c r="K81" s="261">
        <f t="shared" si="131"/>
        <v>0</v>
      </c>
      <c r="L81" s="261">
        <f t="shared" si="131"/>
        <v>0</v>
      </c>
      <c r="M81" s="261">
        <f t="shared" si="131"/>
        <v>0</v>
      </c>
      <c r="N81" s="261">
        <f t="shared" si="131"/>
        <v>0</v>
      </c>
      <c r="O81" s="261">
        <f t="shared" si="131"/>
        <v>0</v>
      </c>
      <c r="P81" s="261">
        <f t="shared" si="131"/>
        <v>0</v>
      </c>
      <c r="Q81" s="261">
        <f t="shared" si="131"/>
        <v>0</v>
      </c>
      <c r="R81" s="261">
        <f t="shared" si="131"/>
        <v>0</v>
      </c>
      <c r="S81" s="261">
        <f t="shared" si="131"/>
        <v>0</v>
      </c>
      <c r="T81" s="261">
        <f t="shared" si="131"/>
        <v>0</v>
      </c>
      <c r="U81" s="261">
        <f t="shared" si="131"/>
        <v>0</v>
      </c>
      <c r="V81" s="261">
        <f t="shared" si="131"/>
        <v>0</v>
      </c>
      <c r="W81" s="261">
        <f t="shared" si="131"/>
        <v>0</v>
      </c>
      <c r="X81" s="261">
        <f t="shared" si="131"/>
        <v>0</v>
      </c>
      <c r="Y81" s="261">
        <f t="shared" si="131"/>
        <v>0</v>
      </c>
      <c r="Z81" s="261">
        <f t="shared" si="131"/>
        <v>0</v>
      </c>
      <c r="AA81" s="261">
        <f t="shared" si="131"/>
        <v>0</v>
      </c>
      <c r="AB81" s="261">
        <f t="shared" si="131"/>
        <v>0</v>
      </c>
      <c r="AC81" s="261">
        <f t="shared" si="131"/>
        <v>0</v>
      </c>
      <c r="AD81" s="261">
        <f t="shared" si="131"/>
        <v>0</v>
      </c>
      <c r="AE81" s="261">
        <f t="shared" si="131"/>
        <v>0</v>
      </c>
      <c r="AF81" s="261">
        <f t="shared" si="131"/>
        <v>0</v>
      </c>
      <c r="AG81" s="261">
        <f t="shared" si="131"/>
        <v>0</v>
      </c>
      <c r="AH81" s="261">
        <f t="shared" si="131"/>
        <v>0</v>
      </c>
      <c r="AI81" s="261">
        <f t="shared" si="131"/>
        <v>0</v>
      </c>
      <c r="AJ81" s="261">
        <f t="shared" ref="AJ81:BM81" si="132">SUM(AJ70,AJ77)</f>
        <v>0</v>
      </c>
      <c r="AK81" s="261">
        <f t="shared" si="132"/>
        <v>0</v>
      </c>
      <c r="AL81" s="261">
        <f t="shared" si="132"/>
        <v>0</v>
      </c>
      <c r="AM81" s="261">
        <f t="shared" si="132"/>
        <v>0</v>
      </c>
      <c r="AN81" s="261">
        <f t="shared" si="132"/>
        <v>0</v>
      </c>
      <c r="AO81" s="261">
        <f t="shared" si="132"/>
        <v>0</v>
      </c>
      <c r="AP81" s="261">
        <f t="shared" si="132"/>
        <v>0</v>
      </c>
      <c r="AQ81" s="261">
        <f t="shared" si="132"/>
        <v>0</v>
      </c>
      <c r="AR81" s="261">
        <f t="shared" si="132"/>
        <v>0</v>
      </c>
      <c r="AS81" s="261">
        <f t="shared" si="132"/>
        <v>0</v>
      </c>
      <c r="AT81" s="261">
        <f t="shared" si="132"/>
        <v>0</v>
      </c>
      <c r="AU81" s="261">
        <f t="shared" si="132"/>
        <v>0</v>
      </c>
      <c r="AV81" s="261">
        <f t="shared" si="132"/>
        <v>0</v>
      </c>
      <c r="AW81" s="261">
        <f t="shared" si="132"/>
        <v>0</v>
      </c>
      <c r="AX81" s="261">
        <f t="shared" si="132"/>
        <v>0</v>
      </c>
      <c r="AY81" s="261">
        <f t="shared" si="132"/>
        <v>0</v>
      </c>
      <c r="AZ81" s="261">
        <f t="shared" si="132"/>
        <v>0</v>
      </c>
      <c r="BA81" s="261">
        <f t="shared" si="132"/>
        <v>0</v>
      </c>
      <c r="BB81" s="261">
        <f t="shared" si="132"/>
        <v>0</v>
      </c>
      <c r="BC81" s="261">
        <f t="shared" si="132"/>
        <v>0</v>
      </c>
      <c r="BD81" s="261">
        <f t="shared" si="132"/>
        <v>0</v>
      </c>
      <c r="BE81" s="261">
        <f t="shared" si="132"/>
        <v>0</v>
      </c>
      <c r="BF81" s="261">
        <f t="shared" si="132"/>
        <v>0</v>
      </c>
      <c r="BG81" s="261">
        <f t="shared" si="132"/>
        <v>0</v>
      </c>
      <c r="BH81" s="261">
        <f t="shared" si="132"/>
        <v>0</v>
      </c>
      <c r="BI81" s="261">
        <f t="shared" si="132"/>
        <v>0</v>
      </c>
      <c r="BJ81" s="261">
        <f t="shared" si="132"/>
        <v>0</v>
      </c>
      <c r="BK81" s="261">
        <f t="shared" si="132"/>
        <v>0</v>
      </c>
      <c r="BL81" s="261">
        <f t="shared" si="132"/>
        <v>0</v>
      </c>
      <c r="BM81" s="261">
        <f t="shared" si="132"/>
        <v>0</v>
      </c>
    </row>
    <row r="82" spans="2:71" ht="15" customHeight="1">
      <c r="B82" s="37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7"/>
      <c r="AJ82" s="37"/>
      <c r="AK82" s="37"/>
      <c r="AL82" s="37"/>
      <c r="AM82" s="37"/>
      <c r="AN82" s="37"/>
      <c r="AO82" s="37"/>
      <c r="AP82" s="37"/>
      <c r="AQ82" s="37"/>
      <c r="AR82" s="37"/>
      <c r="AS82" s="37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  <c r="BM82" s="37"/>
    </row>
    <row r="83" spans="2:71" ht="21">
      <c r="B83" s="118" t="s">
        <v>107</v>
      </c>
      <c r="C83" s="37"/>
      <c r="D83" s="40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F83" s="41"/>
      <c r="AG83" s="41"/>
      <c r="AH83" s="41"/>
      <c r="AI83" s="41"/>
      <c r="AJ83" s="41"/>
      <c r="AK83" s="41"/>
      <c r="AL83" s="41"/>
      <c r="AM83" s="41"/>
      <c r="AN83" s="41"/>
      <c r="AO83" s="41"/>
      <c r="AP83" s="41"/>
      <c r="AQ83" s="41"/>
      <c r="AR83" s="41"/>
      <c r="AS83" s="41"/>
      <c r="AT83" s="41"/>
      <c r="AU83" s="41"/>
      <c r="AV83" s="41"/>
      <c r="AW83" s="41"/>
      <c r="AX83" s="41"/>
      <c r="AY83" s="41"/>
      <c r="AZ83" s="41"/>
      <c r="BA83" s="41"/>
      <c r="BB83" s="41"/>
      <c r="BC83" s="41"/>
      <c r="BD83" s="41"/>
      <c r="BE83" s="41"/>
      <c r="BF83" s="41"/>
      <c r="BG83" s="41"/>
      <c r="BH83" s="41"/>
      <c r="BI83" s="41"/>
      <c r="BJ83" s="41"/>
      <c r="BK83" s="41"/>
      <c r="BL83" s="41"/>
      <c r="BM83" s="41"/>
      <c r="BN83" s="5"/>
      <c r="BO83" s="5"/>
      <c r="BP83" s="5"/>
      <c r="BQ83" s="5"/>
      <c r="BR83" s="5"/>
      <c r="BS83" s="5"/>
    </row>
    <row r="84" spans="2:71">
      <c r="B84" s="120" t="s">
        <v>195</v>
      </c>
      <c r="C84" s="121"/>
      <c r="D84" s="12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  <c r="AF84" s="41"/>
      <c r="AG84" s="41"/>
      <c r="AH84" s="41"/>
      <c r="AI84" s="41"/>
      <c r="AJ84" s="41"/>
      <c r="AK84" s="41"/>
      <c r="AL84" s="41"/>
      <c r="AM84" s="41"/>
      <c r="AN84" s="41"/>
      <c r="AO84" s="41"/>
      <c r="AP84" s="41"/>
      <c r="AQ84" s="41"/>
      <c r="AR84" s="41"/>
      <c r="AS84" s="41"/>
      <c r="AT84" s="41"/>
      <c r="AU84" s="41"/>
      <c r="AV84" s="41"/>
      <c r="AW84" s="41"/>
      <c r="AX84" s="41"/>
      <c r="AY84" s="41"/>
      <c r="AZ84" s="41"/>
      <c r="BA84" s="41"/>
      <c r="BB84" s="41"/>
      <c r="BC84" s="41"/>
      <c r="BD84" s="41"/>
      <c r="BE84" s="41"/>
      <c r="BF84" s="41"/>
      <c r="BG84" s="41"/>
      <c r="BH84" s="41"/>
      <c r="BI84" s="41"/>
      <c r="BJ84" s="41"/>
      <c r="BK84" s="41"/>
      <c r="BL84" s="41"/>
      <c r="BM84" s="41"/>
      <c r="BN84" s="5"/>
      <c r="BO84" s="5"/>
      <c r="BP84" s="5"/>
      <c r="BQ84" s="5"/>
    </row>
    <row r="85" spans="2:71" ht="15" customHeight="1">
      <c r="B85" s="112" t="s">
        <v>502</v>
      </c>
      <c r="C85" s="113" t="s">
        <v>11</v>
      </c>
      <c r="D85" s="248">
        <f>SUM(E85:BM85)</f>
        <v>0</v>
      </c>
      <c r="E85" s="151">
        <f>SUM(E86:E87)</f>
        <v>0</v>
      </c>
      <c r="F85" s="151">
        <f t="shared" ref="F85:BM85" si="133">SUM(F86:F87)</f>
        <v>0</v>
      </c>
      <c r="G85" s="151">
        <f t="shared" si="133"/>
        <v>0</v>
      </c>
      <c r="H85" s="151">
        <f t="shared" si="133"/>
        <v>0</v>
      </c>
      <c r="I85" s="151">
        <f t="shared" si="133"/>
        <v>0</v>
      </c>
      <c r="J85" s="151">
        <f t="shared" si="133"/>
        <v>0</v>
      </c>
      <c r="K85" s="151">
        <f t="shared" si="133"/>
        <v>0</v>
      </c>
      <c r="L85" s="151">
        <f t="shared" si="133"/>
        <v>0</v>
      </c>
      <c r="M85" s="151">
        <f t="shared" si="133"/>
        <v>0</v>
      </c>
      <c r="N85" s="151">
        <f t="shared" si="133"/>
        <v>0</v>
      </c>
      <c r="O85" s="151">
        <f t="shared" si="133"/>
        <v>0</v>
      </c>
      <c r="P85" s="151">
        <f t="shared" si="133"/>
        <v>0</v>
      </c>
      <c r="Q85" s="151">
        <f t="shared" si="133"/>
        <v>0</v>
      </c>
      <c r="R85" s="151">
        <f t="shared" si="133"/>
        <v>0</v>
      </c>
      <c r="S85" s="151">
        <f t="shared" si="133"/>
        <v>0</v>
      </c>
      <c r="T85" s="151">
        <f t="shared" si="133"/>
        <v>0</v>
      </c>
      <c r="U85" s="151">
        <f t="shared" si="133"/>
        <v>0</v>
      </c>
      <c r="V85" s="151">
        <f t="shared" si="133"/>
        <v>0</v>
      </c>
      <c r="W85" s="151">
        <f t="shared" si="133"/>
        <v>0</v>
      </c>
      <c r="X85" s="151">
        <f t="shared" si="133"/>
        <v>0</v>
      </c>
      <c r="Y85" s="151">
        <f t="shared" si="133"/>
        <v>0</v>
      </c>
      <c r="Z85" s="151">
        <f t="shared" si="133"/>
        <v>0</v>
      </c>
      <c r="AA85" s="151">
        <f t="shared" si="133"/>
        <v>0</v>
      </c>
      <c r="AB85" s="151">
        <f t="shared" si="133"/>
        <v>0</v>
      </c>
      <c r="AC85" s="151">
        <f t="shared" si="133"/>
        <v>0</v>
      </c>
      <c r="AD85" s="151">
        <f t="shared" si="133"/>
        <v>0</v>
      </c>
      <c r="AE85" s="151">
        <f t="shared" si="133"/>
        <v>0</v>
      </c>
      <c r="AF85" s="151">
        <f t="shared" si="133"/>
        <v>0</v>
      </c>
      <c r="AG85" s="151">
        <f t="shared" si="133"/>
        <v>0</v>
      </c>
      <c r="AH85" s="151">
        <f t="shared" si="133"/>
        <v>0</v>
      </c>
      <c r="AI85" s="151">
        <f t="shared" si="133"/>
        <v>0</v>
      </c>
      <c r="AJ85" s="151">
        <f t="shared" si="133"/>
        <v>0</v>
      </c>
      <c r="AK85" s="151">
        <f t="shared" si="133"/>
        <v>0</v>
      </c>
      <c r="AL85" s="151">
        <f t="shared" si="133"/>
        <v>0</v>
      </c>
      <c r="AM85" s="151">
        <f t="shared" si="133"/>
        <v>0</v>
      </c>
      <c r="AN85" s="151">
        <f t="shared" si="133"/>
        <v>0</v>
      </c>
      <c r="AO85" s="151">
        <f t="shared" si="133"/>
        <v>0</v>
      </c>
      <c r="AP85" s="151">
        <f t="shared" si="133"/>
        <v>0</v>
      </c>
      <c r="AQ85" s="151">
        <f t="shared" si="133"/>
        <v>0</v>
      </c>
      <c r="AR85" s="151">
        <f t="shared" si="133"/>
        <v>0</v>
      </c>
      <c r="AS85" s="151">
        <f t="shared" si="133"/>
        <v>0</v>
      </c>
      <c r="AT85" s="151">
        <f t="shared" si="133"/>
        <v>0</v>
      </c>
      <c r="AU85" s="151">
        <f t="shared" si="133"/>
        <v>0</v>
      </c>
      <c r="AV85" s="151">
        <f t="shared" si="133"/>
        <v>0</v>
      </c>
      <c r="AW85" s="151">
        <f t="shared" si="133"/>
        <v>0</v>
      </c>
      <c r="AX85" s="151">
        <f t="shared" si="133"/>
        <v>0</v>
      </c>
      <c r="AY85" s="151">
        <f t="shared" si="133"/>
        <v>0</v>
      </c>
      <c r="AZ85" s="151">
        <f t="shared" si="133"/>
        <v>0</v>
      </c>
      <c r="BA85" s="151">
        <f t="shared" si="133"/>
        <v>0</v>
      </c>
      <c r="BB85" s="151">
        <f t="shared" si="133"/>
        <v>0</v>
      </c>
      <c r="BC85" s="151">
        <f t="shared" si="133"/>
        <v>0</v>
      </c>
      <c r="BD85" s="151">
        <f t="shared" si="133"/>
        <v>0</v>
      </c>
      <c r="BE85" s="151">
        <f t="shared" si="133"/>
        <v>0</v>
      </c>
      <c r="BF85" s="151">
        <f t="shared" si="133"/>
        <v>0</v>
      </c>
      <c r="BG85" s="151">
        <f t="shared" si="133"/>
        <v>0</v>
      </c>
      <c r="BH85" s="151">
        <f t="shared" si="133"/>
        <v>0</v>
      </c>
      <c r="BI85" s="151">
        <f t="shared" si="133"/>
        <v>0</v>
      </c>
      <c r="BJ85" s="151">
        <f t="shared" si="133"/>
        <v>0</v>
      </c>
      <c r="BK85" s="151">
        <f t="shared" si="133"/>
        <v>0</v>
      </c>
      <c r="BL85" s="151">
        <f t="shared" si="133"/>
        <v>0</v>
      </c>
      <c r="BM85" s="151">
        <f t="shared" si="133"/>
        <v>0</v>
      </c>
    </row>
    <row r="86" spans="2:71" ht="15" customHeight="1">
      <c r="B86" s="112" t="s">
        <v>503</v>
      </c>
      <c r="C86" s="113" t="s">
        <v>11</v>
      </c>
      <c r="D86" s="248"/>
      <c r="E86" s="299"/>
      <c r="F86" s="299"/>
      <c r="G86" s="299"/>
      <c r="H86" s="299"/>
      <c r="I86" s="299"/>
      <c r="J86" s="299"/>
      <c r="K86" s="299"/>
      <c r="L86" s="299"/>
      <c r="M86" s="299"/>
      <c r="N86" s="299"/>
      <c r="O86" s="299"/>
      <c r="P86" s="299"/>
      <c r="Q86" s="299"/>
      <c r="R86" s="299"/>
      <c r="S86" s="299"/>
      <c r="T86" s="299"/>
      <c r="U86" s="299"/>
      <c r="V86" s="299"/>
      <c r="W86" s="299"/>
      <c r="X86" s="299"/>
      <c r="Y86" s="299"/>
      <c r="Z86" s="299"/>
      <c r="AA86" s="299"/>
      <c r="AB86" s="299"/>
      <c r="AC86" s="299"/>
      <c r="AD86" s="299"/>
      <c r="AE86" s="299"/>
      <c r="AF86" s="299"/>
      <c r="AG86" s="299"/>
      <c r="AH86" s="299"/>
      <c r="AI86" s="299"/>
      <c r="AJ86" s="299"/>
      <c r="AK86" s="299"/>
      <c r="AL86" s="299"/>
      <c r="AM86" s="299"/>
      <c r="AN86" s="299"/>
      <c r="AO86" s="299"/>
      <c r="AP86" s="299"/>
      <c r="AQ86" s="299"/>
      <c r="AR86" s="299"/>
      <c r="AS86" s="299"/>
      <c r="AT86" s="299"/>
      <c r="AU86" s="299"/>
      <c r="AV86" s="299"/>
      <c r="AW86" s="299"/>
      <c r="AX86" s="299"/>
      <c r="AY86" s="299"/>
      <c r="AZ86" s="299"/>
      <c r="BA86" s="299"/>
      <c r="BB86" s="299"/>
      <c r="BC86" s="299"/>
      <c r="BD86" s="299"/>
      <c r="BE86" s="299"/>
      <c r="BF86" s="299"/>
      <c r="BG86" s="299"/>
      <c r="BH86" s="299"/>
      <c r="BI86" s="299"/>
      <c r="BJ86" s="299"/>
      <c r="BK86" s="299"/>
      <c r="BL86" s="299"/>
      <c r="BM86" s="299"/>
    </row>
    <row r="87" spans="2:71" ht="15" customHeight="1">
      <c r="B87" s="112" t="s">
        <v>504</v>
      </c>
      <c r="C87" s="113" t="s">
        <v>11</v>
      </c>
      <c r="D87" s="248"/>
      <c r="E87" s="299"/>
      <c r="F87" s="299"/>
      <c r="G87" s="299"/>
      <c r="H87" s="299"/>
      <c r="I87" s="299"/>
      <c r="J87" s="299"/>
      <c r="K87" s="299"/>
      <c r="L87" s="299"/>
      <c r="M87" s="299"/>
      <c r="N87" s="299"/>
      <c r="O87" s="299"/>
      <c r="P87" s="299"/>
      <c r="Q87" s="299"/>
      <c r="R87" s="299"/>
      <c r="S87" s="299"/>
      <c r="T87" s="299"/>
      <c r="U87" s="299"/>
      <c r="V87" s="299"/>
      <c r="W87" s="299"/>
      <c r="X87" s="299"/>
      <c r="Y87" s="299"/>
      <c r="Z87" s="299"/>
      <c r="AA87" s="299"/>
      <c r="AB87" s="299"/>
      <c r="AC87" s="299"/>
      <c r="AD87" s="299"/>
      <c r="AE87" s="299"/>
      <c r="AF87" s="299"/>
      <c r="AG87" s="299"/>
      <c r="AH87" s="299"/>
      <c r="AI87" s="299"/>
      <c r="AJ87" s="299"/>
      <c r="AK87" s="299"/>
      <c r="AL87" s="299"/>
      <c r="AM87" s="299"/>
      <c r="AN87" s="299"/>
      <c r="AO87" s="299"/>
      <c r="AP87" s="299"/>
      <c r="AQ87" s="299"/>
      <c r="AR87" s="299"/>
      <c r="AS87" s="299"/>
      <c r="AT87" s="299"/>
      <c r="AU87" s="299"/>
      <c r="AV87" s="299"/>
      <c r="AW87" s="299"/>
      <c r="AX87" s="299"/>
      <c r="AY87" s="299"/>
      <c r="AZ87" s="299"/>
      <c r="BA87" s="299"/>
      <c r="BB87" s="299"/>
      <c r="BC87" s="299"/>
      <c r="BD87" s="299"/>
      <c r="BE87" s="299"/>
      <c r="BF87" s="299"/>
      <c r="BG87" s="299"/>
      <c r="BH87" s="299"/>
      <c r="BI87" s="299"/>
      <c r="BJ87" s="299"/>
      <c r="BK87" s="299"/>
      <c r="BL87" s="299"/>
      <c r="BM87" s="299"/>
    </row>
    <row r="88" spans="2:71" ht="15" customHeight="1">
      <c r="B88" s="112" t="s">
        <v>224</v>
      </c>
      <c r="C88" s="113" t="s">
        <v>11</v>
      </c>
      <c r="D88" s="248">
        <f>SUM(E88:BM88)</f>
        <v>0</v>
      </c>
      <c r="E88" s="299"/>
      <c r="F88" s="292"/>
      <c r="G88" s="292"/>
      <c r="H88" s="292"/>
      <c r="I88" s="292"/>
      <c r="J88" s="292"/>
      <c r="K88" s="292"/>
      <c r="L88" s="292"/>
      <c r="M88" s="292"/>
      <c r="N88" s="292"/>
      <c r="O88" s="292"/>
      <c r="P88" s="292"/>
      <c r="Q88" s="292"/>
      <c r="R88" s="292"/>
      <c r="S88" s="292"/>
      <c r="T88" s="292"/>
      <c r="U88" s="292"/>
      <c r="V88" s="292"/>
      <c r="W88" s="292"/>
      <c r="X88" s="292"/>
      <c r="Y88" s="292"/>
      <c r="Z88" s="292"/>
      <c r="AA88" s="292"/>
      <c r="AB88" s="292"/>
      <c r="AC88" s="292"/>
      <c r="AD88" s="292"/>
      <c r="AE88" s="292"/>
      <c r="AF88" s="292"/>
      <c r="AG88" s="292"/>
      <c r="AH88" s="292"/>
      <c r="AI88" s="292"/>
      <c r="AJ88" s="292"/>
      <c r="AK88" s="292"/>
      <c r="AL88" s="292"/>
      <c r="AM88" s="292"/>
      <c r="AN88" s="292"/>
      <c r="AO88" s="292"/>
      <c r="AP88" s="292"/>
      <c r="AQ88" s="292"/>
      <c r="AR88" s="292"/>
      <c r="AS88" s="292"/>
      <c r="AT88" s="292"/>
      <c r="AU88" s="292"/>
      <c r="AV88" s="292"/>
      <c r="AW88" s="292"/>
      <c r="AX88" s="299"/>
      <c r="AY88" s="299"/>
      <c r="AZ88" s="299"/>
      <c r="BA88" s="299"/>
      <c r="BB88" s="299"/>
      <c r="BC88" s="299"/>
      <c r="BD88" s="299"/>
      <c r="BE88" s="299"/>
      <c r="BF88" s="299"/>
      <c r="BG88" s="299"/>
      <c r="BH88" s="299"/>
      <c r="BI88" s="299"/>
      <c r="BJ88" s="299"/>
      <c r="BK88" s="299"/>
      <c r="BL88" s="299"/>
      <c r="BM88" s="299"/>
    </row>
    <row r="89" spans="2:71" ht="15" customHeight="1">
      <c r="B89" s="112" t="s">
        <v>225</v>
      </c>
      <c r="C89" s="113" t="s">
        <v>11</v>
      </c>
      <c r="D89" s="248">
        <f>SUM(E89:BM89)</f>
        <v>0</v>
      </c>
      <c r="E89" s="299"/>
      <c r="F89" s="292"/>
      <c r="G89" s="292"/>
      <c r="H89" s="292"/>
      <c r="I89" s="292"/>
      <c r="J89" s="292"/>
      <c r="K89" s="292"/>
      <c r="L89" s="292"/>
      <c r="M89" s="292"/>
      <c r="N89" s="292"/>
      <c r="O89" s="292"/>
      <c r="P89" s="292"/>
      <c r="Q89" s="292"/>
      <c r="R89" s="292"/>
      <c r="S89" s="292"/>
      <c r="T89" s="292"/>
      <c r="U89" s="292"/>
      <c r="V89" s="292"/>
      <c r="W89" s="292"/>
      <c r="X89" s="292"/>
      <c r="Y89" s="292"/>
      <c r="Z89" s="292"/>
      <c r="AA89" s="292"/>
      <c r="AB89" s="292"/>
      <c r="AC89" s="292"/>
      <c r="AD89" s="292"/>
      <c r="AE89" s="292"/>
      <c r="AF89" s="292"/>
      <c r="AG89" s="292"/>
      <c r="AH89" s="292"/>
      <c r="AI89" s="292"/>
      <c r="AJ89" s="292"/>
      <c r="AK89" s="292"/>
      <c r="AL89" s="292"/>
      <c r="AM89" s="292"/>
      <c r="AN89" s="292"/>
      <c r="AO89" s="292"/>
      <c r="AP89" s="292"/>
      <c r="AQ89" s="292"/>
      <c r="AR89" s="292"/>
      <c r="AS89" s="292"/>
      <c r="AT89" s="292"/>
      <c r="AU89" s="292"/>
      <c r="AV89" s="292"/>
      <c r="AW89" s="292"/>
      <c r="AX89" s="299"/>
      <c r="AY89" s="299"/>
      <c r="AZ89" s="299"/>
      <c r="BA89" s="299"/>
      <c r="BB89" s="299"/>
      <c r="BC89" s="299"/>
      <c r="BD89" s="299"/>
      <c r="BE89" s="299"/>
      <c r="BF89" s="299"/>
      <c r="BG89" s="299"/>
      <c r="BH89" s="299"/>
      <c r="BI89" s="299"/>
      <c r="BJ89" s="299"/>
      <c r="BK89" s="299"/>
      <c r="BL89" s="299"/>
      <c r="BM89" s="299"/>
    </row>
    <row r="90" spans="2:71" ht="15" customHeight="1">
      <c r="B90" s="112" t="s">
        <v>226</v>
      </c>
      <c r="C90" s="113" t="s">
        <v>11</v>
      </c>
      <c r="D90" s="248">
        <f>SUM(E90:BM90)</f>
        <v>0</v>
      </c>
      <c r="E90" s="299"/>
      <c r="F90" s="292"/>
      <c r="G90" s="292"/>
      <c r="H90" s="292"/>
      <c r="I90" s="292"/>
      <c r="J90" s="292"/>
      <c r="K90" s="292"/>
      <c r="L90" s="292"/>
      <c r="M90" s="292"/>
      <c r="N90" s="292"/>
      <c r="O90" s="292"/>
      <c r="P90" s="292"/>
      <c r="Q90" s="292"/>
      <c r="R90" s="292"/>
      <c r="S90" s="292"/>
      <c r="T90" s="292"/>
      <c r="U90" s="292"/>
      <c r="V90" s="292"/>
      <c r="W90" s="292"/>
      <c r="X90" s="292"/>
      <c r="Y90" s="292"/>
      <c r="Z90" s="292"/>
      <c r="AA90" s="292"/>
      <c r="AB90" s="292"/>
      <c r="AC90" s="292"/>
      <c r="AD90" s="292"/>
      <c r="AE90" s="292"/>
      <c r="AF90" s="292"/>
      <c r="AG90" s="292"/>
      <c r="AH90" s="292"/>
      <c r="AI90" s="292"/>
      <c r="AJ90" s="292"/>
      <c r="AK90" s="292"/>
      <c r="AL90" s="292"/>
      <c r="AM90" s="292"/>
      <c r="AN90" s="292"/>
      <c r="AO90" s="292"/>
      <c r="AP90" s="292"/>
      <c r="AQ90" s="292"/>
      <c r="AR90" s="292"/>
      <c r="AS90" s="292"/>
      <c r="AT90" s="292"/>
      <c r="AU90" s="292"/>
      <c r="AV90" s="292"/>
      <c r="AW90" s="292"/>
      <c r="AX90" s="299"/>
      <c r="AY90" s="299"/>
      <c r="AZ90" s="299"/>
      <c r="BA90" s="299"/>
      <c r="BB90" s="299"/>
      <c r="BC90" s="299"/>
      <c r="BD90" s="299"/>
      <c r="BE90" s="299"/>
      <c r="BF90" s="299"/>
      <c r="BG90" s="299"/>
      <c r="BH90" s="299"/>
      <c r="BI90" s="299"/>
      <c r="BJ90" s="299"/>
      <c r="BK90" s="299"/>
      <c r="BL90" s="299"/>
      <c r="BM90" s="299"/>
    </row>
    <row r="91" spans="2:71" ht="15" customHeight="1">
      <c r="B91" s="112" t="s">
        <v>196</v>
      </c>
      <c r="C91" s="113" t="s">
        <v>11</v>
      </c>
      <c r="D91" s="248">
        <f>SUM(E91:BM91)</f>
        <v>0</v>
      </c>
      <c r="E91" s="299"/>
      <c r="F91" s="292"/>
      <c r="G91" s="292"/>
      <c r="H91" s="292"/>
      <c r="I91" s="292"/>
      <c r="J91" s="292"/>
      <c r="K91" s="292"/>
      <c r="L91" s="292"/>
      <c r="M91" s="292"/>
      <c r="N91" s="292"/>
      <c r="O91" s="292"/>
      <c r="P91" s="292"/>
      <c r="Q91" s="292"/>
      <c r="R91" s="292"/>
      <c r="S91" s="292"/>
      <c r="T91" s="292"/>
      <c r="U91" s="292"/>
      <c r="V91" s="292"/>
      <c r="W91" s="292"/>
      <c r="X91" s="292"/>
      <c r="Y91" s="292"/>
      <c r="Z91" s="292"/>
      <c r="AA91" s="292"/>
      <c r="AB91" s="292"/>
      <c r="AC91" s="292"/>
      <c r="AD91" s="292"/>
      <c r="AE91" s="292"/>
      <c r="AF91" s="292"/>
      <c r="AG91" s="292"/>
      <c r="AH91" s="292"/>
      <c r="AI91" s="292"/>
      <c r="AJ91" s="292"/>
      <c r="AK91" s="292"/>
      <c r="AL91" s="292"/>
      <c r="AM91" s="292"/>
      <c r="AN91" s="292"/>
      <c r="AO91" s="292"/>
      <c r="AP91" s="292"/>
      <c r="AQ91" s="292"/>
      <c r="AR91" s="292"/>
      <c r="AS91" s="292"/>
      <c r="AT91" s="292"/>
      <c r="AU91" s="292"/>
      <c r="AV91" s="292"/>
      <c r="AW91" s="292"/>
      <c r="AX91" s="299"/>
      <c r="AY91" s="299"/>
      <c r="AZ91" s="299"/>
      <c r="BA91" s="299"/>
      <c r="BB91" s="299"/>
      <c r="BC91" s="299"/>
      <c r="BD91" s="299"/>
      <c r="BE91" s="299"/>
      <c r="BF91" s="299"/>
      <c r="BG91" s="299"/>
      <c r="BH91" s="299"/>
      <c r="BI91" s="299"/>
      <c r="BJ91" s="299"/>
      <c r="BK91" s="299"/>
      <c r="BL91" s="299"/>
      <c r="BM91" s="299"/>
    </row>
    <row r="92" spans="2:71" ht="15" customHeight="1">
      <c r="B92" s="259" t="s">
        <v>12</v>
      </c>
      <c r="C92" s="260" t="s">
        <v>11</v>
      </c>
      <c r="D92" s="261">
        <f>SUM(D85:D91)</f>
        <v>0</v>
      </c>
      <c r="E92" s="248">
        <f t="shared" ref="E92:AJ92" si="134">SUM(E85,E88:E91)</f>
        <v>0</v>
      </c>
      <c r="F92" s="248">
        <f t="shared" si="134"/>
        <v>0</v>
      </c>
      <c r="G92" s="248">
        <f t="shared" si="134"/>
        <v>0</v>
      </c>
      <c r="H92" s="248">
        <f t="shared" si="134"/>
        <v>0</v>
      </c>
      <c r="I92" s="248">
        <f t="shared" si="134"/>
        <v>0</v>
      </c>
      <c r="J92" s="248">
        <f t="shared" si="134"/>
        <v>0</v>
      </c>
      <c r="K92" s="248">
        <f t="shared" si="134"/>
        <v>0</v>
      </c>
      <c r="L92" s="248">
        <f t="shared" si="134"/>
        <v>0</v>
      </c>
      <c r="M92" s="248">
        <f t="shared" si="134"/>
        <v>0</v>
      </c>
      <c r="N92" s="248">
        <f t="shared" si="134"/>
        <v>0</v>
      </c>
      <c r="O92" s="248">
        <f t="shared" si="134"/>
        <v>0</v>
      </c>
      <c r="P92" s="248">
        <f t="shared" si="134"/>
        <v>0</v>
      </c>
      <c r="Q92" s="248">
        <f t="shared" si="134"/>
        <v>0</v>
      </c>
      <c r="R92" s="248">
        <f t="shared" si="134"/>
        <v>0</v>
      </c>
      <c r="S92" s="248">
        <f t="shared" si="134"/>
        <v>0</v>
      </c>
      <c r="T92" s="248">
        <f t="shared" si="134"/>
        <v>0</v>
      </c>
      <c r="U92" s="248">
        <f t="shared" si="134"/>
        <v>0</v>
      </c>
      <c r="V92" s="248">
        <f t="shared" si="134"/>
        <v>0</v>
      </c>
      <c r="W92" s="248">
        <f t="shared" si="134"/>
        <v>0</v>
      </c>
      <c r="X92" s="248">
        <f t="shared" si="134"/>
        <v>0</v>
      </c>
      <c r="Y92" s="248">
        <f t="shared" si="134"/>
        <v>0</v>
      </c>
      <c r="Z92" s="248">
        <f t="shared" si="134"/>
        <v>0</v>
      </c>
      <c r="AA92" s="248">
        <f t="shared" si="134"/>
        <v>0</v>
      </c>
      <c r="AB92" s="248">
        <f t="shared" si="134"/>
        <v>0</v>
      </c>
      <c r="AC92" s="248">
        <f t="shared" si="134"/>
        <v>0</v>
      </c>
      <c r="AD92" s="248">
        <f t="shared" si="134"/>
        <v>0</v>
      </c>
      <c r="AE92" s="248">
        <f t="shared" si="134"/>
        <v>0</v>
      </c>
      <c r="AF92" s="248">
        <f t="shared" si="134"/>
        <v>0</v>
      </c>
      <c r="AG92" s="248">
        <f t="shared" si="134"/>
        <v>0</v>
      </c>
      <c r="AH92" s="248">
        <f t="shared" si="134"/>
        <v>0</v>
      </c>
      <c r="AI92" s="248">
        <f t="shared" si="134"/>
        <v>0</v>
      </c>
      <c r="AJ92" s="248">
        <f t="shared" si="134"/>
        <v>0</v>
      </c>
      <c r="AK92" s="248">
        <f t="shared" ref="AK92:BM92" si="135">SUM(AK85,AK88:AK91)</f>
        <v>0</v>
      </c>
      <c r="AL92" s="248">
        <f t="shared" si="135"/>
        <v>0</v>
      </c>
      <c r="AM92" s="248">
        <f t="shared" si="135"/>
        <v>0</v>
      </c>
      <c r="AN92" s="248">
        <f t="shared" si="135"/>
        <v>0</v>
      </c>
      <c r="AO92" s="248">
        <f t="shared" si="135"/>
        <v>0</v>
      </c>
      <c r="AP92" s="248">
        <f t="shared" si="135"/>
        <v>0</v>
      </c>
      <c r="AQ92" s="248">
        <f t="shared" si="135"/>
        <v>0</v>
      </c>
      <c r="AR92" s="248">
        <f t="shared" si="135"/>
        <v>0</v>
      </c>
      <c r="AS92" s="248">
        <f t="shared" si="135"/>
        <v>0</v>
      </c>
      <c r="AT92" s="248">
        <f t="shared" si="135"/>
        <v>0</v>
      </c>
      <c r="AU92" s="248">
        <f t="shared" si="135"/>
        <v>0</v>
      </c>
      <c r="AV92" s="248">
        <f t="shared" si="135"/>
        <v>0</v>
      </c>
      <c r="AW92" s="248">
        <f t="shared" si="135"/>
        <v>0</v>
      </c>
      <c r="AX92" s="248">
        <f t="shared" si="135"/>
        <v>0</v>
      </c>
      <c r="AY92" s="248">
        <f t="shared" si="135"/>
        <v>0</v>
      </c>
      <c r="AZ92" s="248">
        <f t="shared" si="135"/>
        <v>0</v>
      </c>
      <c r="BA92" s="248">
        <f t="shared" si="135"/>
        <v>0</v>
      </c>
      <c r="BB92" s="248">
        <f t="shared" si="135"/>
        <v>0</v>
      </c>
      <c r="BC92" s="248">
        <f t="shared" si="135"/>
        <v>0</v>
      </c>
      <c r="BD92" s="248">
        <f t="shared" si="135"/>
        <v>0</v>
      </c>
      <c r="BE92" s="248">
        <f t="shared" si="135"/>
        <v>0</v>
      </c>
      <c r="BF92" s="248">
        <f t="shared" si="135"/>
        <v>0</v>
      </c>
      <c r="BG92" s="248">
        <f t="shared" si="135"/>
        <v>0</v>
      </c>
      <c r="BH92" s="248">
        <f t="shared" si="135"/>
        <v>0</v>
      </c>
      <c r="BI92" s="248">
        <f t="shared" si="135"/>
        <v>0</v>
      </c>
      <c r="BJ92" s="248">
        <f t="shared" si="135"/>
        <v>0</v>
      </c>
      <c r="BK92" s="248">
        <f t="shared" si="135"/>
        <v>0</v>
      </c>
      <c r="BL92" s="248">
        <f t="shared" si="135"/>
        <v>0</v>
      </c>
      <c r="BM92" s="248">
        <f t="shared" si="135"/>
        <v>0</v>
      </c>
    </row>
    <row r="93" spans="2:71" ht="15" customHeight="1">
      <c r="B93" s="112" t="s">
        <v>544</v>
      </c>
      <c r="C93" s="113" t="s">
        <v>11</v>
      </c>
      <c r="D93" s="248">
        <f t="shared" ref="D93:D95" si="136">SUM(E93:BM93)</f>
        <v>100000</v>
      </c>
      <c r="E93" s="151">
        <f>SUM(E94:E95)</f>
        <v>100000</v>
      </c>
      <c r="F93" s="151">
        <f t="shared" ref="F93:BM93" si="137">SUM(F94:F95)</f>
        <v>0</v>
      </c>
      <c r="G93" s="151">
        <f t="shared" si="137"/>
        <v>0</v>
      </c>
      <c r="H93" s="151">
        <f t="shared" si="137"/>
        <v>0</v>
      </c>
      <c r="I93" s="151">
        <f t="shared" si="137"/>
        <v>0</v>
      </c>
      <c r="J93" s="151">
        <f t="shared" si="137"/>
        <v>0</v>
      </c>
      <c r="K93" s="151">
        <f t="shared" si="137"/>
        <v>0</v>
      </c>
      <c r="L93" s="151">
        <f t="shared" si="137"/>
        <v>0</v>
      </c>
      <c r="M93" s="151">
        <f t="shared" si="137"/>
        <v>0</v>
      </c>
      <c r="N93" s="151">
        <f t="shared" si="137"/>
        <v>0</v>
      </c>
      <c r="O93" s="151">
        <f t="shared" si="137"/>
        <v>0</v>
      </c>
      <c r="P93" s="151">
        <f t="shared" si="137"/>
        <v>0</v>
      </c>
      <c r="Q93" s="151">
        <f t="shared" si="137"/>
        <v>0</v>
      </c>
      <c r="R93" s="151">
        <f t="shared" si="137"/>
        <v>0</v>
      </c>
      <c r="S93" s="151">
        <f t="shared" si="137"/>
        <v>0</v>
      </c>
      <c r="T93" s="151">
        <f t="shared" si="137"/>
        <v>0</v>
      </c>
      <c r="U93" s="151">
        <f t="shared" si="137"/>
        <v>0</v>
      </c>
      <c r="V93" s="151">
        <f t="shared" si="137"/>
        <v>0</v>
      </c>
      <c r="W93" s="151">
        <f t="shared" si="137"/>
        <v>0</v>
      </c>
      <c r="X93" s="151">
        <f t="shared" si="137"/>
        <v>0</v>
      </c>
      <c r="Y93" s="151">
        <f t="shared" si="137"/>
        <v>0</v>
      </c>
      <c r="Z93" s="151">
        <f t="shared" si="137"/>
        <v>0</v>
      </c>
      <c r="AA93" s="151">
        <f t="shared" si="137"/>
        <v>0</v>
      </c>
      <c r="AB93" s="151">
        <f t="shared" si="137"/>
        <v>0</v>
      </c>
      <c r="AC93" s="151">
        <f t="shared" si="137"/>
        <v>0</v>
      </c>
      <c r="AD93" s="151">
        <f t="shared" si="137"/>
        <v>0</v>
      </c>
      <c r="AE93" s="151">
        <f t="shared" si="137"/>
        <v>0</v>
      </c>
      <c r="AF93" s="151">
        <f t="shared" si="137"/>
        <v>0</v>
      </c>
      <c r="AG93" s="151">
        <f t="shared" si="137"/>
        <v>0</v>
      </c>
      <c r="AH93" s="151">
        <f t="shared" si="137"/>
        <v>0</v>
      </c>
      <c r="AI93" s="151">
        <f t="shared" si="137"/>
        <v>0</v>
      </c>
      <c r="AJ93" s="151">
        <f t="shared" si="137"/>
        <v>0</v>
      </c>
      <c r="AK93" s="151">
        <f t="shared" si="137"/>
        <v>0</v>
      </c>
      <c r="AL93" s="151">
        <f t="shared" si="137"/>
        <v>0</v>
      </c>
      <c r="AM93" s="151">
        <f t="shared" si="137"/>
        <v>0</v>
      </c>
      <c r="AN93" s="151">
        <f t="shared" si="137"/>
        <v>0</v>
      </c>
      <c r="AO93" s="151">
        <f t="shared" si="137"/>
        <v>0</v>
      </c>
      <c r="AP93" s="151">
        <f t="shared" si="137"/>
        <v>0</v>
      </c>
      <c r="AQ93" s="151">
        <f t="shared" si="137"/>
        <v>0</v>
      </c>
      <c r="AR93" s="151">
        <f t="shared" si="137"/>
        <v>0</v>
      </c>
      <c r="AS93" s="151">
        <f t="shared" si="137"/>
        <v>0</v>
      </c>
      <c r="AT93" s="151">
        <f t="shared" si="137"/>
        <v>0</v>
      </c>
      <c r="AU93" s="151">
        <f t="shared" si="137"/>
        <v>0</v>
      </c>
      <c r="AV93" s="151">
        <f t="shared" si="137"/>
        <v>0</v>
      </c>
      <c r="AW93" s="151">
        <f t="shared" si="137"/>
        <v>0</v>
      </c>
      <c r="AX93" s="151">
        <f t="shared" si="137"/>
        <v>0</v>
      </c>
      <c r="AY93" s="151">
        <f t="shared" si="137"/>
        <v>0</v>
      </c>
      <c r="AZ93" s="151">
        <f t="shared" si="137"/>
        <v>0</v>
      </c>
      <c r="BA93" s="151">
        <f t="shared" si="137"/>
        <v>0</v>
      </c>
      <c r="BB93" s="151">
        <f t="shared" si="137"/>
        <v>0</v>
      </c>
      <c r="BC93" s="151">
        <f t="shared" si="137"/>
        <v>0</v>
      </c>
      <c r="BD93" s="151">
        <f t="shared" si="137"/>
        <v>0</v>
      </c>
      <c r="BE93" s="151">
        <f t="shared" si="137"/>
        <v>0</v>
      </c>
      <c r="BF93" s="151">
        <f t="shared" si="137"/>
        <v>0</v>
      </c>
      <c r="BG93" s="151">
        <f t="shared" si="137"/>
        <v>0</v>
      </c>
      <c r="BH93" s="151">
        <f t="shared" si="137"/>
        <v>0</v>
      </c>
      <c r="BI93" s="151">
        <f t="shared" si="137"/>
        <v>0</v>
      </c>
      <c r="BJ93" s="151">
        <f t="shared" si="137"/>
        <v>0</v>
      </c>
      <c r="BK93" s="151">
        <f t="shared" si="137"/>
        <v>0</v>
      </c>
      <c r="BL93" s="151">
        <f t="shared" si="137"/>
        <v>0</v>
      </c>
      <c r="BM93" s="151">
        <f t="shared" si="137"/>
        <v>0</v>
      </c>
    </row>
    <row r="94" spans="2:71" ht="15" customHeight="1">
      <c r="B94" s="123" t="s">
        <v>570</v>
      </c>
      <c r="C94" s="113" t="s">
        <v>11</v>
      </c>
      <c r="D94" s="248">
        <f t="shared" si="136"/>
        <v>100000</v>
      </c>
      <c r="E94" s="335">
        <f>Финансирование!E17</f>
        <v>100000</v>
      </c>
      <c r="F94" s="335">
        <f>Финансирование!F17</f>
        <v>0</v>
      </c>
      <c r="G94" s="335">
        <f>Финансирование!G17</f>
        <v>0</v>
      </c>
      <c r="H94" s="335">
        <f>Финансирование!H17</f>
        <v>0</v>
      </c>
      <c r="I94" s="335">
        <f>Финансирование!I17</f>
        <v>0</v>
      </c>
      <c r="J94" s="335">
        <f>Финансирование!J17</f>
        <v>0</v>
      </c>
      <c r="K94" s="335">
        <f>Финансирование!K17</f>
        <v>0</v>
      </c>
      <c r="L94" s="335">
        <f>Финансирование!L17</f>
        <v>0</v>
      </c>
      <c r="M94" s="335">
        <f>Финансирование!M17</f>
        <v>0</v>
      </c>
      <c r="N94" s="335">
        <f>Финансирование!N17</f>
        <v>0</v>
      </c>
      <c r="O94" s="335">
        <f>Финансирование!O17</f>
        <v>0</v>
      </c>
      <c r="P94" s="335">
        <f>Финансирование!P17</f>
        <v>0</v>
      </c>
      <c r="Q94" s="335">
        <f>Финансирование!Q17</f>
        <v>0</v>
      </c>
      <c r="R94" s="335">
        <f>Финансирование!R17</f>
        <v>0</v>
      </c>
      <c r="S94" s="335">
        <f>Финансирование!S17</f>
        <v>0</v>
      </c>
      <c r="T94" s="335">
        <f>Финансирование!T17</f>
        <v>0</v>
      </c>
      <c r="U94" s="335">
        <f>Финансирование!U17</f>
        <v>0</v>
      </c>
      <c r="V94" s="335">
        <f>Финансирование!V17</f>
        <v>0</v>
      </c>
      <c r="W94" s="335">
        <f>Финансирование!W17</f>
        <v>0</v>
      </c>
      <c r="X94" s="335">
        <f>Финансирование!X17</f>
        <v>0</v>
      </c>
      <c r="Y94" s="335">
        <f>Финансирование!Y17</f>
        <v>0</v>
      </c>
      <c r="Z94" s="335">
        <f>Финансирование!Z17</f>
        <v>0</v>
      </c>
      <c r="AA94" s="335">
        <f>Финансирование!AA17</f>
        <v>0</v>
      </c>
      <c r="AB94" s="335">
        <f>Финансирование!AB17</f>
        <v>0</v>
      </c>
      <c r="AC94" s="335">
        <f>Финансирование!AC17</f>
        <v>0</v>
      </c>
      <c r="AD94" s="335">
        <f>Финансирование!AD17</f>
        <v>0</v>
      </c>
      <c r="AE94" s="335">
        <f>Финансирование!AE17</f>
        <v>0</v>
      </c>
      <c r="AF94" s="335">
        <f>Финансирование!AF17</f>
        <v>0</v>
      </c>
      <c r="AG94" s="335">
        <f>Финансирование!AG17</f>
        <v>0</v>
      </c>
      <c r="AH94" s="335">
        <f>Финансирование!AH17</f>
        <v>0</v>
      </c>
      <c r="AI94" s="335">
        <f>Финансирование!AI17</f>
        <v>0</v>
      </c>
      <c r="AJ94" s="335">
        <f>Финансирование!AJ17</f>
        <v>0</v>
      </c>
      <c r="AK94" s="335">
        <f>Финансирование!AK17</f>
        <v>0</v>
      </c>
      <c r="AL94" s="335">
        <f>Финансирование!AL17</f>
        <v>0</v>
      </c>
      <c r="AM94" s="335">
        <f>Финансирование!AM17</f>
        <v>0</v>
      </c>
      <c r="AN94" s="335">
        <f>Финансирование!AN17</f>
        <v>0</v>
      </c>
      <c r="AO94" s="335">
        <f>Финансирование!AO17</f>
        <v>0</v>
      </c>
      <c r="AP94" s="335">
        <f>Финансирование!AP17</f>
        <v>0</v>
      </c>
      <c r="AQ94" s="335">
        <f>Финансирование!AQ17</f>
        <v>0</v>
      </c>
      <c r="AR94" s="335">
        <f>Финансирование!AR17</f>
        <v>0</v>
      </c>
      <c r="AS94" s="335">
        <f>Финансирование!AS17</f>
        <v>0</v>
      </c>
      <c r="AT94" s="335">
        <f>Финансирование!AT17</f>
        <v>0</v>
      </c>
      <c r="AU94" s="335">
        <f>Финансирование!AU17</f>
        <v>0</v>
      </c>
      <c r="AV94" s="335">
        <f>Финансирование!AV17</f>
        <v>0</v>
      </c>
      <c r="AW94" s="335">
        <f>Финансирование!AW17</f>
        <v>0</v>
      </c>
      <c r="AX94" s="335">
        <f>Финансирование!AX17</f>
        <v>0</v>
      </c>
      <c r="AY94" s="335">
        <f>Финансирование!AY17</f>
        <v>0</v>
      </c>
      <c r="AZ94" s="335">
        <f>Финансирование!AZ17</f>
        <v>0</v>
      </c>
      <c r="BA94" s="335">
        <f>Финансирование!BA17</f>
        <v>0</v>
      </c>
      <c r="BB94" s="335">
        <f>Финансирование!BB17</f>
        <v>0</v>
      </c>
      <c r="BC94" s="335">
        <f>Финансирование!BC17</f>
        <v>0</v>
      </c>
      <c r="BD94" s="335">
        <f>Финансирование!BD17</f>
        <v>0</v>
      </c>
      <c r="BE94" s="335">
        <f>Финансирование!BE17</f>
        <v>0</v>
      </c>
      <c r="BF94" s="335">
        <f>Финансирование!BF17</f>
        <v>0</v>
      </c>
      <c r="BG94" s="335">
        <f>Финансирование!BG17</f>
        <v>0</v>
      </c>
      <c r="BH94" s="335">
        <f>Финансирование!BH17</f>
        <v>0</v>
      </c>
      <c r="BI94" s="335">
        <f>Финансирование!BI17</f>
        <v>0</v>
      </c>
      <c r="BJ94" s="335">
        <f>Финансирование!BJ17</f>
        <v>0</v>
      </c>
      <c r="BK94" s="335">
        <f>Финансирование!BK17</f>
        <v>0</v>
      </c>
      <c r="BL94" s="335">
        <f>Финансирование!BL17</f>
        <v>0</v>
      </c>
      <c r="BM94" s="335">
        <f>Финансирование!BM17</f>
        <v>0</v>
      </c>
    </row>
    <row r="95" spans="2:71" ht="15" customHeight="1">
      <c r="B95" s="123" t="s">
        <v>571</v>
      </c>
      <c r="C95" s="113" t="s">
        <v>11</v>
      </c>
      <c r="D95" s="248">
        <f t="shared" si="136"/>
        <v>0</v>
      </c>
      <c r="E95" s="335">
        <f>Финансирование!E30+Финансирование!E45</f>
        <v>0</v>
      </c>
      <c r="F95" s="335">
        <f>Финансирование!F30+Финансирование!F45</f>
        <v>0</v>
      </c>
      <c r="G95" s="335">
        <f>Финансирование!G30+Финансирование!G45</f>
        <v>0</v>
      </c>
      <c r="H95" s="335">
        <f>Финансирование!H30+Финансирование!H45</f>
        <v>0</v>
      </c>
      <c r="I95" s="335">
        <f>Финансирование!I30+Финансирование!I45</f>
        <v>0</v>
      </c>
      <c r="J95" s="335">
        <f>Финансирование!J30+Финансирование!J45</f>
        <v>0</v>
      </c>
      <c r="K95" s="335">
        <f>Финансирование!K30+Финансирование!K45</f>
        <v>0</v>
      </c>
      <c r="L95" s="335">
        <f>Финансирование!L30+Финансирование!L45</f>
        <v>0</v>
      </c>
      <c r="M95" s="335">
        <f>Финансирование!M30+Финансирование!M45</f>
        <v>0</v>
      </c>
      <c r="N95" s="335">
        <f>Финансирование!N30+Финансирование!N45</f>
        <v>0</v>
      </c>
      <c r="O95" s="335">
        <f>Финансирование!O30+Финансирование!O45</f>
        <v>0</v>
      </c>
      <c r="P95" s="335">
        <f>Финансирование!P30+Финансирование!P45</f>
        <v>0</v>
      </c>
      <c r="Q95" s="335">
        <f>Финансирование!Q30+Финансирование!Q45</f>
        <v>0</v>
      </c>
      <c r="R95" s="335">
        <f>Финансирование!R30+Финансирование!R45</f>
        <v>0</v>
      </c>
      <c r="S95" s="335">
        <f>Финансирование!S30+Финансирование!S45</f>
        <v>0</v>
      </c>
      <c r="T95" s="335">
        <f>Финансирование!T30+Финансирование!T45</f>
        <v>0</v>
      </c>
      <c r="U95" s="335">
        <f>Финансирование!U30+Финансирование!U45</f>
        <v>0</v>
      </c>
      <c r="V95" s="335">
        <f>Финансирование!V30+Финансирование!V45</f>
        <v>0</v>
      </c>
      <c r="W95" s="335">
        <f>Финансирование!W30+Финансирование!W45</f>
        <v>0</v>
      </c>
      <c r="X95" s="335">
        <f>Финансирование!X30+Финансирование!X45</f>
        <v>0</v>
      </c>
      <c r="Y95" s="335">
        <f>Финансирование!Y30+Финансирование!Y45</f>
        <v>0</v>
      </c>
      <c r="Z95" s="335">
        <f>Финансирование!Z30+Финансирование!Z45</f>
        <v>0</v>
      </c>
      <c r="AA95" s="335">
        <f>Финансирование!AA30+Финансирование!AA45</f>
        <v>0</v>
      </c>
      <c r="AB95" s="335">
        <f>Финансирование!AB30+Финансирование!AB45</f>
        <v>0</v>
      </c>
      <c r="AC95" s="335">
        <f>Финансирование!AC30+Финансирование!AC45</f>
        <v>0</v>
      </c>
      <c r="AD95" s="335">
        <f>Финансирование!AD30+Финансирование!AD45</f>
        <v>0</v>
      </c>
      <c r="AE95" s="335">
        <f>Финансирование!AE30+Финансирование!AE45</f>
        <v>0</v>
      </c>
      <c r="AF95" s="335">
        <f>Финансирование!AF30+Финансирование!AF45</f>
        <v>0</v>
      </c>
      <c r="AG95" s="335">
        <f>Финансирование!AG30+Финансирование!AG45</f>
        <v>0</v>
      </c>
      <c r="AH95" s="335">
        <f>Финансирование!AH30+Финансирование!AH45</f>
        <v>0</v>
      </c>
      <c r="AI95" s="335">
        <f>Финансирование!AI30+Финансирование!AI45</f>
        <v>0</v>
      </c>
      <c r="AJ95" s="335">
        <f>Финансирование!AJ30+Финансирование!AJ45</f>
        <v>0</v>
      </c>
      <c r="AK95" s="335">
        <f>Финансирование!AK30+Финансирование!AK45</f>
        <v>0</v>
      </c>
      <c r="AL95" s="335">
        <f>Финансирование!AL30+Финансирование!AL45</f>
        <v>0</v>
      </c>
      <c r="AM95" s="335">
        <f>Финансирование!AM30+Финансирование!AM45</f>
        <v>0</v>
      </c>
      <c r="AN95" s="335">
        <f>Финансирование!AN30+Финансирование!AN45</f>
        <v>0</v>
      </c>
      <c r="AO95" s="335">
        <f>Финансирование!AO30+Финансирование!AO45</f>
        <v>0</v>
      </c>
      <c r="AP95" s="335">
        <f>Финансирование!AP30+Финансирование!AP45</f>
        <v>0</v>
      </c>
      <c r="AQ95" s="335">
        <f>Финансирование!AQ30+Финансирование!AQ45</f>
        <v>0</v>
      </c>
      <c r="AR95" s="335">
        <f>Финансирование!AR30+Финансирование!AR45</f>
        <v>0</v>
      </c>
      <c r="AS95" s="335">
        <f>Финансирование!AS30+Финансирование!AS45</f>
        <v>0</v>
      </c>
      <c r="AT95" s="335">
        <f>Финансирование!AT30+Финансирование!AT45</f>
        <v>0</v>
      </c>
      <c r="AU95" s="335">
        <f>Финансирование!AU30+Финансирование!AU45</f>
        <v>0</v>
      </c>
      <c r="AV95" s="335">
        <f>Финансирование!AV30+Финансирование!AV45</f>
        <v>0</v>
      </c>
      <c r="AW95" s="335">
        <f>Финансирование!AW30+Финансирование!AW45</f>
        <v>0</v>
      </c>
      <c r="AX95" s="335">
        <f>Финансирование!AX30+Финансирование!AX45</f>
        <v>0</v>
      </c>
      <c r="AY95" s="335">
        <f>Финансирование!AY30+Финансирование!AY45</f>
        <v>0</v>
      </c>
      <c r="AZ95" s="335">
        <f>Финансирование!AZ30+Финансирование!AZ45</f>
        <v>0</v>
      </c>
      <c r="BA95" s="335">
        <f>Финансирование!BA30+Финансирование!BA45</f>
        <v>0</v>
      </c>
      <c r="BB95" s="335">
        <f>Финансирование!BB30+Финансирование!BB45</f>
        <v>0</v>
      </c>
      <c r="BC95" s="335">
        <f>Финансирование!BC30+Финансирование!BC45</f>
        <v>0</v>
      </c>
      <c r="BD95" s="335">
        <f>Финансирование!BD30+Финансирование!BD45</f>
        <v>0</v>
      </c>
      <c r="BE95" s="335">
        <f>Финансирование!BE30+Финансирование!BE45</f>
        <v>0</v>
      </c>
      <c r="BF95" s="335">
        <f>Финансирование!BF30+Финансирование!BF45</f>
        <v>0</v>
      </c>
      <c r="BG95" s="335">
        <f>Финансирование!BG30+Финансирование!BG45</f>
        <v>0</v>
      </c>
      <c r="BH95" s="335">
        <f>Финансирование!BH30+Финансирование!BH45</f>
        <v>0</v>
      </c>
      <c r="BI95" s="335">
        <f>Финансирование!BI30+Финансирование!BI45</f>
        <v>0</v>
      </c>
      <c r="BJ95" s="335">
        <f>Финансирование!BJ30+Финансирование!BJ45</f>
        <v>0</v>
      </c>
      <c r="BK95" s="335">
        <f>Финансирование!BK30+Финансирование!BK45</f>
        <v>0</v>
      </c>
      <c r="BL95" s="335">
        <f>Финансирование!BL30+Финансирование!BL45</f>
        <v>0</v>
      </c>
      <c r="BM95" s="335">
        <f>Финансирование!BM30+Финансирование!BM45</f>
        <v>0</v>
      </c>
    </row>
    <row r="96" spans="2:71" ht="15" customHeight="1">
      <c r="B96" s="37"/>
      <c r="C96" s="37"/>
      <c r="D96" s="37"/>
      <c r="E96" s="37"/>
      <c r="F96" s="37"/>
      <c r="G96" s="37"/>
      <c r="H96" s="37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37"/>
      <c r="U96" s="37"/>
      <c r="V96" s="37"/>
      <c r="W96" s="37"/>
      <c r="X96" s="37"/>
      <c r="Y96" s="37"/>
      <c r="Z96" s="37"/>
      <c r="AA96" s="37"/>
      <c r="AB96" s="37"/>
      <c r="AC96" s="37"/>
      <c r="AD96" s="37"/>
      <c r="AE96" s="37"/>
      <c r="AF96" s="37"/>
      <c r="AG96" s="37"/>
      <c r="AH96" s="37"/>
      <c r="AI96" s="37"/>
      <c r="AJ96" s="37"/>
      <c r="AK96" s="37"/>
      <c r="AL96" s="37"/>
      <c r="AM96" s="37"/>
      <c r="AN96" s="37"/>
      <c r="AO96" s="37"/>
      <c r="AP96" s="37"/>
      <c r="AQ96" s="37"/>
      <c r="AR96" s="37"/>
      <c r="AS96" s="37"/>
      <c r="AT96" s="37"/>
      <c r="AU96" s="37"/>
      <c r="AV96" s="37"/>
      <c r="AW96" s="37"/>
      <c r="AX96" s="37"/>
      <c r="AY96" s="37"/>
      <c r="AZ96" s="37"/>
      <c r="BA96" s="37"/>
      <c r="BB96" s="37"/>
      <c r="BC96" s="37"/>
      <c r="BD96" s="37"/>
      <c r="BE96" s="37"/>
      <c r="BF96" s="37"/>
      <c r="BG96" s="37"/>
      <c r="BH96" s="37"/>
      <c r="BI96" s="37"/>
      <c r="BJ96" s="37"/>
      <c r="BK96" s="37"/>
      <c r="BL96" s="37"/>
      <c r="BM96" s="37"/>
    </row>
    <row r="97" spans="2:69">
      <c r="B97" s="120" t="s">
        <v>200</v>
      </c>
      <c r="C97" s="121"/>
      <c r="D97" s="121"/>
      <c r="E97" s="41"/>
      <c r="F97" s="41"/>
      <c r="G97" s="41"/>
      <c r="H97" s="41"/>
      <c r="I97" s="41"/>
      <c r="J97" s="41"/>
      <c r="K97" s="41"/>
      <c r="L97" s="41"/>
      <c r="M97" s="41"/>
      <c r="N97" s="41"/>
      <c r="O97" s="41"/>
      <c r="P97" s="41"/>
      <c r="Q97" s="41"/>
      <c r="R97" s="41"/>
      <c r="S97" s="41"/>
      <c r="T97" s="41"/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F97" s="41"/>
      <c r="AG97" s="41"/>
      <c r="AH97" s="41"/>
      <c r="AI97" s="41"/>
      <c r="AJ97" s="41"/>
      <c r="AK97" s="41"/>
      <c r="AL97" s="41"/>
      <c r="AM97" s="41"/>
      <c r="AN97" s="41"/>
      <c r="AO97" s="41"/>
      <c r="AP97" s="41"/>
      <c r="AQ97" s="41"/>
      <c r="AR97" s="41"/>
      <c r="AS97" s="41"/>
      <c r="AT97" s="41"/>
      <c r="AU97" s="41"/>
      <c r="AV97" s="41"/>
      <c r="AW97" s="41"/>
      <c r="AX97" s="41"/>
      <c r="AY97" s="41"/>
      <c r="AZ97" s="41"/>
      <c r="BA97" s="41"/>
      <c r="BB97" s="41"/>
      <c r="BC97" s="41"/>
      <c r="BD97" s="41"/>
      <c r="BE97" s="41"/>
      <c r="BF97" s="41"/>
      <c r="BG97" s="41"/>
      <c r="BH97" s="41"/>
      <c r="BI97" s="41"/>
      <c r="BJ97" s="41"/>
      <c r="BK97" s="41"/>
      <c r="BL97" s="41"/>
      <c r="BM97" s="41"/>
      <c r="BN97" s="5"/>
      <c r="BO97" s="5"/>
      <c r="BP97" s="5"/>
      <c r="BQ97" s="5"/>
    </row>
    <row r="98" spans="2:69" ht="15" customHeight="1">
      <c r="B98" s="112" t="s">
        <v>227</v>
      </c>
      <c r="C98" s="113" t="s">
        <v>11</v>
      </c>
      <c r="D98" s="248">
        <f>SUM(E98:BM98)</f>
        <v>0</v>
      </c>
      <c r="E98" s="299"/>
      <c r="F98" s="292"/>
      <c r="G98" s="292"/>
      <c r="H98" s="292"/>
      <c r="I98" s="292"/>
      <c r="J98" s="292"/>
      <c r="K98" s="292"/>
      <c r="L98" s="292"/>
      <c r="M98" s="292"/>
      <c r="N98" s="292"/>
      <c r="O98" s="292"/>
      <c r="P98" s="292"/>
      <c r="Q98" s="292"/>
      <c r="R98" s="292"/>
      <c r="S98" s="292"/>
      <c r="T98" s="292"/>
      <c r="U98" s="292"/>
      <c r="V98" s="292"/>
      <c r="W98" s="292"/>
      <c r="X98" s="292"/>
      <c r="Y98" s="292"/>
      <c r="Z98" s="292"/>
      <c r="AA98" s="292"/>
      <c r="AB98" s="292"/>
      <c r="AC98" s="292"/>
      <c r="AD98" s="292"/>
      <c r="AE98" s="292"/>
      <c r="AF98" s="292"/>
      <c r="AG98" s="292"/>
      <c r="AH98" s="292"/>
      <c r="AI98" s="292"/>
      <c r="AJ98" s="292"/>
      <c r="AK98" s="292"/>
      <c r="AL98" s="292"/>
      <c r="AM98" s="292"/>
      <c r="AN98" s="292"/>
      <c r="AO98" s="292"/>
      <c r="AP98" s="292"/>
      <c r="AQ98" s="292"/>
      <c r="AR98" s="292"/>
      <c r="AS98" s="292"/>
      <c r="AT98" s="299"/>
      <c r="AU98" s="299"/>
      <c r="AV98" s="299"/>
      <c r="AW98" s="299"/>
      <c r="AX98" s="299"/>
      <c r="AY98" s="299"/>
      <c r="AZ98" s="299"/>
      <c r="BA98" s="299"/>
      <c r="BB98" s="299"/>
      <c r="BC98" s="299"/>
      <c r="BD98" s="299"/>
      <c r="BE98" s="299"/>
      <c r="BF98" s="299"/>
      <c r="BG98" s="299"/>
      <c r="BH98" s="299"/>
      <c r="BI98" s="299"/>
      <c r="BJ98" s="299"/>
      <c r="BK98" s="299"/>
      <c r="BL98" s="299"/>
      <c r="BM98" s="299"/>
    </row>
    <row r="99" spans="2:69" ht="15" customHeight="1">
      <c r="B99" s="112" t="s">
        <v>229</v>
      </c>
      <c r="C99" s="113" t="s">
        <v>11</v>
      </c>
      <c r="D99" s="248">
        <f>SUM(E99:BM99)</f>
        <v>0</v>
      </c>
      <c r="E99" s="299"/>
      <c r="F99" s="292"/>
      <c r="G99" s="292"/>
      <c r="H99" s="292"/>
      <c r="I99" s="292"/>
      <c r="J99" s="292"/>
      <c r="K99" s="292"/>
      <c r="L99" s="292"/>
      <c r="M99" s="292"/>
      <c r="N99" s="292"/>
      <c r="O99" s="292"/>
      <c r="P99" s="292"/>
      <c r="Q99" s="292"/>
      <c r="R99" s="292"/>
      <c r="S99" s="292"/>
      <c r="T99" s="292"/>
      <c r="U99" s="292"/>
      <c r="V99" s="292"/>
      <c r="W99" s="292"/>
      <c r="X99" s="292"/>
      <c r="Y99" s="292"/>
      <c r="Z99" s="292"/>
      <c r="AA99" s="292"/>
      <c r="AB99" s="292"/>
      <c r="AC99" s="292"/>
      <c r="AD99" s="292"/>
      <c r="AE99" s="292"/>
      <c r="AF99" s="292"/>
      <c r="AG99" s="292"/>
      <c r="AH99" s="292"/>
      <c r="AI99" s="292"/>
      <c r="AJ99" s="292"/>
      <c r="AK99" s="292"/>
      <c r="AL99" s="292"/>
      <c r="AM99" s="292"/>
      <c r="AN99" s="292"/>
      <c r="AO99" s="292"/>
      <c r="AP99" s="292"/>
      <c r="AQ99" s="292"/>
      <c r="AR99" s="292"/>
      <c r="AS99" s="292"/>
      <c r="AT99" s="299"/>
      <c r="AU99" s="299"/>
      <c r="AV99" s="299"/>
      <c r="AW99" s="299"/>
      <c r="AX99" s="299"/>
      <c r="AY99" s="299"/>
      <c r="AZ99" s="299"/>
      <c r="BA99" s="299"/>
      <c r="BB99" s="299"/>
      <c r="BC99" s="299"/>
      <c r="BD99" s="299"/>
      <c r="BE99" s="299"/>
      <c r="BF99" s="299"/>
      <c r="BG99" s="299"/>
      <c r="BH99" s="299"/>
      <c r="BI99" s="299"/>
      <c r="BJ99" s="299"/>
      <c r="BK99" s="299"/>
      <c r="BL99" s="299"/>
      <c r="BM99" s="299"/>
    </row>
    <row r="100" spans="2:69" ht="15" customHeight="1">
      <c r="B100" s="112" t="s">
        <v>217</v>
      </c>
      <c r="C100" s="113" t="s">
        <v>11</v>
      </c>
      <c r="D100" s="248">
        <f>SUM(E100:BM100)</f>
        <v>0</v>
      </c>
      <c r="E100" s="151">
        <f>SUM(E101:E102)</f>
        <v>0</v>
      </c>
      <c r="F100" s="151">
        <f t="shared" ref="F100:BM100" si="138">SUM(F101:F102)</f>
        <v>0</v>
      </c>
      <c r="G100" s="151">
        <f t="shared" si="138"/>
        <v>0</v>
      </c>
      <c r="H100" s="151">
        <f t="shared" si="138"/>
        <v>0</v>
      </c>
      <c r="I100" s="151">
        <f t="shared" si="138"/>
        <v>0</v>
      </c>
      <c r="J100" s="151">
        <f t="shared" si="138"/>
        <v>0</v>
      </c>
      <c r="K100" s="151">
        <f t="shared" si="138"/>
        <v>0</v>
      </c>
      <c r="L100" s="151">
        <f t="shared" si="138"/>
        <v>0</v>
      </c>
      <c r="M100" s="151">
        <f t="shared" si="138"/>
        <v>0</v>
      </c>
      <c r="N100" s="151">
        <f t="shared" si="138"/>
        <v>0</v>
      </c>
      <c r="O100" s="151">
        <f t="shared" si="138"/>
        <v>0</v>
      </c>
      <c r="P100" s="151">
        <f t="shared" si="138"/>
        <v>0</v>
      </c>
      <c r="Q100" s="151">
        <f t="shared" si="138"/>
        <v>0</v>
      </c>
      <c r="R100" s="151">
        <f t="shared" si="138"/>
        <v>0</v>
      </c>
      <c r="S100" s="151">
        <f t="shared" si="138"/>
        <v>0</v>
      </c>
      <c r="T100" s="151">
        <f t="shared" si="138"/>
        <v>0</v>
      </c>
      <c r="U100" s="151">
        <f t="shared" si="138"/>
        <v>0</v>
      </c>
      <c r="V100" s="151">
        <f t="shared" si="138"/>
        <v>0</v>
      </c>
      <c r="W100" s="151">
        <f t="shared" si="138"/>
        <v>0</v>
      </c>
      <c r="X100" s="151">
        <f t="shared" si="138"/>
        <v>0</v>
      </c>
      <c r="Y100" s="151">
        <f t="shared" si="138"/>
        <v>0</v>
      </c>
      <c r="Z100" s="151">
        <f t="shared" si="138"/>
        <v>0</v>
      </c>
      <c r="AA100" s="151">
        <f t="shared" si="138"/>
        <v>0</v>
      </c>
      <c r="AB100" s="151">
        <f t="shared" si="138"/>
        <v>0</v>
      </c>
      <c r="AC100" s="151">
        <f t="shared" si="138"/>
        <v>0</v>
      </c>
      <c r="AD100" s="151">
        <f t="shared" si="138"/>
        <v>0</v>
      </c>
      <c r="AE100" s="151">
        <f t="shared" si="138"/>
        <v>0</v>
      </c>
      <c r="AF100" s="151">
        <f t="shared" si="138"/>
        <v>0</v>
      </c>
      <c r="AG100" s="151">
        <f t="shared" si="138"/>
        <v>0</v>
      </c>
      <c r="AH100" s="151">
        <f t="shared" si="138"/>
        <v>0</v>
      </c>
      <c r="AI100" s="151">
        <f t="shared" si="138"/>
        <v>0</v>
      </c>
      <c r="AJ100" s="151">
        <f t="shared" si="138"/>
        <v>0</v>
      </c>
      <c r="AK100" s="151">
        <f t="shared" si="138"/>
        <v>0</v>
      </c>
      <c r="AL100" s="151">
        <f t="shared" si="138"/>
        <v>0</v>
      </c>
      <c r="AM100" s="151">
        <f t="shared" si="138"/>
        <v>0</v>
      </c>
      <c r="AN100" s="151">
        <f t="shared" si="138"/>
        <v>0</v>
      </c>
      <c r="AO100" s="151">
        <f t="shared" si="138"/>
        <v>0</v>
      </c>
      <c r="AP100" s="151">
        <f t="shared" si="138"/>
        <v>0</v>
      </c>
      <c r="AQ100" s="151">
        <f t="shared" si="138"/>
        <v>0</v>
      </c>
      <c r="AR100" s="151">
        <f t="shared" si="138"/>
        <v>0</v>
      </c>
      <c r="AS100" s="151">
        <f t="shared" si="138"/>
        <v>0</v>
      </c>
      <c r="AT100" s="151">
        <f t="shared" si="138"/>
        <v>0</v>
      </c>
      <c r="AU100" s="151">
        <f t="shared" si="138"/>
        <v>0</v>
      </c>
      <c r="AV100" s="151">
        <f t="shared" si="138"/>
        <v>0</v>
      </c>
      <c r="AW100" s="151">
        <f t="shared" si="138"/>
        <v>0</v>
      </c>
      <c r="AX100" s="151">
        <f t="shared" si="138"/>
        <v>0</v>
      </c>
      <c r="AY100" s="151">
        <f t="shared" si="138"/>
        <v>0</v>
      </c>
      <c r="AZ100" s="151">
        <f t="shared" si="138"/>
        <v>0</v>
      </c>
      <c r="BA100" s="151">
        <f t="shared" si="138"/>
        <v>0</v>
      </c>
      <c r="BB100" s="151">
        <f t="shared" si="138"/>
        <v>0</v>
      </c>
      <c r="BC100" s="151">
        <f t="shared" si="138"/>
        <v>0</v>
      </c>
      <c r="BD100" s="151">
        <f t="shared" si="138"/>
        <v>0</v>
      </c>
      <c r="BE100" s="151">
        <f t="shared" si="138"/>
        <v>0</v>
      </c>
      <c r="BF100" s="151">
        <f t="shared" si="138"/>
        <v>0</v>
      </c>
      <c r="BG100" s="151">
        <f t="shared" si="138"/>
        <v>0</v>
      </c>
      <c r="BH100" s="151">
        <f t="shared" si="138"/>
        <v>0</v>
      </c>
      <c r="BI100" s="151">
        <f t="shared" si="138"/>
        <v>0</v>
      </c>
      <c r="BJ100" s="151">
        <f t="shared" si="138"/>
        <v>0</v>
      </c>
      <c r="BK100" s="151">
        <f t="shared" si="138"/>
        <v>0</v>
      </c>
      <c r="BL100" s="151">
        <f t="shared" si="138"/>
        <v>0</v>
      </c>
      <c r="BM100" s="151">
        <f t="shared" si="138"/>
        <v>0</v>
      </c>
    </row>
    <row r="101" spans="2:69" ht="15" customHeight="1">
      <c r="B101" s="112" t="s">
        <v>505</v>
      </c>
      <c r="C101" s="113" t="s">
        <v>11</v>
      </c>
      <c r="D101" s="248">
        <f t="shared" ref="D101:D103" si="139">SUM(E101:BM101)</f>
        <v>0</v>
      </c>
      <c r="E101" s="299"/>
      <c r="F101" s="292"/>
      <c r="G101" s="292"/>
      <c r="H101" s="292"/>
      <c r="I101" s="292"/>
      <c r="J101" s="292"/>
      <c r="K101" s="292"/>
      <c r="L101" s="292"/>
      <c r="M101" s="292"/>
      <c r="N101" s="292"/>
      <c r="O101" s="292"/>
      <c r="P101" s="292"/>
      <c r="Q101" s="292"/>
      <c r="R101" s="292"/>
      <c r="S101" s="292"/>
      <c r="T101" s="292"/>
      <c r="U101" s="292"/>
      <c r="V101" s="292"/>
      <c r="W101" s="292"/>
      <c r="X101" s="292"/>
      <c r="Y101" s="292"/>
      <c r="Z101" s="292"/>
      <c r="AA101" s="292"/>
      <c r="AB101" s="292"/>
      <c r="AC101" s="292"/>
      <c r="AD101" s="299"/>
      <c r="AE101" s="299"/>
      <c r="AF101" s="299"/>
      <c r="AG101" s="299"/>
      <c r="AH101" s="299"/>
      <c r="AI101" s="299"/>
      <c r="AJ101" s="299"/>
      <c r="AK101" s="299"/>
      <c r="AL101" s="299"/>
      <c r="AM101" s="299"/>
      <c r="AN101" s="299"/>
      <c r="AO101" s="299"/>
      <c r="AP101" s="299"/>
      <c r="AQ101" s="299"/>
      <c r="AR101" s="299"/>
      <c r="AS101" s="299"/>
      <c r="AT101" s="299"/>
      <c r="AU101" s="299"/>
      <c r="AV101" s="299"/>
      <c r="AW101" s="299"/>
      <c r="AX101" s="299"/>
      <c r="AY101" s="299"/>
      <c r="AZ101" s="299"/>
      <c r="BA101" s="299"/>
      <c r="BB101" s="299"/>
      <c r="BC101" s="299"/>
      <c r="BD101" s="299"/>
      <c r="BE101" s="299"/>
      <c r="BF101" s="299"/>
      <c r="BG101" s="299"/>
      <c r="BH101" s="299"/>
      <c r="BI101" s="299"/>
      <c r="BJ101" s="299"/>
      <c r="BK101" s="299"/>
      <c r="BL101" s="299"/>
      <c r="BM101" s="299"/>
    </row>
    <row r="102" spans="2:69" ht="15" customHeight="1">
      <c r="B102" s="112" t="s">
        <v>506</v>
      </c>
      <c r="C102" s="113" t="s">
        <v>11</v>
      </c>
      <c r="D102" s="248">
        <f t="shared" si="139"/>
        <v>0</v>
      </c>
      <c r="E102" s="299"/>
      <c r="F102" s="299"/>
      <c r="G102" s="299"/>
      <c r="H102" s="299"/>
      <c r="I102" s="299"/>
      <c r="J102" s="299"/>
      <c r="K102" s="299"/>
      <c r="L102" s="299"/>
      <c r="M102" s="299"/>
      <c r="N102" s="299"/>
      <c r="O102" s="299"/>
      <c r="P102" s="299"/>
      <c r="Q102" s="299"/>
      <c r="R102" s="299"/>
      <c r="S102" s="299"/>
      <c r="T102" s="299"/>
      <c r="U102" s="299"/>
      <c r="V102" s="299"/>
      <c r="W102" s="299"/>
      <c r="X102" s="299"/>
      <c r="Y102" s="299"/>
      <c r="Z102" s="299"/>
      <c r="AA102" s="299"/>
      <c r="AB102" s="299"/>
      <c r="AC102" s="299"/>
      <c r="AD102" s="292"/>
      <c r="AE102" s="292"/>
      <c r="AF102" s="292"/>
      <c r="AG102" s="292"/>
      <c r="AH102" s="292"/>
      <c r="AI102" s="292"/>
      <c r="AJ102" s="292"/>
      <c r="AK102" s="292"/>
      <c r="AL102" s="292"/>
      <c r="AM102" s="292"/>
      <c r="AN102" s="292"/>
      <c r="AO102" s="292"/>
      <c r="AP102" s="292"/>
      <c r="AQ102" s="292"/>
      <c r="AR102" s="292"/>
      <c r="AS102" s="292"/>
      <c r="AT102" s="292"/>
      <c r="AU102" s="292"/>
      <c r="AV102" s="292"/>
      <c r="AW102" s="292"/>
      <c r="AX102" s="292"/>
      <c r="AY102" s="292"/>
      <c r="AZ102" s="292"/>
      <c r="BA102" s="292"/>
      <c r="BB102" s="299"/>
      <c r="BC102" s="299"/>
      <c r="BD102" s="299"/>
      <c r="BE102" s="299"/>
      <c r="BF102" s="299"/>
      <c r="BG102" s="299"/>
      <c r="BH102" s="299"/>
      <c r="BI102" s="299"/>
      <c r="BJ102" s="299"/>
      <c r="BK102" s="299"/>
      <c r="BL102" s="299"/>
      <c r="BM102" s="299"/>
    </row>
    <row r="103" spans="2:69" ht="15" customHeight="1">
      <c r="B103" s="112" t="s">
        <v>203</v>
      </c>
      <c r="C103" s="113" t="s">
        <v>11</v>
      </c>
      <c r="D103" s="248">
        <f t="shared" si="139"/>
        <v>0</v>
      </c>
      <c r="E103" s="299"/>
      <c r="F103" s="292"/>
      <c r="G103" s="292"/>
      <c r="H103" s="292"/>
      <c r="I103" s="292"/>
      <c r="J103" s="292"/>
      <c r="K103" s="292"/>
      <c r="L103" s="292"/>
      <c r="M103" s="292"/>
      <c r="N103" s="292"/>
      <c r="O103" s="292"/>
      <c r="P103" s="292"/>
      <c r="Q103" s="292"/>
      <c r="R103" s="292"/>
      <c r="S103" s="292"/>
      <c r="T103" s="292"/>
      <c r="U103" s="292"/>
      <c r="V103" s="292"/>
      <c r="W103" s="292"/>
      <c r="X103" s="292"/>
      <c r="Y103" s="292"/>
      <c r="Z103" s="292"/>
      <c r="AA103" s="292"/>
      <c r="AB103" s="292"/>
      <c r="AC103" s="292"/>
      <c r="AD103" s="292"/>
      <c r="AE103" s="292"/>
      <c r="AF103" s="292"/>
      <c r="AG103" s="292"/>
      <c r="AH103" s="292"/>
      <c r="AI103" s="292"/>
      <c r="AJ103" s="292"/>
      <c r="AK103" s="292"/>
      <c r="AL103" s="292"/>
      <c r="AM103" s="292"/>
      <c r="AN103" s="292"/>
      <c r="AO103" s="292"/>
      <c r="AP103" s="292"/>
      <c r="AQ103" s="292"/>
      <c r="AR103" s="292"/>
      <c r="AS103" s="292"/>
      <c r="AT103" s="292"/>
      <c r="AU103" s="292"/>
      <c r="AV103" s="292"/>
      <c r="AW103" s="292"/>
      <c r="AX103" s="292"/>
      <c r="AY103" s="292"/>
      <c r="AZ103" s="292"/>
      <c r="BA103" s="292"/>
      <c r="BB103" s="299"/>
      <c r="BC103" s="299"/>
      <c r="BD103" s="299"/>
      <c r="BE103" s="299"/>
      <c r="BF103" s="299"/>
      <c r="BG103" s="299"/>
      <c r="BH103" s="299"/>
      <c r="BI103" s="299"/>
      <c r="BJ103" s="299"/>
      <c r="BK103" s="299"/>
      <c r="BL103" s="299"/>
      <c r="BM103" s="299"/>
    </row>
    <row r="104" spans="2:69" ht="15" customHeight="1">
      <c r="B104" s="259" t="s">
        <v>12</v>
      </c>
      <c r="C104" s="260" t="s">
        <v>11</v>
      </c>
      <c r="D104" s="261">
        <f t="shared" ref="D104" si="140">SUM(D98:D100)</f>
        <v>0</v>
      </c>
      <c r="E104" s="248">
        <f>SUM(E98:E100,E103)</f>
        <v>0</v>
      </c>
      <c r="F104" s="248">
        <f t="shared" ref="F104:BM104" si="141">SUM(F98:F100,F103)</f>
        <v>0</v>
      </c>
      <c r="G104" s="248">
        <f t="shared" si="141"/>
        <v>0</v>
      </c>
      <c r="H104" s="248">
        <f t="shared" si="141"/>
        <v>0</v>
      </c>
      <c r="I104" s="248">
        <f t="shared" si="141"/>
        <v>0</v>
      </c>
      <c r="J104" s="248">
        <f t="shared" si="141"/>
        <v>0</v>
      </c>
      <c r="K104" s="248">
        <f t="shared" si="141"/>
        <v>0</v>
      </c>
      <c r="L104" s="248">
        <f t="shared" si="141"/>
        <v>0</v>
      </c>
      <c r="M104" s="248">
        <f t="shared" si="141"/>
        <v>0</v>
      </c>
      <c r="N104" s="248">
        <f t="shared" si="141"/>
        <v>0</v>
      </c>
      <c r="O104" s="248">
        <f t="shared" si="141"/>
        <v>0</v>
      </c>
      <c r="P104" s="248">
        <f t="shared" si="141"/>
        <v>0</v>
      </c>
      <c r="Q104" s="248">
        <f t="shared" si="141"/>
        <v>0</v>
      </c>
      <c r="R104" s="248">
        <f t="shared" si="141"/>
        <v>0</v>
      </c>
      <c r="S104" s="248">
        <f t="shared" si="141"/>
        <v>0</v>
      </c>
      <c r="T104" s="248">
        <f t="shared" si="141"/>
        <v>0</v>
      </c>
      <c r="U104" s="248">
        <f t="shared" si="141"/>
        <v>0</v>
      </c>
      <c r="V104" s="248">
        <f t="shared" si="141"/>
        <v>0</v>
      </c>
      <c r="W104" s="248">
        <f t="shared" si="141"/>
        <v>0</v>
      </c>
      <c r="X104" s="248">
        <f t="shared" si="141"/>
        <v>0</v>
      </c>
      <c r="Y104" s="248">
        <f t="shared" si="141"/>
        <v>0</v>
      </c>
      <c r="Z104" s="248">
        <f t="shared" si="141"/>
        <v>0</v>
      </c>
      <c r="AA104" s="248">
        <f t="shared" si="141"/>
        <v>0</v>
      </c>
      <c r="AB104" s="248">
        <f t="shared" si="141"/>
        <v>0</v>
      </c>
      <c r="AC104" s="248">
        <f t="shared" si="141"/>
        <v>0</v>
      </c>
      <c r="AD104" s="248">
        <f t="shared" si="141"/>
        <v>0</v>
      </c>
      <c r="AE104" s="248">
        <f t="shared" si="141"/>
        <v>0</v>
      </c>
      <c r="AF104" s="248">
        <f t="shared" si="141"/>
        <v>0</v>
      </c>
      <c r="AG104" s="248">
        <f t="shared" si="141"/>
        <v>0</v>
      </c>
      <c r="AH104" s="248">
        <f t="shared" si="141"/>
        <v>0</v>
      </c>
      <c r="AI104" s="248">
        <f t="shared" si="141"/>
        <v>0</v>
      </c>
      <c r="AJ104" s="248">
        <f t="shared" si="141"/>
        <v>0</v>
      </c>
      <c r="AK104" s="248">
        <f t="shared" si="141"/>
        <v>0</v>
      </c>
      <c r="AL104" s="248">
        <f t="shared" si="141"/>
        <v>0</v>
      </c>
      <c r="AM104" s="248">
        <f t="shared" si="141"/>
        <v>0</v>
      </c>
      <c r="AN104" s="248">
        <f t="shared" si="141"/>
        <v>0</v>
      </c>
      <c r="AO104" s="248">
        <f t="shared" si="141"/>
        <v>0</v>
      </c>
      <c r="AP104" s="248">
        <f t="shared" si="141"/>
        <v>0</v>
      </c>
      <c r="AQ104" s="248">
        <f t="shared" si="141"/>
        <v>0</v>
      </c>
      <c r="AR104" s="248">
        <f t="shared" si="141"/>
        <v>0</v>
      </c>
      <c r="AS104" s="248">
        <f t="shared" si="141"/>
        <v>0</v>
      </c>
      <c r="AT104" s="248">
        <f t="shared" si="141"/>
        <v>0</v>
      </c>
      <c r="AU104" s="248">
        <f t="shared" si="141"/>
        <v>0</v>
      </c>
      <c r="AV104" s="248">
        <f t="shared" si="141"/>
        <v>0</v>
      </c>
      <c r="AW104" s="248">
        <f t="shared" si="141"/>
        <v>0</v>
      </c>
      <c r="AX104" s="248">
        <f t="shared" si="141"/>
        <v>0</v>
      </c>
      <c r="AY104" s="248">
        <f t="shared" si="141"/>
        <v>0</v>
      </c>
      <c r="AZ104" s="248">
        <f t="shared" si="141"/>
        <v>0</v>
      </c>
      <c r="BA104" s="248">
        <f t="shared" si="141"/>
        <v>0</v>
      </c>
      <c r="BB104" s="248">
        <f t="shared" si="141"/>
        <v>0</v>
      </c>
      <c r="BC104" s="248">
        <f t="shared" si="141"/>
        <v>0</v>
      </c>
      <c r="BD104" s="248">
        <f t="shared" si="141"/>
        <v>0</v>
      </c>
      <c r="BE104" s="248">
        <f t="shared" si="141"/>
        <v>0</v>
      </c>
      <c r="BF104" s="248">
        <f t="shared" si="141"/>
        <v>0</v>
      </c>
      <c r="BG104" s="248">
        <f t="shared" si="141"/>
        <v>0</v>
      </c>
      <c r="BH104" s="248">
        <f t="shared" si="141"/>
        <v>0</v>
      </c>
      <c r="BI104" s="248">
        <f t="shared" si="141"/>
        <v>0</v>
      </c>
      <c r="BJ104" s="248">
        <f t="shared" si="141"/>
        <v>0</v>
      </c>
      <c r="BK104" s="248">
        <f t="shared" si="141"/>
        <v>0</v>
      </c>
      <c r="BL104" s="248">
        <f t="shared" si="141"/>
        <v>0</v>
      </c>
      <c r="BM104" s="248">
        <f t="shared" si="141"/>
        <v>0</v>
      </c>
    </row>
    <row r="105" spans="2:69" ht="15" customHeight="1">
      <c r="B105" s="112" t="s">
        <v>544</v>
      </c>
      <c r="C105" s="113" t="s">
        <v>11</v>
      </c>
      <c r="D105" s="248">
        <f t="shared" ref="D105:D108" si="142">SUM(E105:BM105)</f>
        <v>-100000</v>
      </c>
      <c r="E105" s="151">
        <f>SUM(E106:E108)</f>
        <v>0</v>
      </c>
      <c r="F105" s="151">
        <f t="shared" ref="F105:BM105" si="143">SUM(F106:F108)</f>
        <v>0</v>
      </c>
      <c r="G105" s="151">
        <f t="shared" si="143"/>
        <v>0</v>
      </c>
      <c r="H105" s="151">
        <f t="shared" si="143"/>
        <v>0</v>
      </c>
      <c r="I105" s="151">
        <f t="shared" si="143"/>
        <v>0</v>
      </c>
      <c r="J105" s="151">
        <f t="shared" si="143"/>
        <v>0</v>
      </c>
      <c r="K105" s="151">
        <f t="shared" si="143"/>
        <v>0</v>
      </c>
      <c r="L105" s="151">
        <f t="shared" si="143"/>
        <v>0</v>
      </c>
      <c r="M105" s="151">
        <f t="shared" si="143"/>
        <v>0</v>
      </c>
      <c r="N105" s="151">
        <f t="shared" si="143"/>
        <v>0</v>
      </c>
      <c r="O105" s="151">
        <f t="shared" si="143"/>
        <v>0</v>
      </c>
      <c r="P105" s="151">
        <f t="shared" si="143"/>
        <v>0</v>
      </c>
      <c r="Q105" s="151">
        <f t="shared" si="143"/>
        <v>0</v>
      </c>
      <c r="R105" s="151">
        <f t="shared" si="143"/>
        <v>0</v>
      </c>
      <c r="S105" s="151">
        <f t="shared" si="143"/>
        <v>-25000</v>
      </c>
      <c r="T105" s="151">
        <f t="shared" si="143"/>
        <v>-12500</v>
      </c>
      <c r="U105" s="151">
        <f t="shared" si="143"/>
        <v>-12500</v>
      </c>
      <c r="V105" s="151">
        <f t="shared" si="143"/>
        <v>0</v>
      </c>
      <c r="W105" s="151">
        <f t="shared" si="143"/>
        <v>-25000</v>
      </c>
      <c r="X105" s="151">
        <f t="shared" si="143"/>
        <v>-12500</v>
      </c>
      <c r="Y105" s="151">
        <f t="shared" si="143"/>
        <v>-12500</v>
      </c>
      <c r="Z105" s="151">
        <f t="shared" si="143"/>
        <v>0</v>
      </c>
      <c r="AA105" s="151">
        <f t="shared" si="143"/>
        <v>0</v>
      </c>
      <c r="AB105" s="151">
        <f t="shared" si="143"/>
        <v>0</v>
      </c>
      <c r="AC105" s="151">
        <f t="shared" si="143"/>
        <v>0</v>
      </c>
      <c r="AD105" s="151">
        <f t="shared" si="143"/>
        <v>0</v>
      </c>
      <c r="AE105" s="151">
        <f t="shared" si="143"/>
        <v>0</v>
      </c>
      <c r="AF105" s="151">
        <f t="shared" si="143"/>
        <v>0</v>
      </c>
      <c r="AG105" s="151">
        <f t="shared" si="143"/>
        <v>0</v>
      </c>
      <c r="AH105" s="151">
        <f t="shared" si="143"/>
        <v>0</v>
      </c>
      <c r="AI105" s="151">
        <f t="shared" si="143"/>
        <v>0</v>
      </c>
      <c r="AJ105" s="151">
        <f t="shared" si="143"/>
        <v>0</v>
      </c>
      <c r="AK105" s="151">
        <f t="shared" si="143"/>
        <v>0</v>
      </c>
      <c r="AL105" s="151">
        <f t="shared" si="143"/>
        <v>0</v>
      </c>
      <c r="AM105" s="151">
        <f t="shared" si="143"/>
        <v>0</v>
      </c>
      <c r="AN105" s="151">
        <f t="shared" si="143"/>
        <v>0</v>
      </c>
      <c r="AO105" s="151">
        <f t="shared" si="143"/>
        <v>0</v>
      </c>
      <c r="AP105" s="151">
        <f t="shared" si="143"/>
        <v>0</v>
      </c>
      <c r="AQ105" s="151">
        <f t="shared" si="143"/>
        <v>0</v>
      </c>
      <c r="AR105" s="151">
        <f t="shared" si="143"/>
        <v>0</v>
      </c>
      <c r="AS105" s="151">
        <f t="shared" si="143"/>
        <v>0</v>
      </c>
      <c r="AT105" s="151">
        <f t="shared" si="143"/>
        <v>0</v>
      </c>
      <c r="AU105" s="151">
        <f t="shared" si="143"/>
        <v>0</v>
      </c>
      <c r="AV105" s="151">
        <f t="shared" si="143"/>
        <v>0</v>
      </c>
      <c r="AW105" s="151">
        <f t="shared" si="143"/>
        <v>0</v>
      </c>
      <c r="AX105" s="151">
        <f t="shared" si="143"/>
        <v>0</v>
      </c>
      <c r="AY105" s="151">
        <f t="shared" si="143"/>
        <v>0</v>
      </c>
      <c r="AZ105" s="151">
        <f t="shared" si="143"/>
        <v>0</v>
      </c>
      <c r="BA105" s="151">
        <f t="shared" si="143"/>
        <v>0</v>
      </c>
      <c r="BB105" s="151">
        <f t="shared" si="143"/>
        <v>0</v>
      </c>
      <c r="BC105" s="151">
        <f t="shared" si="143"/>
        <v>0</v>
      </c>
      <c r="BD105" s="151">
        <f t="shared" si="143"/>
        <v>0</v>
      </c>
      <c r="BE105" s="151">
        <f t="shared" si="143"/>
        <v>0</v>
      </c>
      <c r="BF105" s="151">
        <f t="shared" si="143"/>
        <v>0</v>
      </c>
      <c r="BG105" s="151">
        <f t="shared" si="143"/>
        <v>0</v>
      </c>
      <c r="BH105" s="151">
        <f t="shared" si="143"/>
        <v>0</v>
      </c>
      <c r="BI105" s="151">
        <f t="shared" si="143"/>
        <v>0</v>
      </c>
      <c r="BJ105" s="151">
        <f t="shared" si="143"/>
        <v>0</v>
      </c>
      <c r="BK105" s="151">
        <f t="shared" si="143"/>
        <v>0</v>
      </c>
      <c r="BL105" s="151">
        <f t="shared" si="143"/>
        <v>0</v>
      </c>
      <c r="BM105" s="151">
        <f t="shared" si="143"/>
        <v>0</v>
      </c>
    </row>
    <row r="106" spans="2:69" ht="15" customHeight="1">
      <c r="B106" s="123" t="s">
        <v>565</v>
      </c>
      <c r="C106" s="113" t="s">
        <v>11</v>
      </c>
      <c r="D106" s="248">
        <f t="shared" si="142"/>
        <v>-100000</v>
      </c>
      <c r="E106" s="151">
        <f>Финансирование!E18</f>
        <v>0</v>
      </c>
      <c r="F106" s="151">
        <f>Финансирование!F18</f>
        <v>0</v>
      </c>
      <c r="G106" s="151">
        <f>Финансирование!G18</f>
        <v>0</v>
      </c>
      <c r="H106" s="151">
        <f>Финансирование!H18</f>
        <v>0</v>
      </c>
      <c r="I106" s="151">
        <f>Финансирование!I18</f>
        <v>0</v>
      </c>
      <c r="J106" s="151">
        <f>Финансирование!J18</f>
        <v>0</v>
      </c>
      <c r="K106" s="151">
        <f>Финансирование!K18</f>
        <v>0</v>
      </c>
      <c r="L106" s="151">
        <f>Финансирование!L18</f>
        <v>0</v>
      </c>
      <c r="M106" s="151">
        <f>Финансирование!M18</f>
        <v>0</v>
      </c>
      <c r="N106" s="151">
        <f>Финансирование!N18</f>
        <v>0</v>
      </c>
      <c r="O106" s="151">
        <f>Финансирование!O18</f>
        <v>0</v>
      </c>
      <c r="P106" s="151">
        <f>Финансирование!P18</f>
        <v>0</v>
      </c>
      <c r="Q106" s="151">
        <f>Финансирование!Q18</f>
        <v>0</v>
      </c>
      <c r="R106" s="151">
        <f>Финансирование!R18</f>
        <v>0</v>
      </c>
      <c r="S106" s="151">
        <f>Финансирование!S18</f>
        <v>-25000</v>
      </c>
      <c r="T106" s="151">
        <f>Финансирование!T18</f>
        <v>-12500</v>
      </c>
      <c r="U106" s="151">
        <f>Финансирование!U18</f>
        <v>-12500</v>
      </c>
      <c r="V106" s="151">
        <f>Финансирование!V18</f>
        <v>0</v>
      </c>
      <c r="W106" s="151">
        <f>Финансирование!W18</f>
        <v>-25000</v>
      </c>
      <c r="X106" s="151">
        <f>Финансирование!X18</f>
        <v>-12500</v>
      </c>
      <c r="Y106" s="151">
        <f>Финансирование!Y18</f>
        <v>-12500</v>
      </c>
      <c r="Z106" s="151">
        <f>Финансирование!Z18</f>
        <v>0</v>
      </c>
      <c r="AA106" s="151">
        <f>Финансирование!AA18</f>
        <v>0</v>
      </c>
      <c r="AB106" s="151">
        <f>Финансирование!AB18</f>
        <v>0</v>
      </c>
      <c r="AC106" s="151">
        <f>Финансирование!AC18</f>
        <v>0</v>
      </c>
      <c r="AD106" s="151">
        <f>Финансирование!AD18</f>
        <v>0</v>
      </c>
      <c r="AE106" s="151">
        <f>Финансирование!AE18</f>
        <v>0</v>
      </c>
      <c r="AF106" s="151">
        <f>Финансирование!AF18</f>
        <v>0</v>
      </c>
      <c r="AG106" s="151">
        <f>Финансирование!AG18</f>
        <v>0</v>
      </c>
      <c r="AH106" s="151">
        <f>Финансирование!AH18</f>
        <v>0</v>
      </c>
      <c r="AI106" s="151">
        <f>Финансирование!AI18</f>
        <v>0</v>
      </c>
      <c r="AJ106" s="151">
        <f>Финансирование!AJ18</f>
        <v>0</v>
      </c>
      <c r="AK106" s="151">
        <f>Финансирование!AK18</f>
        <v>0</v>
      </c>
      <c r="AL106" s="151">
        <f>Финансирование!AL18</f>
        <v>0</v>
      </c>
      <c r="AM106" s="151">
        <f>Финансирование!AM18</f>
        <v>0</v>
      </c>
      <c r="AN106" s="151">
        <f>Финансирование!AN18</f>
        <v>0</v>
      </c>
      <c r="AO106" s="151">
        <f>Финансирование!AO18</f>
        <v>0</v>
      </c>
      <c r="AP106" s="151">
        <f>Финансирование!AP18</f>
        <v>0</v>
      </c>
      <c r="AQ106" s="151">
        <f>Финансирование!AQ18</f>
        <v>0</v>
      </c>
      <c r="AR106" s="151">
        <f>Финансирование!AR18</f>
        <v>0</v>
      </c>
      <c r="AS106" s="151">
        <f>Финансирование!AS18</f>
        <v>0</v>
      </c>
      <c r="AT106" s="151">
        <f>Финансирование!AT18</f>
        <v>0</v>
      </c>
      <c r="AU106" s="151">
        <f>Финансирование!AU18</f>
        <v>0</v>
      </c>
      <c r="AV106" s="151">
        <f>Финансирование!AV18</f>
        <v>0</v>
      </c>
      <c r="AW106" s="151">
        <f>Финансирование!AW18</f>
        <v>0</v>
      </c>
      <c r="AX106" s="151">
        <f>Финансирование!AX18</f>
        <v>0</v>
      </c>
      <c r="AY106" s="151">
        <f>Финансирование!AY18</f>
        <v>0</v>
      </c>
      <c r="AZ106" s="151">
        <f>Финансирование!AZ18</f>
        <v>0</v>
      </c>
      <c r="BA106" s="151">
        <f>Финансирование!BA18</f>
        <v>0</v>
      </c>
      <c r="BB106" s="151">
        <f>Финансирование!BB18</f>
        <v>0</v>
      </c>
      <c r="BC106" s="151">
        <f>Финансирование!BC18</f>
        <v>0</v>
      </c>
      <c r="BD106" s="151">
        <f>Финансирование!BD18</f>
        <v>0</v>
      </c>
      <c r="BE106" s="151">
        <f>Финансирование!BE18</f>
        <v>0</v>
      </c>
      <c r="BF106" s="151">
        <f>Финансирование!BF18</f>
        <v>0</v>
      </c>
      <c r="BG106" s="151">
        <f>Финансирование!BG18</f>
        <v>0</v>
      </c>
      <c r="BH106" s="151">
        <f>Финансирование!BH18</f>
        <v>0</v>
      </c>
      <c r="BI106" s="151">
        <f>Финансирование!BI18</f>
        <v>0</v>
      </c>
      <c r="BJ106" s="151">
        <f>Финансирование!BJ18</f>
        <v>0</v>
      </c>
      <c r="BK106" s="151">
        <f>Финансирование!BK18</f>
        <v>0</v>
      </c>
      <c r="BL106" s="151">
        <f>Финансирование!BL18</f>
        <v>0</v>
      </c>
      <c r="BM106" s="151">
        <f>Финансирование!BM18</f>
        <v>0</v>
      </c>
    </row>
    <row r="107" spans="2:69" ht="15" customHeight="1">
      <c r="B107" s="123" t="s">
        <v>566</v>
      </c>
      <c r="C107" s="113" t="s">
        <v>11</v>
      </c>
      <c r="D107" s="248">
        <f t="shared" si="142"/>
        <v>0</v>
      </c>
      <c r="E107" s="151">
        <f>Финансирование!E31+Финансирование!E46</f>
        <v>0</v>
      </c>
      <c r="F107" s="151">
        <f>Финансирование!F31+Финансирование!F46</f>
        <v>0</v>
      </c>
      <c r="G107" s="151">
        <f>Финансирование!G31+Финансирование!G46</f>
        <v>0</v>
      </c>
      <c r="H107" s="151">
        <f>Финансирование!H31+Финансирование!H46</f>
        <v>0</v>
      </c>
      <c r="I107" s="151">
        <f>Финансирование!I31+Финансирование!I46</f>
        <v>0</v>
      </c>
      <c r="J107" s="151">
        <f>Финансирование!J31+Финансирование!J46</f>
        <v>0</v>
      </c>
      <c r="K107" s="151">
        <f>Финансирование!K31+Финансирование!K46</f>
        <v>0</v>
      </c>
      <c r="L107" s="151">
        <f>Финансирование!L31+Финансирование!L46</f>
        <v>0</v>
      </c>
      <c r="M107" s="151">
        <f>Финансирование!M31+Финансирование!M46</f>
        <v>0</v>
      </c>
      <c r="N107" s="151">
        <f>Финансирование!N31+Финансирование!N46</f>
        <v>0</v>
      </c>
      <c r="O107" s="151">
        <f>Финансирование!O31+Финансирование!O46</f>
        <v>0</v>
      </c>
      <c r="P107" s="151">
        <f>Финансирование!P31+Финансирование!P46</f>
        <v>0</v>
      </c>
      <c r="Q107" s="151">
        <f>Финансирование!Q31+Финансирование!Q46</f>
        <v>0</v>
      </c>
      <c r="R107" s="151">
        <f>Финансирование!R31+Финансирование!R46</f>
        <v>0</v>
      </c>
      <c r="S107" s="151">
        <f>Финансирование!S31+Финансирование!S46</f>
        <v>0</v>
      </c>
      <c r="T107" s="151">
        <f>Финансирование!T31+Финансирование!T46</f>
        <v>0</v>
      </c>
      <c r="U107" s="151">
        <f>Финансирование!U31+Финансирование!U46</f>
        <v>0</v>
      </c>
      <c r="V107" s="151">
        <f>Финансирование!V31+Финансирование!V46</f>
        <v>0</v>
      </c>
      <c r="W107" s="151">
        <f>Финансирование!W31+Финансирование!W46</f>
        <v>0</v>
      </c>
      <c r="X107" s="151">
        <f>Финансирование!X31+Финансирование!X46</f>
        <v>0</v>
      </c>
      <c r="Y107" s="151">
        <f>Финансирование!Y31+Финансирование!Y46</f>
        <v>0</v>
      </c>
      <c r="Z107" s="151">
        <f>Финансирование!Z31+Финансирование!Z46</f>
        <v>0</v>
      </c>
      <c r="AA107" s="151">
        <f>Финансирование!AA31+Финансирование!AA46</f>
        <v>0</v>
      </c>
      <c r="AB107" s="151">
        <f>Финансирование!AB31+Финансирование!AB46</f>
        <v>0</v>
      </c>
      <c r="AC107" s="151">
        <f>Финансирование!AC31+Финансирование!AC46</f>
        <v>0</v>
      </c>
      <c r="AD107" s="151">
        <f>Финансирование!AD31+Финансирование!AD46</f>
        <v>0</v>
      </c>
      <c r="AE107" s="151">
        <f>Финансирование!AE31+Финансирование!AE46</f>
        <v>0</v>
      </c>
      <c r="AF107" s="151">
        <f>Финансирование!AF31+Финансирование!AF46</f>
        <v>0</v>
      </c>
      <c r="AG107" s="151">
        <f>Финансирование!AG31+Финансирование!AG46</f>
        <v>0</v>
      </c>
      <c r="AH107" s="151">
        <f>Финансирование!AH31+Финансирование!AH46</f>
        <v>0</v>
      </c>
      <c r="AI107" s="151">
        <f>Финансирование!AI31+Финансирование!AI46</f>
        <v>0</v>
      </c>
      <c r="AJ107" s="151">
        <f>Финансирование!AJ31+Финансирование!AJ46</f>
        <v>0</v>
      </c>
      <c r="AK107" s="151">
        <f>Финансирование!AK31+Финансирование!AK46</f>
        <v>0</v>
      </c>
      <c r="AL107" s="151">
        <f>Финансирование!AL31+Финансирование!AL46</f>
        <v>0</v>
      </c>
      <c r="AM107" s="151">
        <f>Финансирование!AM31+Финансирование!AM46</f>
        <v>0</v>
      </c>
      <c r="AN107" s="151">
        <f>Финансирование!AN31+Финансирование!AN46</f>
        <v>0</v>
      </c>
      <c r="AO107" s="151">
        <f>Финансирование!AO31+Финансирование!AO46</f>
        <v>0</v>
      </c>
      <c r="AP107" s="151">
        <f>Финансирование!AP31+Финансирование!AP46</f>
        <v>0</v>
      </c>
      <c r="AQ107" s="151">
        <f>Финансирование!AQ31+Финансирование!AQ46</f>
        <v>0</v>
      </c>
      <c r="AR107" s="151">
        <f>Финансирование!AR31+Финансирование!AR46</f>
        <v>0</v>
      </c>
      <c r="AS107" s="151">
        <f>Финансирование!AS31+Финансирование!AS46</f>
        <v>0</v>
      </c>
      <c r="AT107" s="151">
        <f>Финансирование!AT31+Финансирование!AT46</f>
        <v>0</v>
      </c>
      <c r="AU107" s="151">
        <f>Финансирование!AU31+Финансирование!AU46</f>
        <v>0</v>
      </c>
      <c r="AV107" s="151">
        <f>Финансирование!AV31+Финансирование!AV46</f>
        <v>0</v>
      </c>
      <c r="AW107" s="151">
        <f>Финансирование!AW31+Финансирование!AW46</f>
        <v>0</v>
      </c>
      <c r="AX107" s="151">
        <f>Финансирование!AX31+Финансирование!AX46</f>
        <v>0</v>
      </c>
      <c r="AY107" s="151">
        <f>Финансирование!AY31+Финансирование!AY46</f>
        <v>0</v>
      </c>
      <c r="AZ107" s="151">
        <f>Финансирование!AZ31+Финансирование!AZ46</f>
        <v>0</v>
      </c>
      <c r="BA107" s="151">
        <f>Финансирование!BA31+Финансирование!BA46</f>
        <v>0</v>
      </c>
      <c r="BB107" s="151">
        <f>Финансирование!BB31+Финансирование!BB46</f>
        <v>0</v>
      </c>
      <c r="BC107" s="151">
        <f>Финансирование!BC31+Финансирование!BC46</f>
        <v>0</v>
      </c>
      <c r="BD107" s="151">
        <f>Финансирование!BD31+Финансирование!BD46</f>
        <v>0</v>
      </c>
      <c r="BE107" s="151">
        <f>Финансирование!BE31+Финансирование!BE46</f>
        <v>0</v>
      </c>
      <c r="BF107" s="151">
        <f>Финансирование!BF31+Финансирование!BF46</f>
        <v>0</v>
      </c>
      <c r="BG107" s="151">
        <f>Финансирование!BG31+Финансирование!BG46</f>
        <v>0</v>
      </c>
      <c r="BH107" s="151">
        <f>Финансирование!BH31+Финансирование!BH46</f>
        <v>0</v>
      </c>
      <c r="BI107" s="151">
        <f>Финансирование!BI31+Финансирование!BI46</f>
        <v>0</v>
      </c>
      <c r="BJ107" s="151">
        <f>Финансирование!BJ31+Финансирование!BJ46</f>
        <v>0</v>
      </c>
      <c r="BK107" s="151">
        <f>Финансирование!BK31+Финансирование!BK46</f>
        <v>0</v>
      </c>
      <c r="BL107" s="151">
        <f>Финансирование!BL31+Финансирование!BL46</f>
        <v>0</v>
      </c>
      <c r="BM107" s="151">
        <f>Финансирование!BM31+Финансирование!BM46</f>
        <v>0</v>
      </c>
    </row>
    <row r="108" spans="2:69" ht="15" customHeight="1">
      <c r="B108" s="123" t="s">
        <v>546</v>
      </c>
      <c r="C108" s="113" t="s">
        <v>11</v>
      </c>
      <c r="D108" s="248">
        <f t="shared" si="142"/>
        <v>0</v>
      </c>
      <c r="E108" s="151">
        <f>-Предпосылки!D232-Предпосылки!D231</f>
        <v>0</v>
      </c>
      <c r="F108" s="151">
        <f>-Предпосылки!E232-Предпосылки!E231</f>
        <v>0</v>
      </c>
      <c r="G108" s="151">
        <f>-Предпосылки!F232-Предпосылки!F231</f>
        <v>0</v>
      </c>
      <c r="H108" s="151">
        <f>-Предпосылки!G232-Предпосылки!G231</f>
        <v>0</v>
      </c>
      <c r="I108" s="151">
        <f>-Предпосылки!H232-Предпосылки!H231</f>
        <v>0</v>
      </c>
      <c r="J108" s="151">
        <f>-Предпосылки!I232-Предпосылки!I231</f>
        <v>0</v>
      </c>
      <c r="K108" s="151">
        <f>-Предпосылки!J232-Предпосылки!J231</f>
        <v>0</v>
      </c>
      <c r="L108" s="151">
        <f>-Предпосылки!K232-Предпосылки!K231</f>
        <v>0</v>
      </c>
      <c r="M108" s="151">
        <f>-Предпосылки!L232-Предпосылки!L231</f>
        <v>0</v>
      </c>
      <c r="N108" s="151">
        <f>-Предпосылки!M232-Предпосылки!M231</f>
        <v>0</v>
      </c>
      <c r="O108" s="151">
        <f>-Предпосылки!N232-Предпосылки!N231</f>
        <v>0</v>
      </c>
      <c r="P108" s="151">
        <f>-Предпосылки!O232-Предпосылки!O231</f>
        <v>0</v>
      </c>
      <c r="Q108" s="151">
        <f>-Предпосылки!P232-Предпосылки!P231</f>
        <v>0</v>
      </c>
      <c r="R108" s="151">
        <f>-Предпосылки!Q232-Предпосылки!Q231</f>
        <v>0</v>
      </c>
      <c r="S108" s="151">
        <f>-Предпосылки!R232-Предпосылки!R231</f>
        <v>0</v>
      </c>
      <c r="T108" s="151">
        <f>-Предпосылки!S232-Предпосылки!S231</f>
        <v>0</v>
      </c>
      <c r="U108" s="151">
        <f>-Предпосылки!T232-Предпосылки!T231</f>
        <v>0</v>
      </c>
      <c r="V108" s="151">
        <f>-Предпосылки!U232-Предпосылки!U231</f>
        <v>0</v>
      </c>
      <c r="W108" s="151">
        <f>-Предпосылки!V232-Предпосылки!V231</f>
        <v>0</v>
      </c>
      <c r="X108" s="151">
        <f>-Предпосылки!W232-Предпосылки!W231</f>
        <v>0</v>
      </c>
      <c r="Y108" s="151">
        <f>-Предпосылки!X232-Предпосылки!X231</f>
        <v>0</v>
      </c>
      <c r="Z108" s="151">
        <f>-Предпосылки!Y232-Предпосылки!Y231</f>
        <v>0</v>
      </c>
      <c r="AA108" s="151">
        <f>-Предпосылки!Z232-Предпосылки!Z231</f>
        <v>0</v>
      </c>
      <c r="AB108" s="151">
        <f>-Предпосылки!AA232-Предпосылки!AA231</f>
        <v>0</v>
      </c>
      <c r="AC108" s="151">
        <f>-Предпосылки!AB232-Предпосылки!AB231</f>
        <v>0</v>
      </c>
      <c r="AD108" s="151">
        <f>-Предпосылки!AC232-Предпосылки!AC231</f>
        <v>0</v>
      </c>
      <c r="AE108" s="151">
        <f>-Предпосылки!AD232-Предпосылки!AD231</f>
        <v>0</v>
      </c>
      <c r="AF108" s="151">
        <f>-Предпосылки!AE232-Предпосылки!AE231</f>
        <v>0</v>
      </c>
      <c r="AG108" s="151">
        <f>-Предпосылки!AF232-Предпосылки!AF231</f>
        <v>0</v>
      </c>
      <c r="AH108" s="151">
        <f>-Предпосылки!AG232-Предпосылки!AG231</f>
        <v>0</v>
      </c>
      <c r="AI108" s="151">
        <f>-Предпосылки!AH232-Предпосылки!AH231</f>
        <v>0</v>
      </c>
      <c r="AJ108" s="151">
        <f>-Предпосылки!AI232-Предпосылки!AI231</f>
        <v>0</v>
      </c>
      <c r="AK108" s="151">
        <f>-Предпосылки!AJ232-Предпосылки!AJ231</f>
        <v>0</v>
      </c>
      <c r="AL108" s="151">
        <f>-Предпосылки!AK232-Предпосылки!AK231</f>
        <v>0</v>
      </c>
      <c r="AM108" s="151">
        <f>-Предпосылки!AL232-Предпосылки!AL231</f>
        <v>0</v>
      </c>
      <c r="AN108" s="151">
        <f>-Предпосылки!AM232-Предпосылки!AM231</f>
        <v>0</v>
      </c>
      <c r="AO108" s="151">
        <f>-Предпосылки!AN232-Предпосылки!AN231</f>
        <v>0</v>
      </c>
      <c r="AP108" s="151">
        <f>-Предпосылки!AO232-Предпосылки!AO231</f>
        <v>0</v>
      </c>
      <c r="AQ108" s="151">
        <f>-Предпосылки!AP232-Предпосылки!AP231</f>
        <v>0</v>
      </c>
      <c r="AR108" s="151">
        <f>-Предпосылки!AQ232-Предпосылки!AQ231</f>
        <v>0</v>
      </c>
      <c r="AS108" s="151">
        <f>-Предпосылки!AR232-Предпосылки!AR231</f>
        <v>0</v>
      </c>
      <c r="AT108" s="151">
        <f>-Предпосылки!AS232-Предпосылки!AS231</f>
        <v>0</v>
      </c>
      <c r="AU108" s="151">
        <f>-Предпосылки!AT232-Предпосылки!AT231</f>
        <v>0</v>
      </c>
      <c r="AV108" s="151">
        <f>-Предпосылки!AU232-Предпосылки!AU231</f>
        <v>0</v>
      </c>
      <c r="AW108" s="151">
        <f>-Предпосылки!AV232-Предпосылки!AV231</f>
        <v>0</v>
      </c>
      <c r="AX108" s="151">
        <f>-Предпосылки!AW232-Предпосылки!AW231</f>
        <v>0</v>
      </c>
      <c r="AY108" s="151">
        <f>-Предпосылки!AX232-Предпосылки!AX231</f>
        <v>0</v>
      </c>
      <c r="AZ108" s="151">
        <f>-Предпосылки!AY232-Предпосылки!AY231</f>
        <v>0</v>
      </c>
      <c r="BA108" s="151">
        <f>-Предпосылки!AZ232-Предпосылки!AZ231</f>
        <v>0</v>
      </c>
      <c r="BB108" s="151">
        <f>-Предпосылки!BA232-Предпосылки!BA231</f>
        <v>0</v>
      </c>
      <c r="BC108" s="151">
        <f>-Предпосылки!BB232-Предпосылки!BB231</f>
        <v>0</v>
      </c>
      <c r="BD108" s="151">
        <f>-Предпосылки!BC232-Предпосылки!BC231</f>
        <v>0</v>
      </c>
      <c r="BE108" s="151">
        <f>-Предпосылки!BD232-Предпосылки!BD231</f>
        <v>0</v>
      </c>
      <c r="BF108" s="151">
        <f>-Предпосылки!BE232-Предпосылки!BE231</f>
        <v>0</v>
      </c>
      <c r="BG108" s="151">
        <f>-Предпосылки!BF232-Предпосылки!BF231</f>
        <v>0</v>
      </c>
      <c r="BH108" s="151">
        <f>-Предпосылки!BG232-Предпосылки!BG231</f>
        <v>0</v>
      </c>
      <c r="BI108" s="151">
        <f>-Предпосылки!BH232-Предпосылки!BH231</f>
        <v>0</v>
      </c>
      <c r="BJ108" s="151">
        <f>-Предпосылки!BI232-Предпосылки!BI231</f>
        <v>0</v>
      </c>
      <c r="BK108" s="151">
        <f>-Предпосылки!BJ232-Предпосылки!BJ231</f>
        <v>0</v>
      </c>
      <c r="BL108" s="151">
        <f>-Предпосылки!BK232-Предпосылки!BK231</f>
        <v>0</v>
      </c>
      <c r="BM108" s="151">
        <f>-Предпосылки!BL232-Предпосылки!BL231</f>
        <v>0</v>
      </c>
    </row>
    <row r="109" spans="2:69" ht="15" customHeight="1">
      <c r="B109" s="37"/>
      <c r="C109" s="37"/>
      <c r="D109" s="37"/>
      <c r="E109" s="37"/>
      <c r="F109" s="37"/>
      <c r="G109" s="37"/>
      <c r="H109" s="37"/>
      <c r="I109" s="37"/>
      <c r="J109" s="37"/>
      <c r="K109" s="37"/>
      <c r="L109" s="37"/>
      <c r="M109" s="37"/>
      <c r="N109" s="37"/>
      <c r="O109" s="37"/>
      <c r="P109" s="37"/>
      <c r="Q109" s="37"/>
      <c r="R109" s="37"/>
      <c r="S109" s="37"/>
      <c r="T109" s="37"/>
      <c r="U109" s="37"/>
      <c r="V109" s="37"/>
      <c r="W109" s="37"/>
      <c r="X109" s="37"/>
      <c r="Y109" s="37"/>
      <c r="Z109" s="37"/>
      <c r="AA109" s="37"/>
      <c r="AB109" s="37"/>
      <c r="AC109" s="37"/>
      <c r="AD109" s="37"/>
      <c r="AE109" s="37"/>
      <c r="AF109" s="37"/>
      <c r="AG109" s="37"/>
      <c r="AH109" s="37"/>
      <c r="AI109" s="37"/>
      <c r="AJ109" s="37"/>
      <c r="AK109" s="37"/>
      <c r="AL109" s="37"/>
      <c r="AM109" s="37"/>
      <c r="AN109" s="37"/>
      <c r="AO109" s="37"/>
      <c r="AP109" s="37"/>
      <c r="AQ109" s="37"/>
      <c r="AR109" s="37"/>
      <c r="AS109" s="37"/>
      <c r="AT109" s="37"/>
      <c r="AU109" s="37"/>
      <c r="AV109" s="37"/>
      <c r="AW109" s="37"/>
      <c r="AX109" s="37"/>
      <c r="AY109" s="37"/>
      <c r="AZ109" s="37"/>
      <c r="BA109" s="37"/>
      <c r="BB109" s="37"/>
      <c r="BC109" s="37"/>
      <c r="BD109" s="37"/>
      <c r="BE109" s="37"/>
      <c r="BF109" s="37"/>
      <c r="BG109" s="37"/>
      <c r="BH109" s="37"/>
      <c r="BI109" s="37"/>
      <c r="BJ109" s="37"/>
      <c r="BK109" s="37"/>
      <c r="BL109" s="37"/>
      <c r="BM109" s="37"/>
    </row>
    <row r="110" spans="2:69" ht="15" customHeight="1">
      <c r="B110" s="262" t="s">
        <v>111</v>
      </c>
      <c r="C110" s="263" t="s">
        <v>11</v>
      </c>
      <c r="D110" s="261">
        <f t="shared" ref="D110:AI110" si="144">SUM(D92,D104)</f>
        <v>0</v>
      </c>
      <c r="E110" s="261">
        <f t="shared" si="144"/>
        <v>0</v>
      </c>
      <c r="F110" s="261">
        <f t="shared" si="144"/>
        <v>0</v>
      </c>
      <c r="G110" s="261">
        <f t="shared" si="144"/>
        <v>0</v>
      </c>
      <c r="H110" s="261">
        <f t="shared" si="144"/>
        <v>0</v>
      </c>
      <c r="I110" s="261">
        <f t="shared" si="144"/>
        <v>0</v>
      </c>
      <c r="J110" s="261">
        <f t="shared" si="144"/>
        <v>0</v>
      </c>
      <c r="K110" s="261">
        <f t="shared" si="144"/>
        <v>0</v>
      </c>
      <c r="L110" s="261">
        <f t="shared" si="144"/>
        <v>0</v>
      </c>
      <c r="M110" s="261">
        <f t="shared" si="144"/>
        <v>0</v>
      </c>
      <c r="N110" s="261">
        <f t="shared" si="144"/>
        <v>0</v>
      </c>
      <c r="O110" s="261">
        <f t="shared" si="144"/>
        <v>0</v>
      </c>
      <c r="P110" s="261">
        <f t="shared" si="144"/>
        <v>0</v>
      </c>
      <c r="Q110" s="261">
        <f t="shared" si="144"/>
        <v>0</v>
      </c>
      <c r="R110" s="261">
        <f t="shared" si="144"/>
        <v>0</v>
      </c>
      <c r="S110" s="261">
        <f t="shared" si="144"/>
        <v>0</v>
      </c>
      <c r="T110" s="261">
        <f t="shared" si="144"/>
        <v>0</v>
      </c>
      <c r="U110" s="261">
        <f t="shared" si="144"/>
        <v>0</v>
      </c>
      <c r="V110" s="261">
        <f t="shared" si="144"/>
        <v>0</v>
      </c>
      <c r="W110" s="261">
        <f t="shared" si="144"/>
        <v>0</v>
      </c>
      <c r="X110" s="261">
        <f t="shared" si="144"/>
        <v>0</v>
      </c>
      <c r="Y110" s="261">
        <f t="shared" si="144"/>
        <v>0</v>
      </c>
      <c r="Z110" s="261">
        <f t="shared" si="144"/>
        <v>0</v>
      </c>
      <c r="AA110" s="261">
        <f t="shared" si="144"/>
        <v>0</v>
      </c>
      <c r="AB110" s="261">
        <f t="shared" si="144"/>
        <v>0</v>
      </c>
      <c r="AC110" s="261">
        <f t="shared" si="144"/>
        <v>0</v>
      </c>
      <c r="AD110" s="261">
        <f t="shared" si="144"/>
        <v>0</v>
      </c>
      <c r="AE110" s="261">
        <f t="shared" si="144"/>
        <v>0</v>
      </c>
      <c r="AF110" s="261">
        <f t="shared" si="144"/>
        <v>0</v>
      </c>
      <c r="AG110" s="261">
        <f t="shared" si="144"/>
        <v>0</v>
      </c>
      <c r="AH110" s="261">
        <f t="shared" si="144"/>
        <v>0</v>
      </c>
      <c r="AI110" s="261">
        <f t="shared" si="144"/>
        <v>0</v>
      </c>
      <c r="AJ110" s="261">
        <f t="shared" ref="AJ110:BM110" si="145">SUM(AJ92,AJ104)</f>
        <v>0</v>
      </c>
      <c r="AK110" s="261">
        <f t="shared" si="145"/>
        <v>0</v>
      </c>
      <c r="AL110" s="261">
        <f t="shared" si="145"/>
        <v>0</v>
      </c>
      <c r="AM110" s="261">
        <f t="shared" si="145"/>
        <v>0</v>
      </c>
      <c r="AN110" s="261">
        <f t="shared" si="145"/>
        <v>0</v>
      </c>
      <c r="AO110" s="261">
        <f t="shared" si="145"/>
        <v>0</v>
      </c>
      <c r="AP110" s="261">
        <f t="shared" si="145"/>
        <v>0</v>
      </c>
      <c r="AQ110" s="261">
        <f t="shared" si="145"/>
        <v>0</v>
      </c>
      <c r="AR110" s="261">
        <f t="shared" si="145"/>
        <v>0</v>
      </c>
      <c r="AS110" s="261">
        <f t="shared" si="145"/>
        <v>0</v>
      </c>
      <c r="AT110" s="261">
        <f t="shared" si="145"/>
        <v>0</v>
      </c>
      <c r="AU110" s="261">
        <f t="shared" si="145"/>
        <v>0</v>
      </c>
      <c r="AV110" s="261">
        <f t="shared" si="145"/>
        <v>0</v>
      </c>
      <c r="AW110" s="261">
        <f t="shared" si="145"/>
        <v>0</v>
      </c>
      <c r="AX110" s="261">
        <f t="shared" si="145"/>
        <v>0</v>
      </c>
      <c r="AY110" s="261">
        <f t="shared" si="145"/>
        <v>0</v>
      </c>
      <c r="AZ110" s="261">
        <f t="shared" si="145"/>
        <v>0</v>
      </c>
      <c r="BA110" s="261">
        <f t="shared" si="145"/>
        <v>0</v>
      </c>
      <c r="BB110" s="261">
        <f t="shared" si="145"/>
        <v>0</v>
      </c>
      <c r="BC110" s="261">
        <f t="shared" si="145"/>
        <v>0</v>
      </c>
      <c r="BD110" s="261">
        <f t="shared" si="145"/>
        <v>0</v>
      </c>
      <c r="BE110" s="261">
        <f t="shared" si="145"/>
        <v>0</v>
      </c>
      <c r="BF110" s="261">
        <f t="shared" si="145"/>
        <v>0</v>
      </c>
      <c r="BG110" s="261">
        <f t="shared" si="145"/>
        <v>0</v>
      </c>
      <c r="BH110" s="261">
        <f t="shared" si="145"/>
        <v>0</v>
      </c>
      <c r="BI110" s="261">
        <f t="shared" si="145"/>
        <v>0</v>
      </c>
      <c r="BJ110" s="261">
        <f t="shared" si="145"/>
        <v>0</v>
      </c>
      <c r="BK110" s="261">
        <f t="shared" si="145"/>
        <v>0</v>
      </c>
      <c r="BL110" s="261">
        <f t="shared" si="145"/>
        <v>0</v>
      </c>
      <c r="BM110" s="261">
        <f t="shared" si="145"/>
        <v>0</v>
      </c>
    </row>
    <row r="111" spans="2:69" ht="15" customHeight="1">
      <c r="B111" s="37"/>
      <c r="C111" s="37"/>
      <c r="D111" s="37"/>
      <c r="E111" s="37"/>
      <c r="F111" s="37"/>
      <c r="G111" s="37"/>
      <c r="H111" s="37"/>
      <c r="I111" s="37"/>
      <c r="J111" s="37"/>
      <c r="K111" s="37"/>
      <c r="L111" s="37"/>
      <c r="M111" s="37"/>
      <c r="N111" s="37"/>
      <c r="O111" s="37"/>
      <c r="P111" s="37"/>
      <c r="Q111" s="37"/>
      <c r="R111" s="37"/>
      <c r="S111" s="37"/>
      <c r="T111" s="37"/>
      <c r="U111" s="37"/>
      <c r="V111" s="37"/>
      <c r="W111" s="37"/>
      <c r="X111" s="37"/>
      <c r="Y111" s="37"/>
      <c r="Z111" s="37"/>
      <c r="AA111" s="37"/>
      <c r="AB111" s="37"/>
      <c r="AC111" s="37"/>
      <c r="AD111" s="37"/>
      <c r="AE111" s="37"/>
      <c r="AF111" s="37"/>
      <c r="AG111" s="37"/>
      <c r="AH111" s="37"/>
      <c r="AI111" s="37"/>
      <c r="AJ111" s="37"/>
      <c r="AK111" s="37"/>
      <c r="AL111" s="37"/>
      <c r="AM111" s="37"/>
      <c r="AN111" s="37"/>
      <c r="AO111" s="37"/>
      <c r="AP111" s="37"/>
      <c r="AQ111" s="37"/>
      <c r="AR111" s="37"/>
      <c r="AS111" s="37"/>
      <c r="AT111" s="37"/>
      <c r="AU111" s="37"/>
      <c r="AV111" s="37"/>
      <c r="AW111" s="37"/>
      <c r="AX111" s="37"/>
      <c r="AY111" s="37"/>
      <c r="AZ111" s="37"/>
      <c r="BA111" s="37"/>
      <c r="BB111" s="37"/>
      <c r="BC111" s="37"/>
      <c r="BD111" s="37"/>
      <c r="BE111" s="37"/>
      <c r="BF111" s="37"/>
      <c r="BG111" s="37"/>
      <c r="BH111" s="37"/>
      <c r="BI111" s="37"/>
      <c r="BJ111" s="37"/>
      <c r="BK111" s="37"/>
      <c r="BL111" s="37"/>
      <c r="BM111" s="37"/>
    </row>
    <row r="112" spans="2:69" ht="15" customHeight="1">
      <c r="B112" s="118" t="s">
        <v>112</v>
      </c>
      <c r="C112" s="37"/>
      <c r="D112" s="37"/>
      <c r="E112" s="37"/>
      <c r="F112" s="37"/>
      <c r="G112" s="37"/>
      <c r="H112" s="37"/>
      <c r="I112" s="37"/>
      <c r="J112" s="37"/>
      <c r="K112" s="37"/>
      <c r="L112" s="37"/>
      <c r="M112" s="37"/>
      <c r="N112" s="37"/>
      <c r="O112" s="37"/>
      <c r="P112" s="37"/>
      <c r="Q112" s="37"/>
      <c r="R112" s="37"/>
      <c r="S112" s="37"/>
      <c r="T112" s="37"/>
      <c r="U112" s="37"/>
      <c r="V112" s="37"/>
      <c r="W112" s="37"/>
      <c r="X112" s="37"/>
      <c r="Y112" s="37"/>
      <c r="Z112" s="37"/>
      <c r="AA112" s="37"/>
      <c r="AB112" s="37"/>
      <c r="AC112" s="37"/>
      <c r="AD112" s="37"/>
      <c r="AE112" s="37"/>
      <c r="AF112" s="37"/>
      <c r="AG112" s="37"/>
      <c r="AH112" s="37"/>
      <c r="AI112" s="37"/>
      <c r="AJ112" s="37"/>
      <c r="AK112" s="37"/>
      <c r="AL112" s="37"/>
      <c r="AM112" s="37"/>
      <c r="AN112" s="37"/>
      <c r="AO112" s="37"/>
      <c r="AP112" s="37"/>
      <c r="AQ112" s="37"/>
      <c r="AR112" s="37"/>
      <c r="AS112" s="37"/>
      <c r="AT112" s="37"/>
      <c r="AU112" s="37"/>
      <c r="AV112" s="37"/>
      <c r="AW112" s="37"/>
      <c r="AX112" s="37"/>
      <c r="AY112" s="37"/>
      <c r="AZ112" s="37"/>
      <c r="BA112" s="37"/>
      <c r="BB112" s="37"/>
      <c r="BC112" s="37"/>
      <c r="BD112" s="37"/>
      <c r="BE112" s="37"/>
      <c r="BF112" s="37"/>
      <c r="BG112" s="37"/>
      <c r="BH112" s="37"/>
      <c r="BI112" s="37"/>
      <c r="BJ112" s="37"/>
      <c r="BK112" s="37"/>
      <c r="BL112" s="37"/>
      <c r="BM112" s="37"/>
    </row>
    <row r="113" spans="2:71" ht="15" customHeight="1">
      <c r="B113" s="112" t="s">
        <v>114</v>
      </c>
      <c r="C113" s="113" t="s">
        <v>11</v>
      </c>
      <c r="D113" s="248">
        <f>E113</f>
        <v>0</v>
      </c>
      <c r="E113" s="299"/>
      <c r="F113" s="114">
        <f>E115</f>
        <v>0</v>
      </c>
      <c r="G113" s="114">
        <f t="shared" ref="G113:AG113" si="146">F115</f>
        <v>0</v>
      </c>
      <c r="H113" s="114">
        <f t="shared" si="146"/>
        <v>0</v>
      </c>
      <c r="I113" s="114">
        <f t="shared" si="146"/>
        <v>0</v>
      </c>
      <c r="J113" s="114">
        <f t="shared" si="146"/>
        <v>0</v>
      </c>
      <c r="K113" s="114">
        <f t="shared" si="146"/>
        <v>0</v>
      </c>
      <c r="L113" s="114">
        <f t="shared" si="146"/>
        <v>0</v>
      </c>
      <c r="M113" s="114">
        <f t="shared" si="146"/>
        <v>0</v>
      </c>
      <c r="N113" s="114">
        <f t="shared" si="146"/>
        <v>0</v>
      </c>
      <c r="O113" s="114">
        <f t="shared" si="146"/>
        <v>0</v>
      </c>
      <c r="P113" s="114">
        <f t="shared" si="146"/>
        <v>0</v>
      </c>
      <c r="Q113" s="114">
        <f t="shared" si="146"/>
        <v>0</v>
      </c>
      <c r="R113" s="114">
        <f t="shared" si="146"/>
        <v>0</v>
      </c>
      <c r="S113" s="114">
        <f t="shared" si="146"/>
        <v>0</v>
      </c>
      <c r="T113" s="114">
        <f t="shared" si="146"/>
        <v>0</v>
      </c>
      <c r="U113" s="114">
        <f t="shared" si="146"/>
        <v>0</v>
      </c>
      <c r="V113" s="114">
        <f t="shared" si="146"/>
        <v>0</v>
      </c>
      <c r="W113" s="114">
        <f t="shared" si="146"/>
        <v>0</v>
      </c>
      <c r="X113" s="114">
        <f t="shared" si="146"/>
        <v>0</v>
      </c>
      <c r="Y113" s="114">
        <f t="shared" si="146"/>
        <v>0</v>
      </c>
      <c r="Z113" s="114">
        <f t="shared" si="146"/>
        <v>0</v>
      </c>
      <c r="AA113" s="114">
        <f t="shared" si="146"/>
        <v>0</v>
      </c>
      <c r="AB113" s="114">
        <f t="shared" si="146"/>
        <v>0</v>
      </c>
      <c r="AC113" s="114">
        <f t="shared" si="146"/>
        <v>0</v>
      </c>
      <c r="AD113" s="114">
        <f t="shared" si="146"/>
        <v>0</v>
      </c>
      <c r="AE113" s="114">
        <f t="shared" si="146"/>
        <v>0</v>
      </c>
      <c r="AF113" s="114">
        <f t="shared" si="146"/>
        <v>0</v>
      </c>
      <c r="AG113" s="114">
        <f t="shared" si="146"/>
        <v>0</v>
      </c>
      <c r="AH113" s="114">
        <f t="shared" ref="AH113" si="147">AG115</f>
        <v>0</v>
      </c>
      <c r="AI113" s="114">
        <f t="shared" ref="AI113" si="148">AH115</f>
        <v>0</v>
      </c>
      <c r="AJ113" s="114">
        <f t="shared" ref="AJ113" si="149">AI115</f>
        <v>0</v>
      </c>
      <c r="AK113" s="114">
        <f t="shared" ref="AK113" si="150">AJ115</f>
        <v>0</v>
      </c>
      <c r="AL113" s="114">
        <f t="shared" ref="AL113" si="151">AK115</f>
        <v>0</v>
      </c>
      <c r="AM113" s="114">
        <f t="shared" ref="AM113" si="152">AL115</f>
        <v>0</v>
      </c>
      <c r="AN113" s="114">
        <f t="shared" ref="AN113" si="153">AM115</f>
        <v>0</v>
      </c>
      <c r="AO113" s="114">
        <f t="shared" ref="AO113" si="154">AN115</f>
        <v>0</v>
      </c>
      <c r="AP113" s="114">
        <f t="shared" ref="AP113" si="155">AO115</f>
        <v>0</v>
      </c>
      <c r="AQ113" s="114">
        <f t="shared" ref="AQ113" si="156">AP115</f>
        <v>0</v>
      </c>
      <c r="AR113" s="114">
        <f t="shared" ref="AR113" si="157">AQ115</f>
        <v>0</v>
      </c>
      <c r="AS113" s="114">
        <f t="shared" ref="AS113" si="158">AR115</f>
        <v>0</v>
      </c>
      <c r="AT113" s="114">
        <f t="shared" ref="AT113" si="159">AS115</f>
        <v>0</v>
      </c>
      <c r="AU113" s="114">
        <f t="shared" ref="AU113" si="160">AT115</f>
        <v>0</v>
      </c>
      <c r="AV113" s="114">
        <f t="shared" ref="AV113" si="161">AU115</f>
        <v>0</v>
      </c>
      <c r="AW113" s="114">
        <f t="shared" ref="AW113" si="162">AV115</f>
        <v>0</v>
      </c>
      <c r="AX113" s="114">
        <f t="shared" ref="AX113" si="163">AW115</f>
        <v>0</v>
      </c>
      <c r="AY113" s="114">
        <f t="shared" ref="AY113" si="164">AX115</f>
        <v>0</v>
      </c>
      <c r="AZ113" s="114">
        <f t="shared" ref="AZ113" si="165">AY115</f>
        <v>0</v>
      </c>
      <c r="BA113" s="114">
        <f t="shared" ref="BA113" si="166">AZ115</f>
        <v>0</v>
      </c>
      <c r="BB113" s="114">
        <f t="shared" ref="BB113" si="167">BA115</f>
        <v>0</v>
      </c>
      <c r="BC113" s="114">
        <f t="shared" ref="BC113" si="168">BB115</f>
        <v>0</v>
      </c>
      <c r="BD113" s="114">
        <f t="shared" ref="BD113" si="169">BC115</f>
        <v>0</v>
      </c>
      <c r="BE113" s="114">
        <f t="shared" ref="BE113" si="170">BD115</f>
        <v>0</v>
      </c>
      <c r="BF113" s="114">
        <f t="shared" ref="BF113" si="171">BE115</f>
        <v>0</v>
      </c>
      <c r="BG113" s="114">
        <f t="shared" ref="BG113" si="172">BF115</f>
        <v>0</v>
      </c>
      <c r="BH113" s="114">
        <f t="shared" ref="BH113" si="173">BG115</f>
        <v>0</v>
      </c>
      <c r="BI113" s="114">
        <f t="shared" ref="BI113" si="174">BH115</f>
        <v>0</v>
      </c>
      <c r="BJ113" s="114">
        <f t="shared" ref="BJ113" si="175">BI115</f>
        <v>0</v>
      </c>
      <c r="BK113" s="114">
        <f t="shared" ref="BK113" si="176">BJ115</f>
        <v>0</v>
      </c>
      <c r="BL113" s="114">
        <f t="shared" ref="BL113" si="177">BK115</f>
        <v>0</v>
      </c>
      <c r="BM113" s="114">
        <f t="shared" ref="BM113" si="178">BL115</f>
        <v>0</v>
      </c>
    </row>
    <row r="114" spans="2:71" ht="15" customHeight="1">
      <c r="B114" s="112" t="s">
        <v>113</v>
      </c>
      <c r="C114" s="113" t="s">
        <v>11</v>
      </c>
      <c r="D114" s="248">
        <f>SUM(E114:BM114)</f>
        <v>0</v>
      </c>
      <c r="E114" s="114">
        <f t="shared" ref="E114:AJ114" si="179">SUM(E61,E81,E110)</f>
        <v>0</v>
      </c>
      <c r="F114" s="114">
        <f t="shared" si="179"/>
        <v>0</v>
      </c>
      <c r="G114" s="114">
        <f t="shared" si="179"/>
        <v>0</v>
      </c>
      <c r="H114" s="114">
        <f t="shared" si="179"/>
        <v>0</v>
      </c>
      <c r="I114" s="114">
        <f t="shared" si="179"/>
        <v>0</v>
      </c>
      <c r="J114" s="114">
        <f t="shared" si="179"/>
        <v>0</v>
      </c>
      <c r="K114" s="114">
        <f t="shared" si="179"/>
        <v>0</v>
      </c>
      <c r="L114" s="114">
        <f t="shared" si="179"/>
        <v>0</v>
      </c>
      <c r="M114" s="114">
        <f t="shared" si="179"/>
        <v>0</v>
      </c>
      <c r="N114" s="114">
        <f t="shared" si="179"/>
        <v>0</v>
      </c>
      <c r="O114" s="114">
        <f t="shared" si="179"/>
        <v>0</v>
      </c>
      <c r="P114" s="114">
        <f t="shared" si="179"/>
        <v>0</v>
      </c>
      <c r="Q114" s="114">
        <f t="shared" si="179"/>
        <v>0</v>
      </c>
      <c r="R114" s="114">
        <f t="shared" si="179"/>
        <v>0</v>
      </c>
      <c r="S114" s="114">
        <f t="shared" si="179"/>
        <v>0</v>
      </c>
      <c r="T114" s="114">
        <f t="shared" si="179"/>
        <v>0</v>
      </c>
      <c r="U114" s="114">
        <f t="shared" si="179"/>
        <v>0</v>
      </c>
      <c r="V114" s="114">
        <f t="shared" si="179"/>
        <v>0</v>
      </c>
      <c r="W114" s="114">
        <f t="shared" si="179"/>
        <v>0</v>
      </c>
      <c r="X114" s="114">
        <f t="shared" si="179"/>
        <v>0</v>
      </c>
      <c r="Y114" s="114">
        <f t="shared" si="179"/>
        <v>0</v>
      </c>
      <c r="Z114" s="114">
        <f t="shared" si="179"/>
        <v>0</v>
      </c>
      <c r="AA114" s="114">
        <f t="shared" si="179"/>
        <v>0</v>
      </c>
      <c r="AB114" s="114">
        <f t="shared" si="179"/>
        <v>0</v>
      </c>
      <c r="AC114" s="114">
        <f t="shared" si="179"/>
        <v>0</v>
      </c>
      <c r="AD114" s="114">
        <f t="shared" si="179"/>
        <v>0</v>
      </c>
      <c r="AE114" s="114">
        <f t="shared" si="179"/>
        <v>0</v>
      </c>
      <c r="AF114" s="114">
        <f t="shared" si="179"/>
        <v>0</v>
      </c>
      <c r="AG114" s="114">
        <f t="shared" si="179"/>
        <v>0</v>
      </c>
      <c r="AH114" s="114">
        <f t="shared" si="179"/>
        <v>0</v>
      </c>
      <c r="AI114" s="114">
        <f t="shared" si="179"/>
        <v>0</v>
      </c>
      <c r="AJ114" s="114">
        <f t="shared" si="179"/>
        <v>0</v>
      </c>
      <c r="AK114" s="114">
        <f t="shared" ref="AK114:BM114" si="180">SUM(AK61,AK81,AK110)</f>
        <v>0</v>
      </c>
      <c r="AL114" s="114">
        <f t="shared" si="180"/>
        <v>0</v>
      </c>
      <c r="AM114" s="114">
        <f t="shared" si="180"/>
        <v>0</v>
      </c>
      <c r="AN114" s="114">
        <f t="shared" si="180"/>
        <v>0</v>
      </c>
      <c r="AO114" s="114">
        <f t="shared" si="180"/>
        <v>0</v>
      </c>
      <c r="AP114" s="114">
        <f t="shared" si="180"/>
        <v>0</v>
      </c>
      <c r="AQ114" s="114">
        <f t="shared" si="180"/>
        <v>0</v>
      </c>
      <c r="AR114" s="114">
        <f t="shared" si="180"/>
        <v>0</v>
      </c>
      <c r="AS114" s="114">
        <f t="shared" si="180"/>
        <v>0</v>
      </c>
      <c r="AT114" s="114">
        <f t="shared" si="180"/>
        <v>0</v>
      </c>
      <c r="AU114" s="114">
        <f t="shared" si="180"/>
        <v>0</v>
      </c>
      <c r="AV114" s="114">
        <f t="shared" si="180"/>
        <v>0</v>
      </c>
      <c r="AW114" s="114">
        <f t="shared" si="180"/>
        <v>0</v>
      </c>
      <c r="AX114" s="114">
        <f t="shared" si="180"/>
        <v>0</v>
      </c>
      <c r="AY114" s="114">
        <f t="shared" si="180"/>
        <v>0</v>
      </c>
      <c r="AZ114" s="114">
        <f t="shared" si="180"/>
        <v>0</v>
      </c>
      <c r="BA114" s="114">
        <f t="shared" si="180"/>
        <v>0</v>
      </c>
      <c r="BB114" s="114">
        <f t="shared" si="180"/>
        <v>0</v>
      </c>
      <c r="BC114" s="114">
        <f t="shared" si="180"/>
        <v>0</v>
      </c>
      <c r="BD114" s="114">
        <f t="shared" si="180"/>
        <v>0</v>
      </c>
      <c r="BE114" s="114">
        <f t="shared" si="180"/>
        <v>0</v>
      </c>
      <c r="BF114" s="114">
        <f t="shared" si="180"/>
        <v>0</v>
      </c>
      <c r="BG114" s="114">
        <f t="shared" si="180"/>
        <v>0</v>
      </c>
      <c r="BH114" s="114">
        <f t="shared" si="180"/>
        <v>0</v>
      </c>
      <c r="BI114" s="114">
        <f t="shared" si="180"/>
        <v>0</v>
      </c>
      <c r="BJ114" s="114">
        <f t="shared" si="180"/>
        <v>0</v>
      </c>
      <c r="BK114" s="114">
        <f t="shared" si="180"/>
        <v>0</v>
      </c>
      <c r="BL114" s="114">
        <f t="shared" si="180"/>
        <v>0</v>
      </c>
      <c r="BM114" s="114">
        <f t="shared" si="180"/>
        <v>0</v>
      </c>
    </row>
    <row r="115" spans="2:71" ht="15" customHeight="1">
      <c r="B115" s="259" t="s">
        <v>115</v>
      </c>
      <c r="C115" s="260" t="s">
        <v>11</v>
      </c>
      <c r="D115" s="261">
        <f>SUM(D113:D114)</f>
        <v>0</v>
      </c>
      <c r="E115" s="248">
        <f t="shared" ref="E115:AG115" si="181">SUM(E113:E114)</f>
        <v>0</v>
      </c>
      <c r="F115" s="248">
        <f t="shared" si="181"/>
        <v>0</v>
      </c>
      <c r="G115" s="248">
        <f t="shared" si="181"/>
        <v>0</v>
      </c>
      <c r="H115" s="248">
        <f t="shared" si="181"/>
        <v>0</v>
      </c>
      <c r="I115" s="248">
        <f t="shared" si="181"/>
        <v>0</v>
      </c>
      <c r="J115" s="248">
        <f t="shared" si="181"/>
        <v>0</v>
      </c>
      <c r="K115" s="248">
        <f t="shared" si="181"/>
        <v>0</v>
      </c>
      <c r="L115" s="248">
        <f t="shared" si="181"/>
        <v>0</v>
      </c>
      <c r="M115" s="248">
        <f t="shared" si="181"/>
        <v>0</v>
      </c>
      <c r="N115" s="248">
        <f t="shared" si="181"/>
        <v>0</v>
      </c>
      <c r="O115" s="248">
        <f t="shared" si="181"/>
        <v>0</v>
      </c>
      <c r="P115" s="248">
        <f t="shared" si="181"/>
        <v>0</v>
      </c>
      <c r="Q115" s="248">
        <f t="shared" si="181"/>
        <v>0</v>
      </c>
      <c r="R115" s="248">
        <f t="shared" si="181"/>
        <v>0</v>
      </c>
      <c r="S115" s="248">
        <f t="shared" si="181"/>
        <v>0</v>
      </c>
      <c r="T115" s="248">
        <f t="shared" si="181"/>
        <v>0</v>
      </c>
      <c r="U115" s="248">
        <f t="shared" si="181"/>
        <v>0</v>
      </c>
      <c r="V115" s="248">
        <f t="shared" si="181"/>
        <v>0</v>
      </c>
      <c r="W115" s="248">
        <f t="shared" si="181"/>
        <v>0</v>
      </c>
      <c r="X115" s="248">
        <f t="shared" si="181"/>
        <v>0</v>
      </c>
      <c r="Y115" s="248">
        <f t="shared" si="181"/>
        <v>0</v>
      </c>
      <c r="Z115" s="248">
        <f t="shared" si="181"/>
        <v>0</v>
      </c>
      <c r="AA115" s="248">
        <f t="shared" si="181"/>
        <v>0</v>
      </c>
      <c r="AB115" s="248">
        <f t="shared" si="181"/>
        <v>0</v>
      </c>
      <c r="AC115" s="248">
        <f t="shared" si="181"/>
        <v>0</v>
      </c>
      <c r="AD115" s="248">
        <f t="shared" si="181"/>
        <v>0</v>
      </c>
      <c r="AE115" s="248">
        <f t="shared" si="181"/>
        <v>0</v>
      </c>
      <c r="AF115" s="248">
        <f t="shared" si="181"/>
        <v>0</v>
      </c>
      <c r="AG115" s="248">
        <f t="shared" si="181"/>
        <v>0</v>
      </c>
      <c r="AH115" s="248">
        <f t="shared" ref="AH115:BM115" si="182">SUM(AH113:AH114)</f>
        <v>0</v>
      </c>
      <c r="AI115" s="248">
        <f t="shared" si="182"/>
        <v>0</v>
      </c>
      <c r="AJ115" s="248">
        <f t="shared" si="182"/>
        <v>0</v>
      </c>
      <c r="AK115" s="248">
        <f t="shared" si="182"/>
        <v>0</v>
      </c>
      <c r="AL115" s="248">
        <f t="shared" si="182"/>
        <v>0</v>
      </c>
      <c r="AM115" s="248">
        <f t="shared" si="182"/>
        <v>0</v>
      </c>
      <c r="AN115" s="248">
        <f t="shared" si="182"/>
        <v>0</v>
      </c>
      <c r="AO115" s="248">
        <f t="shared" si="182"/>
        <v>0</v>
      </c>
      <c r="AP115" s="248">
        <f t="shared" si="182"/>
        <v>0</v>
      </c>
      <c r="AQ115" s="248">
        <f t="shared" si="182"/>
        <v>0</v>
      </c>
      <c r="AR115" s="248">
        <f t="shared" si="182"/>
        <v>0</v>
      </c>
      <c r="AS115" s="248">
        <f t="shared" si="182"/>
        <v>0</v>
      </c>
      <c r="AT115" s="248">
        <f t="shared" si="182"/>
        <v>0</v>
      </c>
      <c r="AU115" s="248">
        <f t="shared" si="182"/>
        <v>0</v>
      </c>
      <c r="AV115" s="248">
        <f t="shared" si="182"/>
        <v>0</v>
      </c>
      <c r="AW115" s="248">
        <f t="shared" si="182"/>
        <v>0</v>
      </c>
      <c r="AX115" s="248">
        <f t="shared" si="182"/>
        <v>0</v>
      </c>
      <c r="AY115" s="248">
        <f t="shared" si="182"/>
        <v>0</v>
      </c>
      <c r="AZ115" s="248">
        <f t="shared" si="182"/>
        <v>0</v>
      </c>
      <c r="BA115" s="248">
        <f t="shared" si="182"/>
        <v>0</v>
      </c>
      <c r="BB115" s="248">
        <f t="shared" si="182"/>
        <v>0</v>
      </c>
      <c r="BC115" s="248">
        <f t="shared" si="182"/>
        <v>0</v>
      </c>
      <c r="BD115" s="248">
        <f t="shared" si="182"/>
        <v>0</v>
      </c>
      <c r="BE115" s="248">
        <f t="shared" si="182"/>
        <v>0</v>
      </c>
      <c r="BF115" s="248">
        <f t="shared" si="182"/>
        <v>0</v>
      </c>
      <c r="BG115" s="248">
        <f t="shared" si="182"/>
        <v>0</v>
      </c>
      <c r="BH115" s="248">
        <f t="shared" si="182"/>
        <v>0</v>
      </c>
      <c r="BI115" s="248">
        <f t="shared" si="182"/>
        <v>0</v>
      </c>
      <c r="BJ115" s="248">
        <f t="shared" si="182"/>
        <v>0</v>
      </c>
      <c r="BK115" s="248">
        <f t="shared" si="182"/>
        <v>0</v>
      </c>
      <c r="BL115" s="248">
        <f t="shared" si="182"/>
        <v>0</v>
      </c>
      <c r="BM115" s="248">
        <f t="shared" si="182"/>
        <v>0</v>
      </c>
    </row>
    <row r="116" spans="2:71" ht="15" customHeight="1">
      <c r="B116" s="37"/>
      <c r="C116" s="37"/>
      <c r="D116" s="37"/>
      <c r="E116" s="37"/>
      <c r="F116" s="37"/>
      <c r="G116" s="37"/>
      <c r="H116" s="37"/>
      <c r="I116" s="37"/>
      <c r="J116" s="37"/>
      <c r="K116" s="37"/>
      <c r="L116" s="37"/>
      <c r="M116" s="37"/>
      <c r="N116" s="37"/>
      <c r="O116" s="37"/>
      <c r="P116" s="37"/>
      <c r="Q116" s="37"/>
      <c r="R116" s="37"/>
      <c r="S116" s="37"/>
      <c r="T116" s="37"/>
      <c r="U116" s="37"/>
      <c r="V116" s="37"/>
      <c r="W116" s="37"/>
      <c r="X116" s="37"/>
      <c r="Y116" s="37"/>
      <c r="Z116" s="37"/>
      <c r="AA116" s="37"/>
      <c r="AB116" s="37"/>
      <c r="AC116" s="37"/>
      <c r="AD116" s="37"/>
      <c r="AE116" s="37"/>
      <c r="AF116" s="37"/>
      <c r="AG116" s="37"/>
      <c r="AH116" s="37"/>
      <c r="AI116" s="37"/>
      <c r="AJ116" s="37"/>
      <c r="AK116" s="37"/>
      <c r="AL116" s="37"/>
      <c r="AM116" s="37"/>
      <c r="AN116" s="37"/>
      <c r="AO116" s="37"/>
      <c r="AP116" s="37"/>
      <c r="AQ116" s="37"/>
      <c r="AR116" s="37"/>
      <c r="AS116" s="37"/>
      <c r="AT116" s="37"/>
      <c r="AU116" s="37"/>
      <c r="AV116" s="37"/>
      <c r="AW116" s="37"/>
      <c r="AX116" s="37"/>
      <c r="AY116" s="37"/>
      <c r="AZ116" s="37"/>
      <c r="BA116" s="37"/>
      <c r="BB116" s="37"/>
      <c r="BC116" s="37"/>
      <c r="BD116" s="37"/>
      <c r="BE116" s="37"/>
      <c r="BF116" s="37"/>
      <c r="BG116" s="37"/>
      <c r="BH116" s="37"/>
      <c r="BI116" s="37"/>
      <c r="BJ116" s="37"/>
      <c r="BK116" s="37"/>
      <c r="BL116" s="37"/>
      <c r="BM116" s="37"/>
    </row>
    <row r="117" spans="2:71" ht="15" customHeight="1">
      <c r="B117" s="529" t="s">
        <v>426</v>
      </c>
      <c r="C117" s="530"/>
      <c r="D117" s="119" t="str">
        <f ca="1">IFERROR(IF(ROUND(MIN(OFFSET(E115,,,,MAX(SUM($E$12:$BM$12),1))),2)&lt;0,"Q","R"),"Q")</f>
        <v>R</v>
      </c>
      <c r="E117" s="37"/>
      <c r="F117" s="37"/>
      <c r="G117" s="37"/>
      <c r="H117" s="37"/>
      <c r="I117" s="37"/>
      <c r="J117" s="37"/>
      <c r="K117" s="37"/>
      <c r="L117" s="37"/>
      <c r="M117" s="37"/>
      <c r="N117" s="37"/>
      <c r="O117" s="37"/>
      <c r="P117" s="37"/>
      <c r="Q117" s="37"/>
      <c r="R117" s="37"/>
      <c r="S117" s="37"/>
      <c r="T117" s="37"/>
      <c r="U117" s="37"/>
      <c r="V117" s="37"/>
      <c r="W117" s="37"/>
      <c r="X117" s="37"/>
      <c r="Y117" s="37"/>
      <c r="Z117" s="37"/>
      <c r="AA117" s="37"/>
      <c r="AB117" s="37"/>
      <c r="AC117" s="37"/>
      <c r="AD117" s="37"/>
      <c r="AE117" s="37"/>
      <c r="AF117" s="37"/>
      <c r="AG117" s="37"/>
      <c r="AH117" s="37"/>
      <c r="AI117" s="37"/>
      <c r="AJ117" s="37"/>
      <c r="AK117" s="37"/>
      <c r="AL117" s="37"/>
      <c r="AM117" s="37"/>
      <c r="AN117" s="37"/>
      <c r="AO117" s="37"/>
      <c r="AP117" s="37"/>
      <c r="AQ117" s="37"/>
      <c r="AR117" s="37"/>
      <c r="AS117" s="37"/>
      <c r="AT117" s="37"/>
      <c r="AU117" s="37"/>
      <c r="AV117" s="37"/>
      <c r="AW117" s="37"/>
      <c r="AX117" s="37"/>
      <c r="AY117" s="37"/>
      <c r="AZ117" s="37"/>
      <c r="BA117" s="37"/>
      <c r="BB117" s="37"/>
      <c r="BC117" s="37"/>
      <c r="BD117" s="37"/>
      <c r="BE117" s="37"/>
      <c r="BF117" s="37"/>
      <c r="BG117" s="37"/>
      <c r="BH117" s="37"/>
      <c r="BI117" s="37"/>
      <c r="BJ117" s="37"/>
      <c r="BK117" s="37"/>
      <c r="BL117" s="37"/>
      <c r="BM117" s="37"/>
    </row>
    <row r="118" spans="2:71" ht="30" customHeight="1">
      <c r="B118" s="529" t="s">
        <v>429</v>
      </c>
      <c r="C118" s="530"/>
      <c r="D118" s="119" t="str">
        <f>IFERROR(IF(ROUND(MIN(E115:BM115),2)&lt;0,"Q","R"),"Q")</f>
        <v>R</v>
      </c>
      <c r="E118" s="37"/>
      <c r="F118" s="37"/>
      <c r="G118" s="37"/>
      <c r="H118" s="37"/>
      <c r="I118" s="37"/>
      <c r="J118" s="37"/>
      <c r="K118" s="37"/>
      <c r="L118" s="37"/>
      <c r="M118" s="37"/>
      <c r="N118" s="37"/>
      <c r="O118" s="37"/>
      <c r="P118" s="37"/>
      <c r="Q118" s="37"/>
      <c r="R118" s="37"/>
      <c r="S118" s="37"/>
      <c r="T118" s="37"/>
      <c r="U118" s="37"/>
      <c r="V118" s="37"/>
      <c r="W118" s="37"/>
      <c r="X118" s="37"/>
      <c r="Y118" s="37"/>
      <c r="Z118" s="37"/>
      <c r="AA118" s="37"/>
      <c r="AB118" s="37"/>
      <c r="AC118" s="37"/>
      <c r="AD118" s="37"/>
      <c r="AE118" s="37"/>
      <c r="AF118" s="37"/>
      <c r="AG118" s="37"/>
      <c r="AH118" s="37"/>
      <c r="AI118" s="37"/>
      <c r="AJ118" s="37"/>
      <c r="AK118" s="37"/>
      <c r="AL118" s="37"/>
      <c r="AM118" s="37"/>
      <c r="AN118" s="37"/>
      <c r="AO118" s="37"/>
      <c r="AP118" s="37"/>
      <c r="AQ118" s="37"/>
      <c r="AR118" s="37"/>
      <c r="AS118" s="37"/>
      <c r="AT118" s="37"/>
      <c r="AU118" s="37"/>
      <c r="AV118" s="37"/>
      <c r="AW118" s="37"/>
      <c r="AX118" s="37"/>
      <c r="AY118" s="37"/>
      <c r="AZ118" s="37"/>
      <c r="BA118" s="37"/>
      <c r="BB118" s="37"/>
      <c r="BC118" s="37"/>
      <c r="BD118" s="37"/>
      <c r="BE118" s="37"/>
      <c r="BF118" s="37"/>
      <c r="BG118" s="37"/>
      <c r="BH118" s="37"/>
      <c r="BI118" s="37"/>
      <c r="BJ118" s="37"/>
      <c r="BK118" s="37"/>
      <c r="BL118" s="37"/>
      <c r="BM118" s="37"/>
    </row>
    <row r="119" spans="2:71" ht="18">
      <c r="B119" s="529" t="s">
        <v>572</v>
      </c>
      <c r="C119" s="530"/>
      <c r="D119" s="119" t="str">
        <f t="array" ref="D119">IFERROR(IF(OR(E93:BM93&gt;E85:BM85),"Q","R"),"Q")</f>
        <v>Q</v>
      </c>
      <c r="E119" s="37"/>
      <c r="F119" s="37"/>
      <c r="G119" s="37"/>
      <c r="H119" s="37"/>
      <c r="I119" s="37"/>
      <c r="J119" s="37"/>
      <c r="K119" s="37"/>
      <c r="L119" s="37"/>
      <c r="M119" s="37"/>
      <c r="N119" s="37"/>
      <c r="O119" s="37"/>
      <c r="P119" s="37"/>
      <c r="Q119" s="37"/>
      <c r="R119" s="37"/>
      <c r="S119" s="37"/>
      <c r="T119" s="37"/>
      <c r="U119" s="37"/>
      <c r="V119" s="37"/>
      <c r="W119" s="37"/>
      <c r="X119" s="37"/>
      <c r="Y119" s="37"/>
      <c r="Z119" s="37"/>
      <c r="AA119" s="37"/>
      <c r="AB119" s="37"/>
      <c r="AC119" s="37"/>
      <c r="AD119" s="37"/>
      <c r="AE119" s="37"/>
      <c r="AF119" s="37"/>
      <c r="AG119" s="37"/>
      <c r="AH119" s="37"/>
      <c r="AI119" s="37"/>
      <c r="AJ119" s="37"/>
      <c r="AK119" s="37"/>
      <c r="AL119" s="37"/>
      <c r="AM119" s="37"/>
      <c r="AN119" s="37"/>
      <c r="AO119" s="37"/>
      <c r="AP119" s="37"/>
      <c r="AQ119" s="37"/>
      <c r="AR119" s="37"/>
      <c r="AS119" s="37"/>
      <c r="AT119" s="37"/>
      <c r="AU119" s="37"/>
      <c r="AV119" s="37"/>
      <c r="AW119" s="37"/>
      <c r="AX119" s="37"/>
      <c r="AY119" s="37"/>
      <c r="AZ119" s="37"/>
      <c r="BA119" s="37"/>
      <c r="BB119" s="37"/>
      <c r="BC119" s="37"/>
      <c r="BD119" s="37"/>
      <c r="BE119" s="37"/>
      <c r="BF119" s="37"/>
      <c r="BG119" s="37"/>
      <c r="BH119" s="37"/>
      <c r="BI119" s="37"/>
      <c r="BJ119" s="37"/>
      <c r="BK119" s="37"/>
      <c r="BL119" s="37"/>
      <c r="BM119" s="37"/>
    </row>
    <row r="120" spans="2:71" ht="30" customHeight="1">
      <c r="B120" s="529" t="s">
        <v>552</v>
      </c>
      <c r="C120" s="530"/>
      <c r="D120" s="119" t="str">
        <f t="array" ref="D120">IFERROR(IF(OR(E105:BM105&lt;E100:BM100),"Q","R"),"Q")</f>
        <v>Q</v>
      </c>
      <c r="E120" s="37"/>
      <c r="F120" s="37"/>
      <c r="G120" s="37"/>
      <c r="H120" s="37"/>
      <c r="I120" s="37"/>
      <c r="J120" s="37"/>
      <c r="K120" s="37"/>
      <c r="L120" s="37"/>
      <c r="M120" s="37"/>
      <c r="N120" s="37"/>
      <c r="O120" s="37"/>
      <c r="P120" s="37"/>
      <c r="Q120" s="37"/>
      <c r="R120" s="37"/>
      <c r="S120" s="37"/>
      <c r="T120" s="37"/>
      <c r="U120" s="37"/>
      <c r="V120" s="37"/>
      <c r="W120" s="37"/>
      <c r="X120" s="37"/>
      <c r="Y120" s="37"/>
      <c r="Z120" s="37"/>
      <c r="AA120" s="37"/>
      <c r="AB120" s="37"/>
      <c r="AC120" s="37"/>
      <c r="AD120" s="37"/>
      <c r="AE120" s="37"/>
      <c r="AF120" s="37"/>
      <c r="AG120" s="37"/>
      <c r="AH120" s="37"/>
      <c r="AI120" s="37"/>
      <c r="AJ120" s="37"/>
      <c r="AK120" s="37"/>
      <c r="AL120" s="37"/>
      <c r="AM120" s="37"/>
      <c r="AN120" s="37"/>
      <c r="AO120" s="37"/>
      <c r="AP120" s="37"/>
      <c r="AQ120" s="37"/>
      <c r="AR120" s="37"/>
      <c r="AS120" s="37"/>
      <c r="AT120" s="37"/>
      <c r="AU120" s="37"/>
      <c r="AV120" s="37"/>
      <c r="AW120" s="37"/>
      <c r="AX120" s="37"/>
      <c r="AY120" s="37"/>
      <c r="AZ120" s="37"/>
      <c r="BA120" s="37"/>
      <c r="BB120" s="37"/>
      <c r="BC120" s="37"/>
      <c r="BD120" s="37"/>
      <c r="BE120" s="37"/>
      <c r="BF120" s="37"/>
      <c r="BG120" s="37"/>
      <c r="BH120" s="37"/>
      <c r="BI120" s="37"/>
      <c r="BJ120" s="37"/>
      <c r="BK120" s="37"/>
      <c r="BL120" s="37"/>
      <c r="BM120" s="37"/>
    </row>
    <row r="121" spans="2:71" ht="15" customHeight="1">
      <c r="B121" s="37"/>
      <c r="C121" s="37"/>
      <c r="D121" s="37"/>
      <c r="E121" s="37"/>
      <c r="F121" s="37"/>
      <c r="G121" s="37"/>
      <c r="H121" s="37"/>
      <c r="I121" s="37"/>
      <c r="J121" s="37"/>
      <c r="K121" s="37"/>
      <c r="L121" s="37"/>
      <c r="M121" s="37"/>
      <c r="N121" s="37"/>
      <c r="O121" s="37"/>
      <c r="P121" s="37"/>
      <c r="Q121" s="37"/>
      <c r="R121" s="37"/>
      <c r="S121" s="37"/>
      <c r="T121" s="37"/>
      <c r="U121" s="37"/>
      <c r="V121" s="37"/>
      <c r="W121" s="37"/>
      <c r="X121" s="37"/>
      <c r="Y121" s="37"/>
      <c r="Z121" s="37"/>
      <c r="AA121" s="37"/>
      <c r="AB121" s="37"/>
      <c r="AC121" s="37"/>
      <c r="AD121" s="37"/>
      <c r="AE121" s="37"/>
      <c r="AF121" s="37"/>
      <c r="AG121" s="37"/>
      <c r="AH121" s="37"/>
      <c r="AI121" s="37"/>
      <c r="AJ121" s="37"/>
      <c r="AK121" s="37"/>
      <c r="AL121" s="37"/>
      <c r="AM121" s="37"/>
      <c r="AN121" s="37"/>
      <c r="AO121" s="37"/>
      <c r="AP121" s="37"/>
      <c r="AQ121" s="37"/>
      <c r="AR121" s="37"/>
      <c r="AS121" s="37"/>
      <c r="AT121" s="37"/>
      <c r="AU121" s="37"/>
      <c r="AV121" s="37"/>
      <c r="AW121" s="37"/>
      <c r="AX121" s="37"/>
      <c r="AY121" s="37"/>
      <c r="AZ121" s="37"/>
      <c r="BA121" s="37"/>
      <c r="BB121" s="37"/>
      <c r="BC121" s="37"/>
      <c r="BD121" s="37"/>
      <c r="BE121" s="37"/>
      <c r="BF121" s="37"/>
      <c r="BG121" s="37"/>
      <c r="BH121" s="37"/>
      <c r="BI121" s="37"/>
      <c r="BJ121" s="37"/>
      <c r="BK121" s="37"/>
      <c r="BL121" s="37"/>
      <c r="BM121" s="37"/>
    </row>
    <row r="122" spans="2:71" ht="21">
      <c r="B122" s="40" t="s">
        <v>67</v>
      </c>
      <c r="C122" s="37"/>
      <c r="D122" s="40"/>
      <c r="E122" s="41"/>
      <c r="F122" s="41"/>
      <c r="G122" s="41"/>
      <c r="H122" s="41"/>
      <c r="I122" s="41"/>
      <c r="J122" s="41"/>
      <c r="K122" s="41"/>
      <c r="L122" s="41"/>
      <c r="M122" s="41"/>
      <c r="N122" s="41"/>
      <c r="O122" s="41"/>
      <c r="P122" s="41"/>
      <c r="Q122" s="41"/>
      <c r="R122" s="41"/>
      <c r="S122" s="41"/>
      <c r="T122" s="41"/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F122" s="41"/>
      <c r="AG122" s="41"/>
      <c r="AH122" s="41"/>
      <c r="AI122" s="41"/>
      <c r="AJ122" s="41"/>
      <c r="AK122" s="41"/>
      <c r="AL122" s="41"/>
      <c r="AM122" s="41"/>
      <c r="AN122" s="41"/>
      <c r="AO122" s="41"/>
      <c r="AP122" s="41"/>
      <c r="AQ122" s="41"/>
      <c r="AR122" s="41"/>
      <c r="AS122" s="41"/>
      <c r="AT122" s="41"/>
      <c r="AU122" s="41"/>
      <c r="AV122" s="41"/>
      <c r="AW122" s="41"/>
      <c r="AX122" s="41"/>
      <c r="AY122" s="41"/>
      <c r="AZ122" s="41"/>
      <c r="BA122" s="41"/>
      <c r="BB122" s="41"/>
      <c r="BC122" s="41"/>
      <c r="BD122" s="41"/>
      <c r="BE122" s="41"/>
      <c r="BF122" s="41"/>
      <c r="BG122" s="41"/>
      <c r="BH122" s="41"/>
      <c r="BI122" s="41"/>
      <c r="BJ122" s="41"/>
      <c r="BK122" s="41"/>
      <c r="BL122" s="41"/>
      <c r="BM122" s="41"/>
      <c r="BN122" s="5"/>
      <c r="BO122" s="5"/>
      <c r="BP122" s="5"/>
      <c r="BQ122" s="5"/>
      <c r="BR122" s="5"/>
      <c r="BS122" s="5"/>
    </row>
    <row r="123" spans="2:71" ht="21">
      <c r="B123" s="118" t="s">
        <v>68</v>
      </c>
      <c r="C123" s="37"/>
      <c r="D123" s="40"/>
      <c r="E123" s="41"/>
      <c r="F123" s="41"/>
      <c r="G123" s="41"/>
      <c r="H123" s="41"/>
      <c r="I123" s="41"/>
      <c r="J123" s="41"/>
      <c r="K123" s="41"/>
      <c r="L123" s="41"/>
      <c r="M123" s="41"/>
      <c r="N123" s="41"/>
      <c r="O123" s="41"/>
      <c r="P123" s="41"/>
      <c r="Q123" s="41"/>
      <c r="R123" s="41"/>
      <c r="S123" s="41"/>
      <c r="T123" s="41"/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F123" s="41"/>
      <c r="AG123" s="41"/>
      <c r="AH123" s="41"/>
      <c r="AI123" s="41"/>
      <c r="AJ123" s="41"/>
      <c r="AK123" s="41"/>
      <c r="AL123" s="41"/>
      <c r="AM123" s="41"/>
      <c r="AN123" s="41"/>
      <c r="AO123" s="41"/>
      <c r="AP123" s="41"/>
      <c r="AQ123" s="41"/>
      <c r="AR123" s="41"/>
      <c r="AS123" s="41"/>
      <c r="AT123" s="41"/>
      <c r="AU123" s="41"/>
      <c r="AV123" s="41"/>
      <c r="AW123" s="41"/>
      <c r="AX123" s="41"/>
      <c r="AY123" s="41"/>
      <c r="AZ123" s="41"/>
      <c r="BA123" s="41"/>
      <c r="BB123" s="41"/>
      <c r="BC123" s="41"/>
      <c r="BD123" s="41"/>
      <c r="BE123" s="41"/>
      <c r="BF123" s="41"/>
      <c r="BG123" s="41"/>
      <c r="BH123" s="41"/>
      <c r="BI123" s="41"/>
      <c r="BJ123" s="41"/>
      <c r="BK123" s="41"/>
      <c r="BL123" s="41"/>
      <c r="BM123" s="41"/>
      <c r="BN123" s="5"/>
      <c r="BO123" s="5"/>
      <c r="BP123" s="5"/>
      <c r="BQ123" s="5"/>
      <c r="BR123" s="5"/>
      <c r="BS123" s="5"/>
    </row>
    <row r="124" spans="2:71" ht="15" customHeight="1">
      <c r="B124" s="112" t="s">
        <v>176</v>
      </c>
      <c r="C124" s="113" t="str">
        <f t="shared" ref="C124:C133" si="183">Единица_измерения</f>
        <v>тыс. руб.</v>
      </c>
      <c r="D124" s="114"/>
      <c r="E124" s="299"/>
      <c r="F124" s="299"/>
      <c r="G124" s="299"/>
      <c r="H124" s="299"/>
      <c r="I124" s="299"/>
      <c r="J124" s="299"/>
      <c r="K124" s="299"/>
      <c r="L124" s="299"/>
      <c r="M124" s="299"/>
      <c r="N124" s="299"/>
      <c r="O124" s="299"/>
      <c r="P124" s="299"/>
      <c r="Q124" s="299"/>
      <c r="R124" s="299"/>
      <c r="S124" s="299"/>
      <c r="T124" s="299"/>
      <c r="U124" s="299"/>
      <c r="V124" s="299"/>
      <c r="W124" s="299"/>
      <c r="X124" s="299"/>
      <c r="Y124" s="299"/>
      <c r="Z124" s="299"/>
      <c r="AA124" s="299"/>
      <c r="AB124" s="299"/>
      <c r="AC124" s="299"/>
      <c r="AD124" s="299"/>
      <c r="AE124" s="299"/>
      <c r="AF124" s="299"/>
      <c r="AG124" s="299"/>
      <c r="AH124" s="299"/>
      <c r="AI124" s="299"/>
      <c r="AJ124" s="299"/>
      <c r="AK124" s="299"/>
      <c r="AL124" s="299"/>
      <c r="AM124" s="299"/>
      <c r="AN124" s="299"/>
      <c r="AO124" s="299"/>
      <c r="AP124" s="299"/>
      <c r="AQ124" s="299"/>
      <c r="AR124" s="299"/>
      <c r="AS124" s="299"/>
      <c r="AT124" s="299"/>
      <c r="AU124" s="299"/>
      <c r="AV124" s="299"/>
      <c r="AW124" s="299"/>
      <c r="AX124" s="299"/>
      <c r="AY124" s="299"/>
      <c r="AZ124" s="299"/>
      <c r="BA124" s="299"/>
      <c r="BB124" s="299"/>
      <c r="BC124" s="299"/>
      <c r="BD124" s="299"/>
      <c r="BE124" s="299"/>
      <c r="BF124" s="299"/>
      <c r="BG124" s="299"/>
      <c r="BH124" s="299"/>
      <c r="BI124" s="299"/>
      <c r="BJ124" s="299"/>
      <c r="BK124" s="299"/>
      <c r="BL124" s="299"/>
      <c r="BM124" s="299"/>
    </row>
    <row r="125" spans="2:71" ht="15" customHeight="1">
      <c r="B125" s="117" t="s">
        <v>177</v>
      </c>
      <c r="C125" s="113" t="str">
        <f t="shared" si="183"/>
        <v>тыс. руб.</v>
      </c>
      <c r="D125" s="114"/>
      <c r="E125" s="299"/>
      <c r="F125" s="299"/>
      <c r="G125" s="299"/>
      <c r="H125" s="299"/>
      <c r="I125" s="299"/>
      <c r="J125" s="299"/>
      <c r="K125" s="299"/>
      <c r="L125" s="299"/>
      <c r="M125" s="299"/>
      <c r="N125" s="299"/>
      <c r="O125" s="299"/>
      <c r="P125" s="299"/>
      <c r="Q125" s="299"/>
      <c r="R125" s="299"/>
      <c r="S125" s="299"/>
      <c r="T125" s="299"/>
      <c r="U125" s="299"/>
      <c r="V125" s="299"/>
      <c r="W125" s="299"/>
      <c r="X125" s="299"/>
      <c r="Y125" s="299"/>
      <c r="Z125" s="299"/>
      <c r="AA125" s="299"/>
      <c r="AB125" s="299"/>
      <c r="AC125" s="299"/>
      <c r="AD125" s="299"/>
      <c r="AE125" s="299"/>
      <c r="AF125" s="299"/>
      <c r="AG125" s="299"/>
      <c r="AH125" s="299"/>
      <c r="AI125" s="299"/>
      <c r="AJ125" s="299"/>
      <c r="AK125" s="299"/>
      <c r="AL125" s="299"/>
      <c r="AM125" s="299"/>
      <c r="AN125" s="299"/>
      <c r="AO125" s="299"/>
      <c r="AP125" s="299"/>
      <c r="AQ125" s="299"/>
      <c r="AR125" s="299"/>
      <c r="AS125" s="299"/>
      <c r="AT125" s="299"/>
      <c r="AU125" s="299"/>
      <c r="AV125" s="299"/>
      <c r="AW125" s="299"/>
      <c r="AX125" s="299"/>
      <c r="AY125" s="299"/>
      <c r="AZ125" s="299"/>
      <c r="BA125" s="299"/>
      <c r="BB125" s="299"/>
      <c r="BC125" s="299"/>
      <c r="BD125" s="299"/>
      <c r="BE125" s="299"/>
      <c r="BF125" s="299"/>
      <c r="BG125" s="299"/>
      <c r="BH125" s="299"/>
      <c r="BI125" s="299"/>
      <c r="BJ125" s="299"/>
      <c r="BK125" s="299"/>
      <c r="BL125" s="299"/>
      <c r="BM125" s="299"/>
    </row>
    <row r="126" spans="2:71" ht="15" customHeight="1">
      <c r="B126" s="117" t="s">
        <v>178</v>
      </c>
      <c r="C126" s="113" t="str">
        <f t="shared" si="183"/>
        <v>тыс. руб.</v>
      </c>
      <c r="D126" s="114"/>
      <c r="E126" s="299"/>
      <c r="F126" s="299"/>
      <c r="G126" s="299"/>
      <c r="H126" s="299"/>
      <c r="I126" s="299"/>
      <c r="J126" s="299"/>
      <c r="K126" s="299"/>
      <c r="L126" s="299"/>
      <c r="M126" s="299"/>
      <c r="N126" s="299"/>
      <c r="O126" s="299"/>
      <c r="P126" s="299"/>
      <c r="Q126" s="299"/>
      <c r="R126" s="299"/>
      <c r="S126" s="299"/>
      <c r="T126" s="299"/>
      <c r="U126" s="299"/>
      <c r="V126" s="299"/>
      <c r="W126" s="299"/>
      <c r="X126" s="299"/>
      <c r="Y126" s="299"/>
      <c r="Z126" s="299"/>
      <c r="AA126" s="299"/>
      <c r="AB126" s="299"/>
      <c r="AC126" s="299"/>
      <c r="AD126" s="299"/>
      <c r="AE126" s="299"/>
      <c r="AF126" s="299"/>
      <c r="AG126" s="299"/>
      <c r="AH126" s="299"/>
      <c r="AI126" s="299"/>
      <c r="AJ126" s="299"/>
      <c r="AK126" s="299"/>
      <c r="AL126" s="299"/>
      <c r="AM126" s="299"/>
      <c r="AN126" s="299"/>
      <c r="AO126" s="299"/>
      <c r="AP126" s="299"/>
      <c r="AQ126" s="299"/>
      <c r="AR126" s="299"/>
      <c r="AS126" s="299"/>
      <c r="AT126" s="299"/>
      <c r="AU126" s="299"/>
      <c r="AV126" s="299"/>
      <c r="AW126" s="299"/>
      <c r="AX126" s="299"/>
      <c r="AY126" s="299"/>
      <c r="AZ126" s="299"/>
      <c r="BA126" s="299"/>
      <c r="BB126" s="299"/>
      <c r="BC126" s="299"/>
      <c r="BD126" s="299"/>
      <c r="BE126" s="299"/>
      <c r="BF126" s="299"/>
      <c r="BG126" s="299"/>
      <c r="BH126" s="299"/>
      <c r="BI126" s="299"/>
      <c r="BJ126" s="299"/>
      <c r="BK126" s="299"/>
      <c r="BL126" s="299"/>
      <c r="BM126" s="299"/>
    </row>
    <row r="127" spans="2:71" ht="15" customHeight="1">
      <c r="B127" s="117" t="s">
        <v>179</v>
      </c>
      <c r="C127" s="113" t="str">
        <f t="shared" si="183"/>
        <v>тыс. руб.</v>
      </c>
      <c r="D127" s="114"/>
      <c r="E127" s="299"/>
      <c r="F127" s="299"/>
      <c r="G127" s="299"/>
      <c r="H127" s="299"/>
      <c r="I127" s="299"/>
      <c r="J127" s="299"/>
      <c r="K127" s="299"/>
      <c r="L127" s="299"/>
      <c r="M127" s="299"/>
      <c r="N127" s="299"/>
      <c r="O127" s="299"/>
      <c r="P127" s="299"/>
      <c r="Q127" s="299"/>
      <c r="R127" s="299"/>
      <c r="S127" s="299"/>
      <c r="T127" s="299"/>
      <c r="U127" s="299"/>
      <c r="V127" s="299"/>
      <c r="W127" s="299"/>
      <c r="X127" s="299"/>
      <c r="Y127" s="299"/>
      <c r="Z127" s="299"/>
      <c r="AA127" s="299"/>
      <c r="AB127" s="299"/>
      <c r="AC127" s="299"/>
      <c r="AD127" s="299"/>
      <c r="AE127" s="299"/>
      <c r="AF127" s="299"/>
      <c r="AG127" s="299"/>
      <c r="AH127" s="299"/>
      <c r="AI127" s="299"/>
      <c r="AJ127" s="299"/>
      <c r="AK127" s="299"/>
      <c r="AL127" s="299"/>
      <c r="AM127" s="299"/>
      <c r="AN127" s="299"/>
      <c r="AO127" s="299"/>
      <c r="AP127" s="299"/>
      <c r="AQ127" s="299"/>
      <c r="AR127" s="299"/>
      <c r="AS127" s="299"/>
      <c r="AT127" s="299"/>
      <c r="AU127" s="299"/>
      <c r="AV127" s="299"/>
      <c r="AW127" s="299"/>
      <c r="AX127" s="299"/>
      <c r="AY127" s="299"/>
      <c r="AZ127" s="299"/>
      <c r="BA127" s="299"/>
      <c r="BB127" s="299"/>
      <c r="BC127" s="299"/>
      <c r="BD127" s="299"/>
      <c r="BE127" s="299"/>
      <c r="BF127" s="299"/>
      <c r="BG127" s="299"/>
      <c r="BH127" s="299"/>
      <c r="BI127" s="299"/>
      <c r="BJ127" s="299"/>
      <c r="BK127" s="299"/>
      <c r="BL127" s="299"/>
      <c r="BM127" s="299"/>
    </row>
    <row r="128" spans="2:71" ht="15" customHeight="1">
      <c r="B128" s="117" t="s">
        <v>69</v>
      </c>
      <c r="C128" s="113" t="str">
        <f t="shared" si="183"/>
        <v>тыс. руб.</v>
      </c>
      <c r="D128" s="114"/>
      <c r="E128" s="299"/>
      <c r="F128" s="299">
        <f t="shared" ref="F128:AK128" si="184">(E128-F37-F73/1.2-F65)*IF($K$3&lt;F8,0,1)</f>
        <v>0</v>
      </c>
      <c r="G128" s="299">
        <f t="shared" si="184"/>
        <v>0</v>
      </c>
      <c r="H128" s="299">
        <f t="shared" si="184"/>
        <v>0</v>
      </c>
      <c r="I128" s="299">
        <f t="shared" si="184"/>
        <v>0</v>
      </c>
      <c r="J128" s="299">
        <f t="shared" si="184"/>
        <v>0</v>
      </c>
      <c r="K128" s="299">
        <f t="shared" si="184"/>
        <v>0</v>
      </c>
      <c r="L128" s="299">
        <f t="shared" si="184"/>
        <v>0</v>
      </c>
      <c r="M128" s="299">
        <f t="shared" si="184"/>
        <v>0</v>
      </c>
      <c r="N128" s="299">
        <f t="shared" si="184"/>
        <v>0</v>
      </c>
      <c r="O128" s="299">
        <f t="shared" si="184"/>
        <v>0</v>
      </c>
      <c r="P128" s="299">
        <f t="shared" si="184"/>
        <v>0</v>
      </c>
      <c r="Q128" s="299">
        <f t="shared" si="184"/>
        <v>0</v>
      </c>
      <c r="R128" s="299">
        <f t="shared" si="184"/>
        <v>0</v>
      </c>
      <c r="S128" s="299">
        <f t="shared" si="184"/>
        <v>0</v>
      </c>
      <c r="T128" s="299">
        <f t="shared" si="184"/>
        <v>0</v>
      </c>
      <c r="U128" s="299">
        <f t="shared" si="184"/>
        <v>0</v>
      </c>
      <c r="V128" s="299">
        <f t="shared" si="184"/>
        <v>0</v>
      </c>
      <c r="W128" s="299">
        <f t="shared" si="184"/>
        <v>0</v>
      </c>
      <c r="X128" s="299">
        <f t="shared" si="184"/>
        <v>0</v>
      </c>
      <c r="Y128" s="299">
        <f t="shared" si="184"/>
        <v>0</v>
      </c>
      <c r="Z128" s="299">
        <f t="shared" si="184"/>
        <v>0</v>
      </c>
      <c r="AA128" s="299">
        <f t="shared" si="184"/>
        <v>0</v>
      </c>
      <c r="AB128" s="299">
        <f t="shared" si="184"/>
        <v>0</v>
      </c>
      <c r="AC128" s="299">
        <f t="shared" si="184"/>
        <v>0</v>
      </c>
      <c r="AD128" s="299">
        <f t="shared" si="184"/>
        <v>0</v>
      </c>
      <c r="AE128" s="299">
        <f t="shared" si="184"/>
        <v>0</v>
      </c>
      <c r="AF128" s="299">
        <f t="shared" si="184"/>
        <v>0</v>
      </c>
      <c r="AG128" s="299">
        <f t="shared" si="184"/>
        <v>0</v>
      </c>
      <c r="AH128" s="299">
        <f t="shared" si="184"/>
        <v>0</v>
      </c>
      <c r="AI128" s="299">
        <f t="shared" si="184"/>
        <v>0</v>
      </c>
      <c r="AJ128" s="299">
        <f t="shared" si="184"/>
        <v>0</v>
      </c>
      <c r="AK128" s="299">
        <f t="shared" si="184"/>
        <v>0</v>
      </c>
      <c r="AL128" s="299">
        <f t="shared" ref="AL128:BM128" si="185">(AK128-AL37-AL73/1.2-AL65)*IF($K$3&lt;AL8,0,1)</f>
        <v>0</v>
      </c>
      <c r="AM128" s="299">
        <f t="shared" si="185"/>
        <v>0</v>
      </c>
      <c r="AN128" s="299">
        <f t="shared" si="185"/>
        <v>0</v>
      </c>
      <c r="AO128" s="299">
        <f t="shared" si="185"/>
        <v>0</v>
      </c>
      <c r="AP128" s="299">
        <f t="shared" si="185"/>
        <v>0</v>
      </c>
      <c r="AQ128" s="299">
        <f t="shared" si="185"/>
        <v>0</v>
      </c>
      <c r="AR128" s="299">
        <f t="shared" si="185"/>
        <v>0</v>
      </c>
      <c r="AS128" s="299">
        <f t="shared" si="185"/>
        <v>0</v>
      </c>
      <c r="AT128" s="299">
        <f t="shared" si="185"/>
        <v>0</v>
      </c>
      <c r="AU128" s="299">
        <f t="shared" si="185"/>
        <v>0</v>
      </c>
      <c r="AV128" s="299">
        <f t="shared" si="185"/>
        <v>0</v>
      </c>
      <c r="AW128" s="299">
        <f t="shared" si="185"/>
        <v>0</v>
      </c>
      <c r="AX128" s="299">
        <f t="shared" si="185"/>
        <v>0</v>
      </c>
      <c r="AY128" s="299">
        <f t="shared" si="185"/>
        <v>0</v>
      </c>
      <c r="AZ128" s="299">
        <f t="shared" si="185"/>
        <v>0</v>
      </c>
      <c r="BA128" s="299">
        <f t="shared" si="185"/>
        <v>0</v>
      </c>
      <c r="BB128" s="299">
        <f t="shared" si="185"/>
        <v>0</v>
      </c>
      <c r="BC128" s="299">
        <f t="shared" si="185"/>
        <v>0</v>
      </c>
      <c r="BD128" s="299">
        <f t="shared" si="185"/>
        <v>0</v>
      </c>
      <c r="BE128" s="299">
        <f t="shared" si="185"/>
        <v>0</v>
      </c>
      <c r="BF128" s="299">
        <f t="shared" si="185"/>
        <v>0</v>
      </c>
      <c r="BG128" s="299">
        <f t="shared" si="185"/>
        <v>0</v>
      </c>
      <c r="BH128" s="299">
        <f t="shared" si="185"/>
        <v>0</v>
      </c>
      <c r="BI128" s="299">
        <f t="shared" si="185"/>
        <v>0</v>
      </c>
      <c r="BJ128" s="299">
        <f t="shared" si="185"/>
        <v>0</v>
      </c>
      <c r="BK128" s="299">
        <f t="shared" si="185"/>
        <v>0</v>
      </c>
      <c r="BL128" s="299">
        <f t="shared" si="185"/>
        <v>0</v>
      </c>
      <c r="BM128" s="299">
        <f t="shared" si="185"/>
        <v>0</v>
      </c>
    </row>
    <row r="129" spans="2:71" ht="15" customHeight="1">
      <c r="B129" s="117" t="s">
        <v>180</v>
      </c>
      <c r="C129" s="113" t="str">
        <f t="shared" si="183"/>
        <v>тыс. руб.</v>
      </c>
      <c r="D129" s="114"/>
      <c r="E129" s="299"/>
      <c r="F129" s="299"/>
      <c r="G129" s="299"/>
      <c r="H129" s="299"/>
      <c r="I129" s="299"/>
      <c r="J129" s="299"/>
      <c r="K129" s="299"/>
      <c r="L129" s="299"/>
      <c r="M129" s="299"/>
      <c r="N129" s="299"/>
      <c r="O129" s="299"/>
      <c r="P129" s="299"/>
      <c r="Q129" s="299"/>
      <c r="R129" s="299"/>
      <c r="S129" s="299"/>
      <c r="T129" s="299"/>
      <c r="U129" s="299"/>
      <c r="V129" s="299"/>
      <c r="W129" s="299"/>
      <c r="X129" s="299"/>
      <c r="Y129" s="299"/>
      <c r="Z129" s="299"/>
      <c r="AA129" s="299"/>
      <c r="AB129" s="299"/>
      <c r="AC129" s="299"/>
      <c r="AD129" s="299"/>
      <c r="AE129" s="299"/>
      <c r="AF129" s="299"/>
      <c r="AG129" s="299"/>
      <c r="AH129" s="299"/>
      <c r="AI129" s="299"/>
      <c r="AJ129" s="299"/>
      <c r="AK129" s="299"/>
      <c r="AL129" s="299"/>
      <c r="AM129" s="299"/>
      <c r="AN129" s="299"/>
      <c r="AO129" s="299"/>
      <c r="AP129" s="299"/>
      <c r="AQ129" s="299"/>
      <c r="AR129" s="299"/>
      <c r="AS129" s="299"/>
      <c r="AT129" s="299"/>
      <c r="AU129" s="299"/>
      <c r="AV129" s="299"/>
      <c r="AW129" s="299"/>
      <c r="AX129" s="299"/>
      <c r="AY129" s="299"/>
      <c r="AZ129" s="299"/>
      <c r="BA129" s="299"/>
      <c r="BB129" s="299"/>
      <c r="BC129" s="299"/>
      <c r="BD129" s="299"/>
      <c r="BE129" s="299"/>
      <c r="BF129" s="299"/>
      <c r="BG129" s="299"/>
      <c r="BH129" s="299"/>
      <c r="BI129" s="299"/>
      <c r="BJ129" s="299"/>
      <c r="BK129" s="299"/>
      <c r="BL129" s="299"/>
      <c r="BM129" s="299"/>
    </row>
    <row r="130" spans="2:71" ht="15" customHeight="1">
      <c r="B130" s="117" t="s">
        <v>181</v>
      </c>
      <c r="C130" s="113" t="str">
        <f t="shared" si="183"/>
        <v>тыс. руб.</v>
      </c>
      <c r="D130" s="114"/>
      <c r="E130" s="299"/>
      <c r="F130" s="299"/>
      <c r="G130" s="299"/>
      <c r="H130" s="299"/>
      <c r="I130" s="299"/>
      <c r="J130" s="299"/>
      <c r="K130" s="299"/>
      <c r="L130" s="299"/>
      <c r="M130" s="299"/>
      <c r="N130" s="299"/>
      <c r="O130" s="299"/>
      <c r="P130" s="299"/>
      <c r="Q130" s="299"/>
      <c r="R130" s="299"/>
      <c r="S130" s="299"/>
      <c r="T130" s="299"/>
      <c r="U130" s="299"/>
      <c r="V130" s="299"/>
      <c r="W130" s="299"/>
      <c r="X130" s="299"/>
      <c r="Y130" s="299"/>
      <c r="Z130" s="299"/>
      <c r="AA130" s="299"/>
      <c r="AB130" s="299"/>
      <c r="AC130" s="299"/>
      <c r="AD130" s="299"/>
      <c r="AE130" s="299"/>
      <c r="AF130" s="299"/>
      <c r="AG130" s="299"/>
      <c r="AH130" s="299"/>
      <c r="AI130" s="299"/>
      <c r="AJ130" s="299"/>
      <c r="AK130" s="299"/>
      <c r="AL130" s="299"/>
      <c r="AM130" s="299"/>
      <c r="AN130" s="299"/>
      <c r="AO130" s="299"/>
      <c r="AP130" s="299"/>
      <c r="AQ130" s="299"/>
      <c r="AR130" s="299"/>
      <c r="AS130" s="299"/>
      <c r="AT130" s="299"/>
      <c r="AU130" s="299"/>
      <c r="AV130" s="299"/>
      <c r="AW130" s="299"/>
      <c r="AX130" s="299"/>
      <c r="AY130" s="299"/>
      <c r="AZ130" s="299"/>
      <c r="BA130" s="299"/>
      <c r="BB130" s="299"/>
      <c r="BC130" s="299"/>
      <c r="BD130" s="299"/>
      <c r="BE130" s="299"/>
      <c r="BF130" s="299"/>
      <c r="BG130" s="299"/>
      <c r="BH130" s="299"/>
      <c r="BI130" s="299"/>
      <c r="BJ130" s="299"/>
      <c r="BK130" s="299"/>
      <c r="BL130" s="299"/>
      <c r="BM130" s="299"/>
    </row>
    <row r="131" spans="2:71" ht="15" customHeight="1">
      <c r="B131" s="117" t="s">
        <v>182</v>
      </c>
      <c r="C131" s="113" t="str">
        <f t="shared" si="183"/>
        <v>тыс. руб.</v>
      </c>
      <c r="D131" s="114"/>
      <c r="E131" s="299"/>
      <c r="F131" s="299"/>
      <c r="G131" s="299"/>
      <c r="H131" s="299"/>
      <c r="I131" s="299"/>
      <c r="J131" s="299"/>
      <c r="K131" s="299"/>
      <c r="L131" s="299"/>
      <c r="M131" s="299"/>
      <c r="N131" s="299"/>
      <c r="O131" s="299"/>
      <c r="P131" s="299"/>
      <c r="Q131" s="299"/>
      <c r="R131" s="299"/>
      <c r="S131" s="299"/>
      <c r="T131" s="299"/>
      <c r="U131" s="299"/>
      <c r="V131" s="299"/>
      <c r="W131" s="299"/>
      <c r="X131" s="299"/>
      <c r="Y131" s="299"/>
      <c r="Z131" s="299"/>
      <c r="AA131" s="299"/>
      <c r="AB131" s="299"/>
      <c r="AC131" s="299"/>
      <c r="AD131" s="299"/>
      <c r="AE131" s="299"/>
      <c r="AF131" s="299"/>
      <c r="AG131" s="299"/>
      <c r="AH131" s="299"/>
      <c r="AI131" s="299"/>
      <c r="AJ131" s="299"/>
      <c r="AK131" s="299"/>
      <c r="AL131" s="299"/>
      <c r="AM131" s="299"/>
      <c r="AN131" s="299"/>
      <c r="AO131" s="299"/>
      <c r="AP131" s="299"/>
      <c r="AQ131" s="299"/>
      <c r="AR131" s="299"/>
      <c r="AS131" s="299"/>
      <c r="AT131" s="299"/>
      <c r="AU131" s="299"/>
      <c r="AV131" s="299"/>
      <c r="AW131" s="299"/>
      <c r="AX131" s="299"/>
      <c r="AY131" s="299"/>
      <c r="AZ131" s="299"/>
      <c r="BA131" s="299"/>
      <c r="BB131" s="299"/>
      <c r="BC131" s="299"/>
      <c r="BD131" s="299"/>
      <c r="BE131" s="299"/>
      <c r="BF131" s="299"/>
      <c r="BG131" s="299"/>
      <c r="BH131" s="299"/>
      <c r="BI131" s="299"/>
      <c r="BJ131" s="299"/>
      <c r="BK131" s="299"/>
      <c r="BL131" s="299"/>
      <c r="BM131" s="299"/>
    </row>
    <row r="132" spans="2:71" ht="15" customHeight="1">
      <c r="B132" s="117" t="s">
        <v>183</v>
      </c>
      <c r="C132" s="113" t="str">
        <f t="shared" si="183"/>
        <v>тыс. руб.</v>
      </c>
      <c r="D132" s="114"/>
      <c r="E132" s="299"/>
      <c r="F132" s="299"/>
      <c r="G132" s="299"/>
      <c r="H132" s="299"/>
      <c r="I132" s="299"/>
      <c r="J132" s="299"/>
      <c r="K132" s="299"/>
      <c r="L132" s="299"/>
      <c r="M132" s="299"/>
      <c r="N132" s="299"/>
      <c r="O132" s="299"/>
      <c r="P132" s="299"/>
      <c r="Q132" s="299"/>
      <c r="R132" s="299"/>
      <c r="S132" s="299"/>
      <c r="T132" s="299"/>
      <c r="U132" s="299"/>
      <c r="V132" s="299"/>
      <c r="W132" s="299"/>
      <c r="X132" s="299"/>
      <c r="Y132" s="299"/>
      <c r="Z132" s="299"/>
      <c r="AA132" s="299"/>
      <c r="AB132" s="299"/>
      <c r="AC132" s="299"/>
      <c r="AD132" s="299"/>
      <c r="AE132" s="299"/>
      <c r="AF132" s="299"/>
      <c r="AG132" s="299"/>
      <c r="AH132" s="299"/>
      <c r="AI132" s="299"/>
      <c r="AJ132" s="299"/>
      <c r="AK132" s="299"/>
      <c r="AL132" s="299"/>
      <c r="AM132" s="299"/>
      <c r="AN132" s="299"/>
      <c r="AO132" s="299"/>
      <c r="AP132" s="299"/>
      <c r="AQ132" s="299"/>
      <c r="AR132" s="299"/>
      <c r="AS132" s="299"/>
      <c r="AT132" s="299"/>
      <c r="AU132" s="299"/>
      <c r="AV132" s="299"/>
      <c r="AW132" s="299"/>
      <c r="AX132" s="299"/>
      <c r="AY132" s="299"/>
      <c r="AZ132" s="299"/>
      <c r="BA132" s="299"/>
      <c r="BB132" s="299"/>
      <c r="BC132" s="299"/>
      <c r="BD132" s="299"/>
      <c r="BE132" s="299"/>
      <c r="BF132" s="299"/>
      <c r="BG132" s="299"/>
      <c r="BH132" s="299"/>
      <c r="BI132" s="299"/>
      <c r="BJ132" s="299"/>
      <c r="BK132" s="299"/>
      <c r="BL132" s="299"/>
      <c r="BM132" s="299"/>
    </row>
    <row r="133" spans="2:71" ht="15" customHeight="1">
      <c r="B133" s="259" t="s">
        <v>75</v>
      </c>
      <c r="C133" s="260" t="str">
        <f t="shared" si="183"/>
        <v>тыс. руб.</v>
      </c>
      <c r="D133" s="248"/>
      <c r="E133" s="248">
        <f t="shared" ref="E133:AG133" si="186">SUM(E124:E132)</f>
        <v>0</v>
      </c>
      <c r="F133" s="248">
        <f t="shared" si="186"/>
        <v>0</v>
      </c>
      <c r="G133" s="248">
        <f t="shared" si="186"/>
        <v>0</v>
      </c>
      <c r="H133" s="248">
        <f t="shared" si="186"/>
        <v>0</v>
      </c>
      <c r="I133" s="248">
        <f t="shared" si="186"/>
        <v>0</v>
      </c>
      <c r="J133" s="248">
        <f t="shared" si="186"/>
        <v>0</v>
      </c>
      <c r="K133" s="248">
        <f t="shared" si="186"/>
        <v>0</v>
      </c>
      <c r="L133" s="248">
        <f t="shared" si="186"/>
        <v>0</v>
      </c>
      <c r="M133" s="248">
        <f t="shared" si="186"/>
        <v>0</v>
      </c>
      <c r="N133" s="248">
        <f t="shared" si="186"/>
        <v>0</v>
      </c>
      <c r="O133" s="248">
        <f t="shared" si="186"/>
        <v>0</v>
      </c>
      <c r="P133" s="248">
        <f t="shared" si="186"/>
        <v>0</v>
      </c>
      <c r="Q133" s="248">
        <f t="shared" si="186"/>
        <v>0</v>
      </c>
      <c r="R133" s="248">
        <f t="shared" si="186"/>
        <v>0</v>
      </c>
      <c r="S133" s="248">
        <f t="shared" si="186"/>
        <v>0</v>
      </c>
      <c r="T133" s="248">
        <f t="shared" si="186"/>
        <v>0</v>
      </c>
      <c r="U133" s="248">
        <f t="shared" si="186"/>
        <v>0</v>
      </c>
      <c r="V133" s="248">
        <f t="shared" si="186"/>
        <v>0</v>
      </c>
      <c r="W133" s="248">
        <f t="shared" si="186"/>
        <v>0</v>
      </c>
      <c r="X133" s="248">
        <f t="shared" si="186"/>
        <v>0</v>
      </c>
      <c r="Y133" s="248">
        <f t="shared" si="186"/>
        <v>0</v>
      </c>
      <c r="Z133" s="248">
        <f t="shared" si="186"/>
        <v>0</v>
      </c>
      <c r="AA133" s="248">
        <f t="shared" si="186"/>
        <v>0</v>
      </c>
      <c r="AB133" s="248">
        <f t="shared" si="186"/>
        <v>0</v>
      </c>
      <c r="AC133" s="248">
        <f t="shared" si="186"/>
        <v>0</v>
      </c>
      <c r="AD133" s="248">
        <f t="shared" si="186"/>
        <v>0</v>
      </c>
      <c r="AE133" s="248">
        <f t="shared" si="186"/>
        <v>0</v>
      </c>
      <c r="AF133" s="248">
        <f t="shared" si="186"/>
        <v>0</v>
      </c>
      <c r="AG133" s="248">
        <f t="shared" si="186"/>
        <v>0</v>
      </c>
      <c r="AH133" s="248">
        <f t="shared" ref="AH133:BM133" si="187">SUM(AH124:AH132)</f>
        <v>0</v>
      </c>
      <c r="AI133" s="248">
        <f t="shared" si="187"/>
        <v>0</v>
      </c>
      <c r="AJ133" s="248">
        <f t="shared" si="187"/>
        <v>0</v>
      </c>
      <c r="AK133" s="248">
        <f t="shared" si="187"/>
        <v>0</v>
      </c>
      <c r="AL133" s="248">
        <f t="shared" si="187"/>
        <v>0</v>
      </c>
      <c r="AM133" s="248">
        <f t="shared" si="187"/>
        <v>0</v>
      </c>
      <c r="AN133" s="248">
        <f t="shared" si="187"/>
        <v>0</v>
      </c>
      <c r="AO133" s="248">
        <f t="shared" si="187"/>
        <v>0</v>
      </c>
      <c r="AP133" s="248">
        <f t="shared" si="187"/>
        <v>0</v>
      </c>
      <c r="AQ133" s="248">
        <f t="shared" si="187"/>
        <v>0</v>
      </c>
      <c r="AR133" s="248">
        <f t="shared" si="187"/>
        <v>0</v>
      </c>
      <c r="AS133" s="248">
        <f t="shared" si="187"/>
        <v>0</v>
      </c>
      <c r="AT133" s="248">
        <f t="shared" si="187"/>
        <v>0</v>
      </c>
      <c r="AU133" s="248">
        <f t="shared" si="187"/>
        <v>0</v>
      </c>
      <c r="AV133" s="248">
        <f t="shared" si="187"/>
        <v>0</v>
      </c>
      <c r="AW133" s="248">
        <f t="shared" si="187"/>
        <v>0</v>
      </c>
      <c r="AX133" s="248">
        <f t="shared" si="187"/>
        <v>0</v>
      </c>
      <c r="AY133" s="248">
        <f t="shared" si="187"/>
        <v>0</v>
      </c>
      <c r="AZ133" s="248">
        <f t="shared" si="187"/>
        <v>0</v>
      </c>
      <c r="BA133" s="248">
        <f t="shared" si="187"/>
        <v>0</v>
      </c>
      <c r="BB133" s="248">
        <f t="shared" si="187"/>
        <v>0</v>
      </c>
      <c r="BC133" s="248">
        <f t="shared" si="187"/>
        <v>0</v>
      </c>
      <c r="BD133" s="248">
        <f t="shared" si="187"/>
        <v>0</v>
      </c>
      <c r="BE133" s="248">
        <f t="shared" si="187"/>
        <v>0</v>
      </c>
      <c r="BF133" s="248">
        <f t="shared" si="187"/>
        <v>0</v>
      </c>
      <c r="BG133" s="248">
        <f t="shared" si="187"/>
        <v>0</v>
      </c>
      <c r="BH133" s="248">
        <f t="shared" si="187"/>
        <v>0</v>
      </c>
      <c r="BI133" s="248">
        <f t="shared" si="187"/>
        <v>0</v>
      </c>
      <c r="BJ133" s="248">
        <f t="shared" si="187"/>
        <v>0</v>
      </c>
      <c r="BK133" s="248">
        <f t="shared" si="187"/>
        <v>0</v>
      </c>
      <c r="BL133" s="248">
        <f t="shared" si="187"/>
        <v>0</v>
      </c>
      <c r="BM133" s="248">
        <f t="shared" si="187"/>
        <v>0</v>
      </c>
    </row>
    <row r="134" spans="2:71" ht="15" customHeight="1">
      <c r="B134" s="37"/>
      <c r="C134" s="37"/>
      <c r="D134" s="37"/>
      <c r="E134" s="37"/>
      <c r="F134" s="37"/>
      <c r="G134" s="37"/>
      <c r="H134" s="37"/>
      <c r="I134" s="37"/>
      <c r="J134" s="37"/>
      <c r="K134" s="37"/>
      <c r="L134" s="37"/>
      <c r="M134" s="37"/>
      <c r="N134" s="37"/>
      <c r="O134" s="37"/>
      <c r="P134" s="37"/>
      <c r="Q134" s="37"/>
      <c r="R134" s="37"/>
      <c r="S134" s="37"/>
      <c r="T134" s="37"/>
      <c r="U134" s="37"/>
      <c r="V134" s="37"/>
      <c r="W134" s="37"/>
      <c r="X134" s="37"/>
      <c r="Y134" s="37"/>
      <c r="Z134" s="37"/>
      <c r="AA134" s="37"/>
      <c r="AB134" s="37"/>
      <c r="AC134" s="37"/>
      <c r="AD134" s="37"/>
      <c r="AE134" s="37"/>
      <c r="AF134" s="37"/>
      <c r="AG134" s="37"/>
      <c r="AH134" s="37"/>
      <c r="AI134" s="37"/>
      <c r="AJ134" s="37"/>
      <c r="AK134" s="37"/>
      <c r="AL134" s="37"/>
      <c r="AM134" s="37"/>
      <c r="AN134" s="37"/>
      <c r="AO134" s="37"/>
      <c r="AP134" s="37"/>
      <c r="AQ134" s="37"/>
      <c r="AR134" s="37"/>
      <c r="AS134" s="37"/>
      <c r="AT134" s="37"/>
      <c r="AU134" s="37"/>
      <c r="AV134" s="37"/>
      <c r="AW134" s="37"/>
      <c r="AX134" s="37"/>
      <c r="AY134" s="37"/>
      <c r="AZ134" s="37"/>
      <c r="BA134" s="37"/>
      <c r="BB134" s="37"/>
      <c r="BC134" s="37"/>
      <c r="BD134" s="37"/>
      <c r="BE134" s="37"/>
      <c r="BF134" s="37"/>
      <c r="BG134" s="37"/>
      <c r="BH134" s="37"/>
      <c r="BI134" s="37"/>
      <c r="BJ134" s="37"/>
      <c r="BK134" s="37"/>
      <c r="BL134" s="37"/>
      <c r="BM134" s="37"/>
    </row>
    <row r="135" spans="2:71" ht="21">
      <c r="B135" s="118" t="s">
        <v>70</v>
      </c>
      <c r="C135" s="37"/>
      <c r="D135" s="40"/>
      <c r="E135" s="41"/>
      <c r="F135" s="41"/>
      <c r="G135" s="41"/>
      <c r="H135" s="41"/>
      <c r="I135" s="41"/>
      <c r="J135" s="41"/>
      <c r="K135" s="41"/>
      <c r="L135" s="41"/>
      <c r="M135" s="41"/>
      <c r="N135" s="41"/>
      <c r="O135" s="41"/>
      <c r="P135" s="41"/>
      <c r="Q135" s="41"/>
      <c r="R135" s="41"/>
      <c r="S135" s="41"/>
      <c r="T135" s="41"/>
      <c r="U135" s="41"/>
      <c r="V135" s="41"/>
      <c r="W135" s="41"/>
      <c r="X135" s="41"/>
      <c r="Y135" s="41"/>
      <c r="Z135" s="41"/>
      <c r="AA135" s="41"/>
      <c r="AB135" s="41"/>
      <c r="AC135" s="41"/>
      <c r="AD135" s="41"/>
      <c r="AE135" s="41"/>
      <c r="AF135" s="41"/>
      <c r="AG135" s="41"/>
      <c r="AH135" s="41"/>
      <c r="AI135" s="41"/>
      <c r="AJ135" s="41"/>
      <c r="AK135" s="41"/>
      <c r="AL135" s="41"/>
      <c r="AM135" s="41"/>
      <c r="AN135" s="41"/>
      <c r="AO135" s="41"/>
      <c r="AP135" s="41"/>
      <c r="AQ135" s="41"/>
      <c r="AR135" s="41"/>
      <c r="AS135" s="41"/>
      <c r="AT135" s="41"/>
      <c r="AU135" s="41"/>
      <c r="AV135" s="41"/>
      <c r="AW135" s="41"/>
      <c r="AX135" s="41"/>
      <c r="AY135" s="41"/>
      <c r="AZ135" s="41"/>
      <c r="BA135" s="41"/>
      <c r="BB135" s="41"/>
      <c r="BC135" s="41"/>
      <c r="BD135" s="41"/>
      <c r="BE135" s="41"/>
      <c r="BF135" s="41"/>
      <c r="BG135" s="41"/>
      <c r="BH135" s="41"/>
      <c r="BI135" s="41"/>
      <c r="BJ135" s="41"/>
      <c r="BK135" s="41"/>
      <c r="BL135" s="41"/>
      <c r="BM135" s="41"/>
      <c r="BN135" s="5"/>
      <c r="BO135" s="5"/>
      <c r="BP135" s="5"/>
      <c r="BQ135" s="5"/>
      <c r="BR135" s="5"/>
      <c r="BS135" s="5"/>
    </row>
    <row r="136" spans="2:71" ht="15" customHeight="1">
      <c r="B136" s="112" t="s">
        <v>71</v>
      </c>
      <c r="C136" s="113" t="str">
        <f t="shared" ref="C136:C142" si="188">Единица_измерения</f>
        <v>тыс. руб.</v>
      </c>
      <c r="D136" s="114"/>
      <c r="E136" s="299"/>
      <c r="F136" s="299"/>
      <c r="G136" s="299"/>
      <c r="H136" s="299"/>
      <c r="I136" s="299"/>
      <c r="J136" s="299"/>
      <c r="K136" s="299"/>
      <c r="L136" s="299"/>
      <c r="M136" s="299"/>
      <c r="N136" s="299"/>
      <c r="O136" s="299"/>
      <c r="P136" s="299"/>
      <c r="Q136" s="299"/>
      <c r="R136" s="299"/>
      <c r="S136" s="299"/>
      <c r="T136" s="299"/>
      <c r="U136" s="299"/>
      <c r="V136" s="299"/>
      <c r="W136" s="299"/>
      <c r="X136" s="299"/>
      <c r="Y136" s="299"/>
      <c r="Z136" s="299"/>
      <c r="AA136" s="299"/>
      <c r="AB136" s="299"/>
      <c r="AC136" s="299"/>
      <c r="AD136" s="299"/>
      <c r="AE136" s="299"/>
      <c r="AF136" s="299"/>
      <c r="AG136" s="299"/>
      <c r="AH136" s="299"/>
      <c r="AI136" s="299"/>
      <c r="AJ136" s="299"/>
      <c r="AK136" s="299"/>
      <c r="AL136" s="299"/>
      <c r="AM136" s="299"/>
      <c r="AN136" s="299"/>
      <c r="AO136" s="299"/>
      <c r="AP136" s="299"/>
      <c r="AQ136" s="299"/>
      <c r="AR136" s="299"/>
      <c r="AS136" s="299"/>
      <c r="AT136" s="299"/>
      <c r="AU136" s="299"/>
      <c r="AV136" s="299"/>
      <c r="AW136" s="299"/>
      <c r="AX136" s="299"/>
      <c r="AY136" s="299"/>
      <c r="AZ136" s="299"/>
      <c r="BA136" s="299"/>
      <c r="BB136" s="299"/>
      <c r="BC136" s="299"/>
      <c r="BD136" s="299"/>
      <c r="BE136" s="299"/>
      <c r="BF136" s="299"/>
      <c r="BG136" s="299"/>
      <c r="BH136" s="299"/>
      <c r="BI136" s="299"/>
      <c r="BJ136" s="299"/>
      <c r="BK136" s="299"/>
      <c r="BL136" s="299"/>
      <c r="BM136" s="299"/>
    </row>
    <row r="137" spans="2:71" ht="15" customHeight="1">
      <c r="B137" s="117" t="s">
        <v>72</v>
      </c>
      <c r="C137" s="113" t="str">
        <f t="shared" si="188"/>
        <v>тыс. руб.</v>
      </c>
      <c r="D137" s="114"/>
      <c r="E137" s="299"/>
      <c r="F137" s="299"/>
      <c r="G137" s="299"/>
      <c r="H137" s="299"/>
      <c r="I137" s="299"/>
      <c r="J137" s="299"/>
      <c r="K137" s="299"/>
      <c r="L137" s="299"/>
      <c r="M137" s="299"/>
      <c r="N137" s="299"/>
      <c r="O137" s="299"/>
      <c r="P137" s="299"/>
      <c r="Q137" s="299"/>
      <c r="R137" s="299"/>
      <c r="S137" s="299"/>
      <c r="T137" s="299"/>
      <c r="U137" s="299"/>
      <c r="V137" s="299"/>
      <c r="W137" s="299"/>
      <c r="X137" s="299"/>
      <c r="Y137" s="299"/>
      <c r="Z137" s="299"/>
      <c r="AA137" s="299"/>
      <c r="AB137" s="299"/>
      <c r="AC137" s="299"/>
      <c r="AD137" s="299"/>
      <c r="AE137" s="299"/>
      <c r="AF137" s="299"/>
      <c r="AG137" s="299"/>
      <c r="AH137" s="299"/>
      <c r="AI137" s="299"/>
      <c r="AJ137" s="299"/>
      <c r="AK137" s="299"/>
      <c r="AL137" s="299"/>
      <c r="AM137" s="299"/>
      <c r="AN137" s="299"/>
      <c r="AO137" s="299"/>
      <c r="AP137" s="299"/>
      <c r="AQ137" s="299"/>
      <c r="AR137" s="299"/>
      <c r="AS137" s="299"/>
      <c r="AT137" s="299"/>
      <c r="AU137" s="299"/>
      <c r="AV137" s="299"/>
      <c r="AW137" s="299"/>
      <c r="AX137" s="299"/>
      <c r="AY137" s="299"/>
      <c r="AZ137" s="299"/>
      <c r="BA137" s="299"/>
      <c r="BB137" s="299"/>
      <c r="BC137" s="299"/>
      <c r="BD137" s="299"/>
      <c r="BE137" s="299"/>
      <c r="BF137" s="299"/>
      <c r="BG137" s="299"/>
      <c r="BH137" s="299"/>
      <c r="BI137" s="299"/>
      <c r="BJ137" s="299"/>
      <c r="BK137" s="299"/>
      <c r="BL137" s="299"/>
      <c r="BM137" s="299"/>
    </row>
    <row r="138" spans="2:71" ht="15" customHeight="1">
      <c r="B138" s="117" t="s">
        <v>73</v>
      </c>
      <c r="C138" s="113" t="str">
        <f t="shared" si="188"/>
        <v>тыс. руб.</v>
      </c>
      <c r="D138" s="114"/>
      <c r="E138" s="299"/>
      <c r="F138" s="299"/>
      <c r="G138" s="299"/>
      <c r="H138" s="299"/>
      <c r="I138" s="299"/>
      <c r="J138" s="299"/>
      <c r="K138" s="299"/>
      <c r="L138" s="299"/>
      <c r="M138" s="299"/>
      <c r="N138" s="299"/>
      <c r="O138" s="299"/>
      <c r="P138" s="299"/>
      <c r="Q138" s="299"/>
      <c r="R138" s="299"/>
      <c r="S138" s="299"/>
      <c r="T138" s="299"/>
      <c r="U138" s="299"/>
      <c r="V138" s="299"/>
      <c r="W138" s="299"/>
      <c r="X138" s="299"/>
      <c r="Y138" s="299"/>
      <c r="Z138" s="299"/>
      <c r="AA138" s="299"/>
      <c r="AB138" s="299"/>
      <c r="AC138" s="299"/>
      <c r="AD138" s="299"/>
      <c r="AE138" s="299"/>
      <c r="AF138" s="299"/>
      <c r="AG138" s="299"/>
      <c r="AH138" s="299"/>
      <c r="AI138" s="299"/>
      <c r="AJ138" s="299"/>
      <c r="AK138" s="299"/>
      <c r="AL138" s="299"/>
      <c r="AM138" s="299"/>
      <c r="AN138" s="299"/>
      <c r="AO138" s="299"/>
      <c r="AP138" s="299"/>
      <c r="AQ138" s="299"/>
      <c r="AR138" s="299"/>
      <c r="AS138" s="299"/>
      <c r="AT138" s="299"/>
      <c r="AU138" s="299"/>
      <c r="AV138" s="299"/>
      <c r="AW138" s="299"/>
      <c r="AX138" s="299"/>
      <c r="AY138" s="299"/>
      <c r="AZ138" s="299"/>
      <c r="BA138" s="299"/>
      <c r="BB138" s="299"/>
      <c r="BC138" s="299"/>
      <c r="BD138" s="299"/>
      <c r="BE138" s="299"/>
      <c r="BF138" s="299"/>
      <c r="BG138" s="299"/>
      <c r="BH138" s="299"/>
      <c r="BI138" s="299"/>
      <c r="BJ138" s="299"/>
      <c r="BK138" s="299"/>
      <c r="BL138" s="299"/>
      <c r="BM138" s="299"/>
    </row>
    <row r="139" spans="2:71" ht="15" customHeight="1">
      <c r="B139" s="117" t="s">
        <v>181</v>
      </c>
      <c r="C139" s="113" t="str">
        <f t="shared" si="188"/>
        <v>тыс. руб.</v>
      </c>
      <c r="D139" s="114"/>
      <c r="E139" s="299"/>
      <c r="F139" s="299"/>
      <c r="G139" s="299"/>
      <c r="H139" s="299"/>
      <c r="I139" s="299"/>
      <c r="J139" s="299"/>
      <c r="K139" s="299"/>
      <c r="L139" s="299"/>
      <c r="M139" s="299"/>
      <c r="N139" s="299"/>
      <c r="O139" s="299"/>
      <c r="P139" s="299"/>
      <c r="Q139" s="299"/>
      <c r="R139" s="299"/>
      <c r="S139" s="299"/>
      <c r="T139" s="299"/>
      <c r="U139" s="299"/>
      <c r="V139" s="299"/>
      <c r="W139" s="299"/>
      <c r="X139" s="299"/>
      <c r="Y139" s="299"/>
      <c r="Z139" s="299"/>
      <c r="AA139" s="299"/>
      <c r="AB139" s="299"/>
      <c r="AC139" s="299"/>
      <c r="AD139" s="299"/>
      <c r="AE139" s="299"/>
      <c r="AF139" s="299"/>
      <c r="AG139" s="299"/>
      <c r="AH139" s="299"/>
      <c r="AI139" s="299"/>
      <c r="AJ139" s="299"/>
      <c r="AK139" s="299"/>
      <c r="AL139" s="299"/>
      <c r="AM139" s="299"/>
      <c r="AN139" s="299"/>
      <c r="AO139" s="299"/>
      <c r="AP139" s="299"/>
      <c r="AQ139" s="299"/>
      <c r="AR139" s="299"/>
      <c r="AS139" s="299"/>
      <c r="AT139" s="299"/>
      <c r="AU139" s="299"/>
      <c r="AV139" s="299"/>
      <c r="AW139" s="299"/>
      <c r="AX139" s="299"/>
      <c r="AY139" s="299"/>
      <c r="AZ139" s="299"/>
      <c r="BA139" s="299"/>
      <c r="BB139" s="299"/>
      <c r="BC139" s="299"/>
      <c r="BD139" s="299"/>
      <c r="BE139" s="299"/>
      <c r="BF139" s="299"/>
      <c r="BG139" s="299"/>
      <c r="BH139" s="299"/>
      <c r="BI139" s="299"/>
      <c r="BJ139" s="299"/>
      <c r="BK139" s="299"/>
      <c r="BL139" s="299"/>
      <c r="BM139" s="299"/>
    </row>
    <row r="140" spans="2:71" ht="15" customHeight="1">
      <c r="B140" s="117" t="s">
        <v>184</v>
      </c>
      <c r="C140" s="113" t="str">
        <f t="shared" si="188"/>
        <v>тыс. руб.</v>
      </c>
      <c r="D140" s="114"/>
      <c r="E140" s="114">
        <f t="shared" ref="E140:AJ140" si="189">E115*IF($K$3&lt;E8,0,1)</f>
        <v>0</v>
      </c>
      <c r="F140" s="114">
        <f t="shared" si="189"/>
        <v>0</v>
      </c>
      <c r="G140" s="114">
        <f t="shared" si="189"/>
        <v>0</v>
      </c>
      <c r="H140" s="114">
        <f t="shared" si="189"/>
        <v>0</v>
      </c>
      <c r="I140" s="114">
        <f t="shared" si="189"/>
        <v>0</v>
      </c>
      <c r="J140" s="114">
        <f t="shared" si="189"/>
        <v>0</v>
      </c>
      <c r="K140" s="114">
        <f t="shared" si="189"/>
        <v>0</v>
      </c>
      <c r="L140" s="114">
        <f t="shared" si="189"/>
        <v>0</v>
      </c>
      <c r="M140" s="114">
        <f t="shared" si="189"/>
        <v>0</v>
      </c>
      <c r="N140" s="114">
        <f t="shared" si="189"/>
        <v>0</v>
      </c>
      <c r="O140" s="114">
        <f t="shared" si="189"/>
        <v>0</v>
      </c>
      <c r="P140" s="114">
        <f t="shared" si="189"/>
        <v>0</v>
      </c>
      <c r="Q140" s="114">
        <f t="shared" si="189"/>
        <v>0</v>
      </c>
      <c r="R140" s="114">
        <f t="shared" si="189"/>
        <v>0</v>
      </c>
      <c r="S140" s="114">
        <f t="shared" si="189"/>
        <v>0</v>
      </c>
      <c r="T140" s="114">
        <f t="shared" si="189"/>
        <v>0</v>
      </c>
      <c r="U140" s="114">
        <f t="shared" si="189"/>
        <v>0</v>
      </c>
      <c r="V140" s="114">
        <f t="shared" si="189"/>
        <v>0</v>
      </c>
      <c r="W140" s="114">
        <f t="shared" si="189"/>
        <v>0</v>
      </c>
      <c r="X140" s="114">
        <f t="shared" si="189"/>
        <v>0</v>
      </c>
      <c r="Y140" s="114">
        <f t="shared" si="189"/>
        <v>0</v>
      </c>
      <c r="Z140" s="114">
        <f t="shared" si="189"/>
        <v>0</v>
      </c>
      <c r="AA140" s="114">
        <f t="shared" si="189"/>
        <v>0</v>
      </c>
      <c r="AB140" s="114">
        <f t="shared" si="189"/>
        <v>0</v>
      </c>
      <c r="AC140" s="114">
        <f t="shared" si="189"/>
        <v>0</v>
      </c>
      <c r="AD140" s="114">
        <f t="shared" si="189"/>
        <v>0</v>
      </c>
      <c r="AE140" s="114">
        <f t="shared" si="189"/>
        <v>0</v>
      </c>
      <c r="AF140" s="114">
        <f t="shared" si="189"/>
        <v>0</v>
      </c>
      <c r="AG140" s="114">
        <f t="shared" si="189"/>
        <v>0</v>
      </c>
      <c r="AH140" s="114">
        <f t="shared" si="189"/>
        <v>0</v>
      </c>
      <c r="AI140" s="114">
        <f t="shared" si="189"/>
        <v>0</v>
      </c>
      <c r="AJ140" s="114">
        <f t="shared" si="189"/>
        <v>0</v>
      </c>
      <c r="AK140" s="114">
        <f t="shared" ref="AK140:BM140" si="190">AK115*IF($K$3&lt;AK8,0,1)</f>
        <v>0</v>
      </c>
      <c r="AL140" s="114">
        <f t="shared" si="190"/>
        <v>0</v>
      </c>
      <c r="AM140" s="114">
        <f t="shared" si="190"/>
        <v>0</v>
      </c>
      <c r="AN140" s="114">
        <f t="shared" si="190"/>
        <v>0</v>
      </c>
      <c r="AO140" s="114">
        <f t="shared" si="190"/>
        <v>0</v>
      </c>
      <c r="AP140" s="114">
        <f t="shared" si="190"/>
        <v>0</v>
      </c>
      <c r="AQ140" s="114">
        <f t="shared" si="190"/>
        <v>0</v>
      </c>
      <c r="AR140" s="114">
        <f t="shared" si="190"/>
        <v>0</v>
      </c>
      <c r="AS140" s="114">
        <f t="shared" si="190"/>
        <v>0</v>
      </c>
      <c r="AT140" s="114">
        <f t="shared" si="190"/>
        <v>0</v>
      </c>
      <c r="AU140" s="114">
        <f t="shared" si="190"/>
        <v>0</v>
      </c>
      <c r="AV140" s="114">
        <f t="shared" si="190"/>
        <v>0</v>
      </c>
      <c r="AW140" s="114">
        <f t="shared" si="190"/>
        <v>0</v>
      </c>
      <c r="AX140" s="114">
        <f t="shared" si="190"/>
        <v>0</v>
      </c>
      <c r="AY140" s="114">
        <f t="shared" si="190"/>
        <v>0</v>
      </c>
      <c r="AZ140" s="114">
        <f t="shared" si="190"/>
        <v>0</v>
      </c>
      <c r="BA140" s="114">
        <f t="shared" si="190"/>
        <v>0</v>
      </c>
      <c r="BB140" s="114">
        <f t="shared" si="190"/>
        <v>0</v>
      </c>
      <c r="BC140" s="114">
        <f t="shared" si="190"/>
        <v>0</v>
      </c>
      <c r="BD140" s="114">
        <f t="shared" si="190"/>
        <v>0</v>
      </c>
      <c r="BE140" s="114">
        <f t="shared" si="190"/>
        <v>0</v>
      </c>
      <c r="BF140" s="114">
        <f t="shared" si="190"/>
        <v>0</v>
      </c>
      <c r="BG140" s="114">
        <f t="shared" si="190"/>
        <v>0</v>
      </c>
      <c r="BH140" s="114">
        <f t="shared" si="190"/>
        <v>0</v>
      </c>
      <c r="BI140" s="114">
        <f t="shared" si="190"/>
        <v>0</v>
      </c>
      <c r="BJ140" s="114">
        <f t="shared" si="190"/>
        <v>0</v>
      </c>
      <c r="BK140" s="114">
        <f t="shared" si="190"/>
        <v>0</v>
      </c>
      <c r="BL140" s="114">
        <f t="shared" si="190"/>
        <v>0</v>
      </c>
      <c r="BM140" s="114">
        <f t="shared" si="190"/>
        <v>0</v>
      </c>
    </row>
    <row r="141" spans="2:71" ht="15" customHeight="1">
      <c r="B141" s="117" t="s">
        <v>185</v>
      </c>
      <c r="C141" s="113" t="str">
        <f t="shared" si="188"/>
        <v>тыс. руб.</v>
      </c>
      <c r="D141" s="114"/>
      <c r="E141" s="299"/>
      <c r="F141" s="299"/>
      <c r="G141" s="299"/>
      <c r="H141" s="299"/>
      <c r="I141" s="299"/>
      <c r="J141" s="299"/>
      <c r="K141" s="299"/>
      <c r="L141" s="299"/>
      <c r="M141" s="299"/>
      <c r="N141" s="299"/>
      <c r="O141" s="299"/>
      <c r="P141" s="299"/>
      <c r="Q141" s="299"/>
      <c r="R141" s="299"/>
      <c r="S141" s="299"/>
      <c r="T141" s="299"/>
      <c r="U141" s="299"/>
      <c r="V141" s="299"/>
      <c r="W141" s="299"/>
      <c r="X141" s="299"/>
      <c r="Y141" s="299"/>
      <c r="Z141" s="299"/>
      <c r="AA141" s="299"/>
      <c r="AB141" s="299"/>
      <c r="AC141" s="299"/>
      <c r="AD141" s="299"/>
      <c r="AE141" s="299"/>
      <c r="AF141" s="299"/>
      <c r="AG141" s="299"/>
      <c r="AH141" s="299"/>
      <c r="AI141" s="299"/>
      <c r="AJ141" s="299"/>
      <c r="AK141" s="299"/>
      <c r="AL141" s="299"/>
      <c r="AM141" s="299"/>
      <c r="AN141" s="299"/>
      <c r="AO141" s="299"/>
      <c r="AP141" s="299"/>
      <c r="AQ141" s="299"/>
      <c r="AR141" s="299"/>
      <c r="AS141" s="299"/>
      <c r="AT141" s="299"/>
      <c r="AU141" s="299"/>
      <c r="AV141" s="299"/>
      <c r="AW141" s="299"/>
      <c r="AX141" s="299"/>
      <c r="AY141" s="299"/>
      <c r="AZ141" s="299"/>
      <c r="BA141" s="299"/>
      <c r="BB141" s="299"/>
      <c r="BC141" s="299"/>
      <c r="BD141" s="299"/>
      <c r="BE141" s="299"/>
      <c r="BF141" s="299"/>
      <c r="BG141" s="299"/>
      <c r="BH141" s="299"/>
      <c r="BI141" s="299"/>
      <c r="BJ141" s="299"/>
      <c r="BK141" s="299"/>
      <c r="BL141" s="299"/>
      <c r="BM141" s="299"/>
    </row>
    <row r="142" spans="2:71" ht="15" customHeight="1">
      <c r="B142" s="259" t="s">
        <v>76</v>
      </c>
      <c r="C142" s="260" t="str">
        <f t="shared" si="188"/>
        <v>тыс. руб.</v>
      </c>
      <c r="D142" s="248"/>
      <c r="E142" s="248">
        <f t="shared" ref="E142:AJ142" si="191">SUM(E136:E141)</f>
        <v>0</v>
      </c>
      <c r="F142" s="248">
        <f t="shared" si="191"/>
        <v>0</v>
      </c>
      <c r="G142" s="248">
        <f t="shared" si="191"/>
        <v>0</v>
      </c>
      <c r="H142" s="248">
        <f t="shared" si="191"/>
        <v>0</v>
      </c>
      <c r="I142" s="248">
        <f t="shared" si="191"/>
        <v>0</v>
      </c>
      <c r="J142" s="248">
        <f t="shared" si="191"/>
        <v>0</v>
      </c>
      <c r="K142" s="248">
        <f t="shared" si="191"/>
        <v>0</v>
      </c>
      <c r="L142" s="248">
        <f t="shared" si="191"/>
        <v>0</v>
      </c>
      <c r="M142" s="248">
        <f t="shared" si="191"/>
        <v>0</v>
      </c>
      <c r="N142" s="248">
        <f t="shared" si="191"/>
        <v>0</v>
      </c>
      <c r="O142" s="248">
        <f t="shared" si="191"/>
        <v>0</v>
      </c>
      <c r="P142" s="248">
        <f t="shared" si="191"/>
        <v>0</v>
      </c>
      <c r="Q142" s="248">
        <f t="shared" si="191"/>
        <v>0</v>
      </c>
      <c r="R142" s="248">
        <f t="shared" si="191"/>
        <v>0</v>
      </c>
      <c r="S142" s="248">
        <f t="shared" si="191"/>
        <v>0</v>
      </c>
      <c r="T142" s="248">
        <f t="shared" si="191"/>
        <v>0</v>
      </c>
      <c r="U142" s="248">
        <f t="shared" si="191"/>
        <v>0</v>
      </c>
      <c r="V142" s="248">
        <f t="shared" si="191"/>
        <v>0</v>
      </c>
      <c r="W142" s="248">
        <f t="shared" si="191"/>
        <v>0</v>
      </c>
      <c r="X142" s="248">
        <f t="shared" si="191"/>
        <v>0</v>
      </c>
      <c r="Y142" s="248">
        <f t="shared" si="191"/>
        <v>0</v>
      </c>
      <c r="Z142" s="248">
        <f t="shared" si="191"/>
        <v>0</v>
      </c>
      <c r="AA142" s="248">
        <f t="shared" si="191"/>
        <v>0</v>
      </c>
      <c r="AB142" s="248">
        <f t="shared" si="191"/>
        <v>0</v>
      </c>
      <c r="AC142" s="248">
        <f t="shared" si="191"/>
        <v>0</v>
      </c>
      <c r="AD142" s="248">
        <f t="shared" si="191"/>
        <v>0</v>
      </c>
      <c r="AE142" s="248">
        <f t="shared" si="191"/>
        <v>0</v>
      </c>
      <c r="AF142" s="248">
        <f t="shared" si="191"/>
        <v>0</v>
      </c>
      <c r="AG142" s="248">
        <f t="shared" si="191"/>
        <v>0</v>
      </c>
      <c r="AH142" s="248">
        <f t="shared" si="191"/>
        <v>0</v>
      </c>
      <c r="AI142" s="248">
        <f t="shared" si="191"/>
        <v>0</v>
      </c>
      <c r="AJ142" s="248">
        <f t="shared" si="191"/>
        <v>0</v>
      </c>
      <c r="AK142" s="248">
        <f t="shared" ref="AK142:BM142" si="192">SUM(AK136:AK141)</f>
        <v>0</v>
      </c>
      <c r="AL142" s="248">
        <f t="shared" si="192"/>
        <v>0</v>
      </c>
      <c r="AM142" s="248">
        <f t="shared" si="192"/>
        <v>0</v>
      </c>
      <c r="AN142" s="248">
        <f t="shared" si="192"/>
        <v>0</v>
      </c>
      <c r="AO142" s="248">
        <f t="shared" si="192"/>
        <v>0</v>
      </c>
      <c r="AP142" s="248">
        <f t="shared" si="192"/>
        <v>0</v>
      </c>
      <c r="AQ142" s="248">
        <f t="shared" si="192"/>
        <v>0</v>
      </c>
      <c r="AR142" s="248">
        <f t="shared" si="192"/>
        <v>0</v>
      </c>
      <c r="AS142" s="248">
        <f t="shared" si="192"/>
        <v>0</v>
      </c>
      <c r="AT142" s="248">
        <f t="shared" si="192"/>
        <v>0</v>
      </c>
      <c r="AU142" s="248">
        <f t="shared" si="192"/>
        <v>0</v>
      </c>
      <c r="AV142" s="248">
        <f t="shared" si="192"/>
        <v>0</v>
      </c>
      <c r="AW142" s="248">
        <f t="shared" si="192"/>
        <v>0</v>
      </c>
      <c r="AX142" s="248">
        <f t="shared" si="192"/>
        <v>0</v>
      </c>
      <c r="AY142" s="248">
        <f t="shared" si="192"/>
        <v>0</v>
      </c>
      <c r="AZ142" s="248">
        <f t="shared" si="192"/>
        <v>0</v>
      </c>
      <c r="BA142" s="248">
        <f t="shared" si="192"/>
        <v>0</v>
      </c>
      <c r="BB142" s="248">
        <f t="shared" si="192"/>
        <v>0</v>
      </c>
      <c r="BC142" s="248">
        <f t="shared" si="192"/>
        <v>0</v>
      </c>
      <c r="BD142" s="248">
        <f t="shared" si="192"/>
        <v>0</v>
      </c>
      <c r="BE142" s="248">
        <f t="shared" si="192"/>
        <v>0</v>
      </c>
      <c r="BF142" s="248">
        <f t="shared" si="192"/>
        <v>0</v>
      </c>
      <c r="BG142" s="248">
        <f t="shared" si="192"/>
        <v>0</v>
      </c>
      <c r="BH142" s="248">
        <f t="shared" si="192"/>
        <v>0</v>
      </c>
      <c r="BI142" s="248">
        <f t="shared" si="192"/>
        <v>0</v>
      </c>
      <c r="BJ142" s="248">
        <f t="shared" si="192"/>
        <v>0</v>
      </c>
      <c r="BK142" s="248">
        <f t="shared" si="192"/>
        <v>0</v>
      </c>
      <c r="BL142" s="248">
        <f t="shared" si="192"/>
        <v>0</v>
      </c>
      <c r="BM142" s="248">
        <f t="shared" si="192"/>
        <v>0</v>
      </c>
    </row>
    <row r="143" spans="2:71" ht="15" customHeight="1">
      <c r="B143" s="37"/>
      <c r="C143" s="37"/>
      <c r="D143" s="37"/>
      <c r="E143" s="37"/>
      <c r="F143" s="37"/>
      <c r="G143" s="37"/>
      <c r="H143" s="37"/>
      <c r="I143" s="37"/>
      <c r="J143" s="37"/>
      <c r="K143" s="37"/>
      <c r="L143" s="37"/>
      <c r="M143" s="37"/>
      <c r="N143" s="37"/>
      <c r="O143" s="37"/>
      <c r="P143" s="37"/>
      <c r="Q143" s="37"/>
      <c r="R143" s="37"/>
      <c r="S143" s="37"/>
      <c r="T143" s="37"/>
      <c r="U143" s="37"/>
      <c r="V143" s="37"/>
      <c r="W143" s="37"/>
      <c r="X143" s="37"/>
      <c r="Y143" s="37"/>
      <c r="Z143" s="37"/>
      <c r="AA143" s="37"/>
      <c r="AB143" s="37"/>
      <c r="AC143" s="37"/>
      <c r="AD143" s="37"/>
      <c r="AE143" s="37"/>
      <c r="AF143" s="37"/>
      <c r="AG143" s="37"/>
      <c r="AH143" s="37"/>
      <c r="AI143" s="37"/>
      <c r="AJ143" s="37"/>
      <c r="AK143" s="37"/>
      <c r="AL143" s="37"/>
      <c r="AM143" s="37"/>
      <c r="AN143" s="37"/>
      <c r="AO143" s="37"/>
      <c r="AP143" s="37"/>
      <c r="AQ143" s="37"/>
      <c r="AR143" s="37"/>
      <c r="AS143" s="37"/>
      <c r="AT143" s="37"/>
      <c r="AU143" s="37"/>
      <c r="AV143" s="37"/>
      <c r="AW143" s="37"/>
      <c r="AX143" s="37"/>
      <c r="AY143" s="37"/>
      <c r="AZ143" s="37"/>
      <c r="BA143" s="37"/>
      <c r="BB143" s="37"/>
      <c r="BC143" s="37"/>
      <c r="BD143" s="37"/>
      <c r="BE143" s="37"/>
      <c r="BF143" s="37"/>
      <c r="BG143" s="37"/>
      <c r="BH143" s="37"/>
      <c r="BI143" s="37"/>
      <c r="BJ143" s="37"/>
      <c r="BK143" s="37"/>
      <c r="BL143" s="37"/>
      <c r="BM143" s="37"/>
    </row>
    <row r="144" spans="2:71" ht="15" customHeight="1">
      <c r="B144" s="262" t="s">
        <v>80</v>
      </c>
      <c r="C144" s="263" t="str">
        <f>Единица_измерения</f>
        <v>тыс. руб.</v>
      </c>
      <c r="D144" s="261"/>
      <c r="E144" s="261">
        <f t="shared" ref="E144:AJ144" si="193">SUM(E133,E142)</f>
        <v>0</v>
      </c>
      <c r="F144" s="261">
        <f t="shared" si="193"/>
        <v>0</v>
      </c>
      <c r="G144" s="261">
        <f t="shared" si="193"/>
        <v>0</v>
      </c>
      <c r="H144" s="261">
        <f t="shared" si="193"/>
        <v>0</v>
      </c>
      <c r="I144" s="261">
        <f t="shared" si="193"/>
        <v>0</v>
      </c>
      <c r="J144" s="261">
        <f t="shared" si="193"/>
        <v>0</v>
      </c>
      <c r="K144" s="261">
        <f t="shared" si="193"/>
        <v>0</v>
      </c>
      <c r="L144" s="261">
        <f t="shared" si="193"/>
        <v>0</v>
      </c>
      <c r="M144" s="261">
        <f t="shared" si="193"/>
        <v>0</v>
      </c>
      <c r="N144" s="261">
        <f t="shared" si="193"/>
        <v>0</v>
      </c>
      <c r="O144" s="261">
        <f t="shared" si="193"/>
        <v>0</v>
      </c>
      <c r="P144" s="261">
        <f t="shared" si="193"/>
        <v>0</v>
      </c>
      <c r="Q144" s="261">
        <f t="shared" si="193"/>
        <v>0</v>
      </c>
      <c r="R144" s="261">
        <f t="shared" si="193"/>
        <v>0</v>
      </c>
      <c r="S144" s="261">
        <f t="shared" si="193"/>
        <v>0</v>
      </c>
      <c r="T144" s="261">
        <f t="shared" si="193"/>
        <v>0</v>
      </c>
      <c r="U144" s="261">
        <f t="shared" si="193"/>
        <v>0</v>
      </c>
      <c r="V144" s="261">
        <f t="shared" si="193"/>
        <v>0</v>
      </c>
      <c r="W144" s="261">
        <f t="shared" si="193"/>
        <v>0</v>
      </c>
      <c r="X144" s="261">
        <f t="shared" si="193"/>
        <v>0</v>
      </c>
      <c r="Y144" s="261">
        <f t="shared" si="193"/>
        <v>0</v>
      </c>
      <c r="Z144" s="261">
        <f t="shared" si="193"/>
        <v>0</v>
      </c>
      <c r="AA144" s="261">
        <f t="shared" si="193"/>
        <v>0</v>
      </c>
      <c r="AB144" s="261">
        <f t="shared" si="193"/>
        <v>0</v>
      </c>
      <c r="AC144" s="261">
        <f t="shared" si="193"/>
        <v>0</v>
      </c>
      <c r="AD144" s="261">
        <f t="shared" si="193"/>
        <v>0</v>
      </c>
      <c r="AE144" s="261">
        <f t="shared" si="193"/>
        <v>0</v>
      </c>
      <c r="AF144" s="261">
        <f t="shared" si="193"/>
        <v>0</v>
      </c>
      <c r="AG144" s="261">
        <f t="shared" si="193"/>
        <v>0</v>
      </c>
      <c r="AH144" s="261">
        <f t="shared" si="193"/>
        <v>0</v>
      </c>
      <c r="AI144" s="261">
        <f t="shared" si="193"/>
        <v>0</v>
      </c>
      <c r="AJ144" s="261">
        <f t="shared" si="193"/>
        <v>0</v>
      </c>
      <c r="AK144" s="261">
        <f t="shared" ref="AK144:BM144" si="194">SUM(AK133,AK142)</f>
        <v>0</v>
      </c>
      <c r="AL144" s="261">
        <f t="shared" si="194"/>
        <v>0</v>
      </c>
      <c r="AM144" s="261">
        <f t="shared" si="194"/>
        <v>0</v>
      </c>
      <c r="AN144" s="261">
        <f t="shared" si="194"/>
        <v>0</v>
      </c>
      <c r="AO144" s="261">
        <f t="shared" si="194"/>
        <v>0</v>
      </c>
      <c r="AP144" s="261">
        <f t="shared" si="194"/>
        <v>0</v>
      </c>
      <c r="AQ144" s="261">
        <f t="shared" si="194"/>
        <v>0</v>
      </c>
      <c r="AR144" s="261">
        <f t="shared" si="194"/>
        <v>0</v>
      </c>
      <c r="AS144" s="261">
        <f t="shared" si="194"/>
        <v>0</v>
      </c>
      <c r="AT144" s="261">
        <f t="shared" si="194"/>
        <v>0</v>
      </c>
      <c r="AU144" s="261">
        <f t="shared" si="194"/>
        <v>0</v>
      </c>
      <c r="AV144" s="261">
        <f t="shared" si="194"/>
        <v>0</v>
      </c>
      <c r="AW144" s="261">
        <f t="shared" si="194"/>
        <v>0</v>
      </c>
      <c r="AX144" s="261">
        <f t="shared" si="194"/>
        <v>0</v>
      </c>
      <c r="AY144" s="261">
        <f t="shared" si="194"/>
        <v>0</v>
      </c>
      <c r="AZ144" s="261">
        <f t="shared" si="194"/>
        <v>0</v>
      </c>
      <c r="BA144" s="261">
        <f t="shared" si="194"/>
        <v>0</v>
      </c>
      <c r="BB144" s="261">
        <f t="shared" si="194"/>
        <v>0</v>
      </c>
      <c r="BC144" s="261">
        <f t="shared" si="194"/>
        <v>0</v>
      </c>
      <c r="BD144" s="261">
        <f t="shared" si="194"/>
        <v>0</v>
      </c>
      <c r="BE144" s="261">
        <f t="shared" si="194"/>
        <v>0</v>
      </c>
      <c r="BF144" s="261">
        <f t="shared" si="194"/>
        <v>0</v>
      </c>
      <c r="BG144" s="261">
        <f t="shared" si="194"/>
        <v>0</v>
      </c>
      <c r="BH144" s="261">
        <f t="shared" si="194"/>
        <v>0</v>
      </c>
      <c r="BI144" s="261">
        <f t="shared" si="194"/>
        <v>0</v>
      </c>
      <c r="BJ144" s="261">
        <f t="shared" si="194"/>
        <v>0</v>
      </c>
      <c r="BK144" s="261">
        <f t="shared" si="194"/>
        <v>0</v>
      </c>
      <c r="BL144" s="261">
        <f t="shared" si="194"/>
        <v>0</v>
      </c>
      <c r="BM144" s="261">
        <f t="shared" si="194"/>
        <v>0</v>
      </c>
    </row>
    <row r="145" spans="2:71" ht="15" customHeight="1">
      <c r="B145" s="37"/>
      <c r="C145" s="37"/>
      <c r="D145" s="37"/>
      <c r="E145" s="37"/>
      <c r="F145" s="37"/>
      <c r="G145" s="37"/>
      <c r="H145" s="37"/>
      <c r="I145" s="37"/>
      <c r="J145" s="37"/>
      <c r="K145" s="37"/>
      <c r="L145" s="37"/>
      <c r="M145" s="37"/>
      <c r="N145" s="37"/>
      <c r="O145" s="37"/>
      <c r="P145" s="37"/>
      <c r="Q145" s="37"/>
      <c r="R145" s="37"/>
      <c r="S145" s="37"/>
      <c r="T145" s="37"/>
      <c r="U145" s="37"/>
      <c r="V145" s="37"/>
      <c r="W145" s="37"/>
      <c r="X145" s="37"/>
      <c r="Y145" s="37"/>
      <c r="Z145" s="37"/>
      <c r="AA145" s="37"/>
      <c r="AB145" s="37"/>
      <c r="AC145" s="37"/>
      <c r="AD145" s="37"/>
      <c r="AE145" s="37"/>
      <c r="AF145" s="37"/>
      <c r="AG145" s="37"/>
      <c r="AH145" s="37"/>
      <c r="AI145" s="37"/>
      <c r="AJ145" s="37"/>
      <c r="AK145" s="37"/>
      <c r="AL145" s="37"/>
      <c r="AM145" s="37"/>
      <c r="AN145" s="37"/>
      <c r="AO145" s="37"/>
      <c r="AP145" s="37"/>
      <c r="AQ145" s="37"/>
      <c r="AR145" s="37"/>
      <c r="AS145" s="37"/>
      <c r="AT145" s="37"/>
      <c r="AU145" s="37"/>
      <c r="AV145" s="37"/>
      <c r="AW145" s="37"/>
      <c r="AX145" s="37"/>
      <c r="AY145" s="37"/>
      <c r="AZ145" s="37"/>
      <c r="BA145" s="37"/>
      <c r="BB145" s="37"/>
      <c r="BC145" s="37"/>
      <c r="BD145" s="37"/>
      <c r="BE145" s="37"/>
      <c r="BF145" s="37"/>
      <c r="BG145" s="37"/>
      <c r="BH145" s="37"/>
      <c r="BI145" s="37"/>
      <c r="BJ145" s="37"/>
      <c r="BK145" s="37"/>
      <c r="BL145" s="37"/>
      <c r="BM145" s="37"/>
    </row>
    <row r="146" spans="2:71" ht="21">
      <c r="B146" s="118" t="s">
        <v>77</v>
      </c>
      <c r="C146" s="37"/>
      <c r="D146" s="40"/>
      <c r="E146" s="41"/>
      <c r="F146" s="41"/>
      <c r="G146" s="41"/>
      <c r="H146" s="41"/>
      <c r="I146" s="41"/>
      <c r="J146" s="41"/>
      <c r="K146" s="41"/>
      <c r="L146" s="41"/>
      <c r="M146" s="41"/>
      <c r="N146" s="41"/>
      <c r="O146" s="41"/>
      <c r="P146" s="41"/>
      <c r="Q146" s="41"/>
      <c r="R146" s="41"/>
      <c r="S146" s="41"/>
      <c r="T146" s="41"/>
      <c r="U146" s="41"/>
      <c r="V146" s="41"/>
      <c r="W146" s="41"/>
      <c r="X146" s="41"/>
      <c r="Y146" s="41"/>
      <c r="Z146" s="41"/>
      <c r="AA146" s="41"/>
      <c r="AB146" s="41"/>
      <c r="AC146" s="41"/>
      <c r="AD146" s="41"/>
      <c r="AE146" s="41"/>
      <c r="AF146" s="41"/>
      <c r="AG146" s="41"/>
      <c r="AH146" s="41"/>
      <c r="AI146" s="41"/>
      <c r="AJ146" s="41"/>
      <c r="AK146" s="41"/>
      <c r="AL146" s="41"/>
      <c r="AM146" s="41"/>
      <c r="AN146" s="41"/>
      <c r="AO146" s="41"/>
      <c r="AP146" s="41"/>
      <c r="AQ146" s="41"/>
      <c r="AR146" s="41"/>
      <c r="AS146" s="41"/>
      <c r="AT146" s="41"/>
      <c r="AU146" s="41"/>
      <c r="AV146" s="41"/>
      <c r="AW146" s="41"/>
      <c r="AX146" s="41"/>
      <c r="AY146" s="41"/>
      <c r="AZ146" s="41"/>
      <c r="BA146" s="41"/>
      <c r="BB146" s="41"/>
      <c r="BC146" s="41"/>
      <c r="BD146" s="41"/>
      <c r="BE146" s="41"/>
      <c r="BF146" s="41"/>
      <c r="BG146" s="41"/>
      <c r="BH146" s="41"/>
      <c r="BI146" s="41"/>
      <c r="BJ146" s="41"/>
      <c r="BK146" s="41"/>
      <c r="BL146" s="41"/>
      <c r="BM146" s="41"/>
      <c r="BN146" s="5"/>
      <c r="BO146" s="5"/>
      <c r="BP146" s="5"/>
      <c r="BQ146" s="5"/>
      <c r="BR146" s="5"/>
      <c r="BS146" s="5"/>
    </row>
    <row r="147" spans="2:71" ht="15" customHeight="1">
      <c r="B147" s="112" t="s">
        <v>78</v>
      </c>
      <c r="C147" s="113" t="str">
        <f t="shared" ref="C147:C153" si="195">Единица_измерения</f>
        <v>тыс. руб.</v>
      </c>
      <c r="D147" s="114"/>
      <c r="E147" s="299"/>
      <c r="F147" s="299"/>
      <c r="G147" s="299"/>
      <c r="H147" s="299"/>
      <c r="I147" s="299"/>
      <c r="J147" s="299"/>
      <c r="K147" s="299"/>
      <c r="L147" s="299"/>
      <c r="M147" s="299"/>
      <c r="N147" s="299"/>
      <c r="O147" s="299"/>
      <c r="P147" s="299"/>
      <c r="Q147" s="299"/>
      <c r="R147" s="299"/>
      <c r="S147" s="299"/>
      <c r="T147" s="299"/>
      <c r="U147" s="299"/>
      <c r="V147" s="299"/>
      <c r="W147" s="299"/>
      <c r="X147" s="299"/>
      <c r="Y147" s="299"/>
      <c r="Z147" s="299"/>
      <c r="AA147" s="299"/>
      <c r="AB147" s="299"/>
      <c r="AC147" s="299"/>
      <c r="AD147" s="299"/>
      <c r="AE147" s="299"/>
      <c r="AF147" s="299"/>
      <c r="AG147" s="299"/>
      <c r="AH147" s="299"/>
      <c r="AI147" s="299"/>
      <c r="AJ147" s="299"/>
      <c r="AK147" s="299"/>
      <c r="AL147" s="299"/>
      <c r="AM147" s="299"/>
      <c r="AN147" s="299"/>
      <c r="AO147" s="299"/>
      <c r="AP147" s="299"/>
      <c r="AQ147" s="299"/>
      <c r="AR147" s="299"/>
      <c r="AS147" s="299"/>
      <c r="AT147" s="299"/>
      <c r="AU147" s="299"/>
      <c r="AV147" s="299"/>
      <c r="AW147" s="299"/>
      <c r="AX147" s="299"/>
      <c r="AY147" s="299"/>
      <c r="AZ147" s="299"/>
      <c r="BA147" s="299"/>
      <c r="BB147" s="299"/>
      <c r="BC147" s="299"/>
      <c r="BD147" s="299"/>
      <c r="BE147" s="299"/>
      <c r="BF147" s="299"/>
      <c r="BG147" s="299"/>
      <c r="BH147" s="299"/>
      <c r="BI147" s="299"/>
      <c r="BJ147" s="299"/>
      <c r="BK147" s="299"/>
      <c r="BL147" s="299"/>
      <c r="BM147" s="299"/>
    </row>
    <row r="148" spans="2:71" ht="15" customHeight="1">
      <c r="B148" s="117" t="s">
        <v>186</v>
      </c>
      <c r="C148" s="113" t="str">
        <f t="shared" si="195"/>
        <v>тыс. руб.</v>
      </c>
      <c r="D148" s="114"/>
      <c r="E148" s="299"/>
      <c r="F148" s="299"/>
      <c r="G148" s="299"/>
      <c r="H148" s="299"/>
      <c r="I148" s="299"/>
      <c r="J148" s="299"/>
      <c r="K148" s="299"/>
      <c r="L148" s="299"/>
      <c r="M148" s="299"/>
      <c r="N148" s="299"/>
      <c r="O148" s="299"/>
      <c r="P148" s="299"/>
      <c r="Q148" s="299"/>
      <c r="R148" s="299"/>
      <c r="S148" s="299"/>
      <c r="T148" s="299"/>
      <c r="U148" s="299"/>
      <c r="V148" s="299"/>
      <c r="W148" s="299"/>
      <c r="X148" s="299"/>
      <c r="Y148" s="299"/>
      <c r="Z148" s="299"/>
      <c r="AA148" s="299"/>
      <c r="AB148" s="299"/>
      <c r="AC148" s="299"/>
      <c r="AD148" s="299"/>
      <c r="AE148" s="299"/>
      <c r="AF148" s="299"/>
      <c r="AG148" s="299"/>
      <c r="AH148" s="299"/>
      <c r="AI148" s="299"/>
      <c r="AJ148" s="299"/>
      <c r="AK148" s="299"/>
      <c r="AL148" s="299"/>
      <c r="AM148" s="299"/>
      <c r="AN148" s="299"/>
      <c r="AO148" s="299"/>
      <c r="AP148" s="299"/>
      <c r="AQ148" s="299"/>
      <c r="AR148" s="299"/>
      <c r="AS148" s="299"/>
      <c r="AT148" s="299"/>
      <c r="AU148" s="299"/>
      <c r="AV148" s="299"/>
      <c r="AW148" s="299"/>
      <c r="AX148" s="299"/>
      <c r="AY148" s="299"/>
      <c r="AZ148" s="299"/>
      <c r="BA148" s="299"/>
      <c r="BB148" s="299"/>
      <c r="BC148" s="299"/>
      <c r="BD148" s="299"/>
      <c r="BE148" s="299"/>
      <c r="BF148" s="299"/>
      <c r="BG148" s="299"/>
      <c r="BH148" s="299"/>
      <c r="BI148" s="299"/>
      <c r="BJ148" s="299"/>
      <c r="BK148" s="299"/>
      <c r="BL148" s="299"/>
      <c r="BM148" s="299"/>
    </row>
    <row r="149" spans="2:71" ht="15" customHeight="1">
      <c r="B149" s="117" t="s">
        <v>187</v>
      </c>
      <c r="C149" s="113" t="str">
        <f t="shared" si="195"/>
        <v>тыс. руб.</v>
      </c>
      <c r="D149" s="114"/>
      <c r="E149" s="299"/>
      <c r="F149" s="299"/>
      <c r="G149" s="299"/>
      <c r="H149" s="299"/>
      <c r="I149" s="299"/>
      <c r="J149" s="299"/>
      <c r="K149" s="299"/>
      <c r="L149" s="299"/>
      <c r="M149" s="299"/>
      <c r="N149" s="299"/>
      <c r="O149" s="299"/>
      <c r="P149" s="299"/>
      <c r="Q149" s="299"/>
      <c r="R149" s="299"/>
      <c r="S149" s="299"/>
      <c r="T149" s="299"/>
      <c r="U149" s="299"/>
      <c r="V149" s="299"/>
      <c r="W149" s="299"/>
      <c r="X149" s="299"/>
      <c r="Y149" s="299"/>
      <c r="Z149" s="299"/>
      <c r="AA149" s="299"/>
      <c r="AB149" s="299"/>
      <c r="AC149" s="299"/>
      <c r="AD149" s="299"/>
      <c r="AE149" s="299"/>
      <c r="AF149" s="299"/>
      <c r="AG149" s="299"/>
      <c r="AH149" s="299"/>
      <c r="AI149" s="299"/>
      <c r="AJ149" s="299"/>
      <c r="AK149" s="299"/>
      <c r="AL149" s="299"/>
      <c r="AM149" s="299"/>
      <c r="AN149" s="299"/>
      <c r="AO149" s="299"/>
      <c r="AP149" s="299"/>
      <c r="AQ149" s="299"/>
      <c r="AR149" s="299"/>
      <c r="AS149" s="299"/>
      <c r="AT149" s="299"/>
      <c r="AU149" s="299"/>
      <c r="AV149" s="299"/>
      <c r="AW149" s="299"/>
      <c r="AX149" s="299"/>
      <c r="AY149" s="299"/>
      <c r="AZ149" s="299"/>
      <c r="BA149" s="299"/>
      <c r="BB149" s="299"/>
      <c r="BC149" s="299"/>
      <c r="BD149" s="299"/>
      <c r="BE149" s="299"/>
      <c r="BF149" s="299"/>
      <c r="BG149" s="299"/>
      <c r="BH149" s="299"/>
      <c r="BI149" s="299"/>
      <c r="BJ149" s="299"/>
      <c r="BK149" s="299"/>
      <c r="BL149" s="299"/>
      <c r="BM149" s="299"/>
    </row>
    <row r="150" spans="2:71" ht="15" customHeight="1">
      <c r="B150" s="117" t="s">
        <v>188</v>
      </c>
      <c r="C150" s="113" t="str">
        <f t="shared" si="195"/>
        <v>тыс. руб.</v>
      </c>
      <c r="D150" s="114"/>
      <c r="E150" s="299"/>
      <c r="F150" s="299"/>
      <c r="G150" s="299"/>
      <c r="H150" s="299"/>
      <c r="I150" s="299"/>
      <c r="J150" s="299"/>
      <c r="K150" s="299"/>
      <c r="L150" s="299"/>
      <c r="M150" s="299"/>
      <c r="N150" s="299"/>
      <c r="O150" s="299"/>
      <c r="P150" s="299"/>
      <c r="Q150" s="299"/>
      <c r="R150" s="299"/>
      <c r="S150" s="299"/>
      <c r="T150" s="299"/>
      <c r="U150" s="299"/>
      <c r="V150" s="299"/>
      <c r="W150" s="299"/>
      <c r="X150" s="299"/>
      <c r="Y150" s="299"/>
      <c r="Z150" s="299"/>
      <c r="AA150" s="299"/>
      <c r="AB150" s="299"/>
      <c r="AC150" s="299"/>
      <c r="AD150" s="299"/>
      <c r="AE150" s="299"/>
      <c r="AF150" s="299"/>
      <c r="AG150" s="299"/>
      <c r="AH150" s="299"/>
      <c r="AI150" s="299"/>
      <c r="AJ150" s="299"/>
      <c r="AK150" s="299"/>
      <c r="AL150" s="299"/>
      <c r="AM150" s="299"/>
      <c r="AN150" s="299"/>
      <c r="AO150" s="299"/>
      <c r="AP150" s="299"/>
      <c r="AQ150" s="299"/>
      <c r="AR150" s="299"/>
      <c r="AS150" s="299"/>
      <c r="AT150" s="299"/>
      <c r="AU150" s="299"/>
      <c r="AV150" s="299"/>
      <c r="AW150" s="299"/>
      <c r="AX150" s="299"/>
      <c r="AY150" s="299"/>
      <c r="AZ150" s="299"/>
      <c r="BA150" s="299"/>
      <c r="BB150" s="299"/>
      <c r="BC150" s="299"/>
      <c r="BD150" s="299"/>
      <c r="BE150" s="299"/>
      <c r="BF150" s="299"/>
      <c r="BG150" s="299"/>
      <c r="BH150" s="299"/>
      <c r="BI150" s="299"/>
      <c r="BJ150" s="299"/>
      <c r="BK150" s="299"/>
      <c r="BL150" s="299"/>
      <c r="BM150" s="299"/>
    </row>
    <row r="151" spans="2:71" ht="15" customHeight="1">
      <c r="B151" s="117" t="s">
        <v>189</v>
      </c>
      <c r="C151" s="113" t="str">
        <f t="shared" si="195"/>
        <v>тыс. руб.</v>
      </c>
      <c r="D151" s="114"/>
      <c r="E151" s="299"/>
      <c r="F151" s="299"/>
      <c r="G151" s="299"/>
      <c r="H151" s="299"/>
      <c r="I151" s="299"/>
      <c r="J151" s="299"/>
      <c r="K151" s="299"/>
      <c r="L151" s="299"/>
      <c r="M151" s="299"/>
      <c r="N151" s="299"/>
      <c r="O151" s="299"/>
      <c r="P151" s="299"/>
      <c r="Q151" s="299"/>
      <c r="R151" s="299"/>
      <c r="S151" s="299"/>
      <c r="T151" s="299"/>
      <c r="U151" s="299"/>
      <c r="V151" s="299"/>
      <c r="W151" s="299"/>
      <c r="X151" s="299"/>
      <c r="Y151" s="299"/>
      <c r="Z151" s="299"/>
      <c r="AA151" s="299"/>
      <c r="AB151" s="299"/>
      <c r="AC151" s="299"/>
      <c r="AD151" s="299"/>
      <c r="AE151" s="299"/>
      <c r="AF151" s="299"/>
      <c r="AG151" s="299"/>
      <c r="AH151" s="299"/>
      <c r="AI151" s="299"/>
      <c r="AJ151" s="299"/>
      <c r="AK151" s="299"/>
      <c r="AL151" s="299"/>
      <c r="AM151" s="299"/>
      <c r="AN151" s="299"/>
      <c r="AO151" s="299"/>
      <c r="AP151" s="299"/>
      <c r="AQ151" s="299"/>
      <c r="AR151" s="299"/>
      <c r="AS151" s="299"/>
      <c r="AT151" s="299"/>
      <c r="AU151" s="299"/>
      <c r="AV151" s="299"/>
      <c r="AW151" s="299"/>
      <c r="AX151" s="299"/>
      <c r="AY151" s="299"/>
      <c r="AZ151" s="299"/>
      <c r="BA151" s="299"/>
      <c r="BB151" s="299"/>
      <c r="BC151" s="299"/>
      <c r="BD151" s="299"/>
      <c r="BE151" s="299"/>
      <c r="BF151" s="299"/>
      <c r="BG151" s="299"/>
      <c r="BH151" s="299"/>
      <c r="BI151" s="299"/>
      <c r="BJ151" s="299"/>
      <c r="BK151" s="299"/>
      <c r="BL151" s="299"/>
      <c r="BM151" s="299"/>
    </row>
    <row r="152" spans="2:71" ht="15" customHeight="1">
      <c r="B152" s="117" t="s">
        <v>79</v>
      </c>
      <c r="C152" s="113" t="str">
        <f t="shared" si="195"/>
        <v>тыс. руб.</v>
      </c>
      <c r="D152" s="114"/>
      <c r="E152" s="299"/>
      <c r="F152" s="151">
        <f t="shared" ref="F152:AK152" si="196">(E152+F31+F99)*IF($K$3&lt;F8,0,1)</f>
        <v>0</v>
      </c>
      <c r="G152" s="151">
        <f t="shared" si="196"/>
        <v>0</v>
      </c>
      <c r="H152" s="151">
        <f t="shared" si="196"/>
        <v>0</v>
      </c>
      <c r="I152" s="151">
        <f t="shared" si="196"/>
        <v>0</v>
      </c>
      <c r="J152" s="151">
        <f t="shared" si="196"/>
        <v>0</v>
      </c>
      <c r="K152" s="151">
        <f t="shared" si="196"/>
        <v>0</v>
      </c>
      <c r="L152" s="151">
        <f t="shared" si="196"/>
        <v>0</v>
      </c>
      <c r="M152" s="151">
        <f t="shared" si="196"/>
        <v>0</v>
      </c>
      <c r="N152" s="151">
        <f t="shared" si="196"/>
        <v>0</v>
      </c>
      <c r="O152" s="151">
        <f t="shared" si="196"/>
        <v>0</v>
      </c>
      <c r="P152" s="151">
        <f t="shared" si="196"/>
        <v>0</v>
      </c>
      <c r="Q152" s="151">
        <f t="shared" si="196"/>
        <v>0</v>
      </c>
      <c r="R152" s="151">
        <f t="shared" si="196"/>
        <v>0</v>
      </c>
      <c r="S152" s="151">
        <f t="shared" si="196"/>
        <v>0</v>
      </c>
      <c r="T152" s="151">
        <f t="shared" si="196"/>
        <v>0</v>
      </c>
      <c r="U152" s="151">
        <f t="shared" si="196"/>
        <v>0</v>
      </c>
      <c r="V152" s="151">
        <f t="shared" si="196"/>
        <v>0</v>
      </c>
      <c r="W152" s="151">
        <f t="shared" si="196"/>
        <v>0</v>
      </c>
      <c r="X152" s="151">
        <f t="shared" si="196"/>
        <v>0</v>
      </c>
      <c r="Y152" s="151">
        <f t="shared" si="196"/>
        <v>0</v>
      </c>
      <c r="Z152" s="151">
        <f t="shared" si="196"/>
        <v>0</v>
      </c>
      <c r="AA152" s="151">
        <f t="shared" si="196"/>
        <v>0</v>
      </c>
      <c r="AB152" s="151">
        <f t="shared" si="196"/>
        <v>0</v>
      </c>
      <c r="AC152" s="151">
        <f t="shared" si="196"/>
        <v>0</v>
      </c>
      <c r="AD152" s="151">
        <f t="shared" si="196"/>
        <v>0</v>
      </c>
      <c r="AE152" s="151">
        <f t="shared" si="196"/>
        <v>0</v>
      </c>
      <c r="AF152" s="151">
        <f t="shared" si="196"/>
        <v>0</v>
      </c>
      <c r="AG152" s="151">
        <f t="shared" si="196"/>
        <v>0</v>
      </c>
      <c r="AH152" s="151">
        <f t="shared" si="196"/>
        <v>0</v>
      </c>
      <c r="AI152" s="151">
        <f t="shared" si="196"/>
        <v>0</v>
      </c>
      <c r="AJ152" s="151">
        <f t="shared" si="196"/>
        <v>0</v>
      </c>
      <c r="AK152" s="151">
        <f t="shared" si="196"/>
        <v>0</v>
      </c>
      <c r="AL152" s="151">
        <f t="shared" ref="AL152:BM152" si="197">(AK152+AL31+AL99)*IF($K$3&lt;AL8,0,1)</f>
        <v>0</v>
      </c>
      <c r="AM152" s="151">
        <f t="shared" si="197"/>
        <v>0</v>
      </c>
      <c r="AN152" s="151">
        <f t="shared" si="197"/>
        <v>0</v>
      </c>
      <c r="AO152" s="151">
        <f t="shared" si="197"/>
        <v>0</v>
      </c>
      <c r="AP152" s="151">
        <f t="shared" si="197"/>
        <v>0</v>
      </c>
      <c r="AQ152" s="151">
        <f t="shared" si="197"/>
        <v>0</v>
      </c>
      <c r="AR152" s="151">
        <f t="shared" si="197"/>
        <v>0</v>
      </c>
      <c r="AS152" s="151">
        <f t="shared" si="197"/>
        <v>0</v>
      </c>
      <c r="AT152" s="151">
        <f t="shared" si="197"/>
        <v>0</v>
      </c>
      <c r="AU152" s="151">
        <f t="shared" si="197"/>
        <v>0</v>
      </c>
      <c r="AV152" s="151">
        <f t="shared" si="197"/>
        <v>0</v>
      </c>
      <c r="AW152" s="151">
        <f t="shared" si="197"/>
        <v>0</v>
      </c>
      <c r="AX152" s="151">
        <f t="shared" si="197"/>
        <v>0</v>
      </c>
      <c r="AY152" s="151">
        <f t="shared" si="197"/>
        <v>0</v>
      </c>
      <c r="AZ152" s="151">
        <f t="shared" si="197"/>
        <v>0</v>
      </c>
      <c r="BA152" s="151">
        <f t="shared" si="197"/>
        <v>0</v>
      </c>
      <c r="BB152" s="151">
        <f t="shared" si="197"/>
        <v>0</v>
      </c>
      <c r="BC152" s="151">
        <f t="shared" si="197"/>
        <v>0</v>
      </c>
      <c r="BD152" s="151">
        <f t="shared" si="197"/>
        <v>0</v>
      </c>
      <c r="BE152" s="151">
        <f t="shared" si="197"/>
        <v>0</v>
      </c>
      <c r="BF152" s="151">
        <f t="shared" si="197"/>
        <v>0</v>
      </c>
      <c r="BG152" s="151">
        <f t="shared" si="197"/>
        <v>0</v>
      </c>
      <c r="BH152" s="151">
        <f t="shared" si="197"/>
        <v>0</v>
      </c>
      <c r="BI152" s="151">
        <f t="shared" si="197"/>
        <v>0</v>
      </c>
      <c r="BJ152" s="151">
        <f t="shared" si="197"/>
        <v>0</v>
      </c>
      <c r="BK152" s="151">
        <f t="shared" si="197"/>
        <v>0</v>
      </c>
      <c r="BL152" s="151">
        <f t="shared" si="197"/>
        <v>0</v>
      </c>
      <c r="BM152" s="151">
        <f t="shared" si="197"/>
        <v>0</v>
      </c>
    </row>
    <row r="153" spans="2:71" ht="15" customHeight="1">
      <c r="B153" s="259" t="s">
        <v>317</v>
      </c>
      <c r="C153" s="260" t="str">
        <f t="shared" si="195"/>
        <v>тыс. руб.</v>
      </c>
      <c r="D153" s="248"/>
      <c r="E153" s="248">
        <f t="shared" ref="E153:AG153" si="198">SUM(E147:E152)</f>
        <v>0</v>
      </c>
      <c r="F153" s="248">
        <f t="shared" si="198"/>
        <v>0</v>
      </c>
      <c r="G153" s="248">
        <f t="shared" si="198"/>
        <v>0</v>
      </c>
      <c r="H153" s="248">
        <f t="shared" si="198"/>
        <v>0</v>
      </c>
      <c r="I153" s="248">
        <f t="shared" si="198"/>
        <v>0</v>
      </c>
      <c r="J153" s="248">
        <f t="shared" si="198"/>
        <v>0</v>
      </c>
      <c r="K153" s="248">
        <f t="shared" si="198"/>
        <v>0</v>
      </c>
      <c r="L153" s="248">
        <f t="shared" si="198"/>
        <v>0</v>
      </c>
      <c r="M153" s="248">
        <f t="shared" si="198"/>
        <v>0</v>
      </c>
      <c r="N153" s="248">
        <f t="shared" si="198"/>
        <v>0</v>
      </c>
      <c r="O153" s="248">
        <f t="shared" si="198"/>
        <v>0</v>
      </c>
      <c r="P153" s="248">
        <f t="shared" si="198"/>
        <v>0</v>
      </c>
      <c r="Q153" s="248">
        <f t="shared" si="198"/>
        <v>0</v>
      </c>
      <c r="R153" s="248">
        <f t="shared" si="198"/>
        <v>0</v>
      </c>
      <c r="S153" s="248">
        <f t="shared" si="198"/>
        <v>0</v>
      </c>
      <c r="T153" s="248">
        <f t="shared" si="198"/>
        <v>0</v>
      </c>
      <c r="U153" s="248">
        <f t="shared" si="198"/>
        <v>0</v>
      </c>
      <c r="V153" s="248">
        <f t="shared" si="198"/>
        <v>0</v>
      </c>
      <c r="W153" s="248">
        <f t="shared" si="198"/>
        <v>0</v>
      </c>
      <c r="X153" s="248">
        <f t="shared" si="198"/>
        <v>0</v>
      </c>
      <c r="Y153" s="248">
        <f t="shared" si="198"/>
        <v>0</v>
      </c>
      <c r="Z153" s="248">
        <f t="shared" si="198"/>
        <v>0</v>
      </c>
      <c r="AA153" s="248">
        <f t="shared" si="198"/>
        <v>0</v>
      </c>
      <c r="AB153" s="248">
        <f t="shared" si="198"/>
        <v>0</v>
      </c>
      <c r="AC153" s="248">
        <f t="shared" si="198"/>
        <v>0</v>
      </c>
      <c r="AD153" s="248">
        <f t="shared" si="198"/>
        <v>0</v>
      </c>
      <c r="AE153" s="248">
        <f t="shared" si="198"/>
        <v>0</v>
      </c>
      <c r="AF153" s="248">
        <f t="shared" si="198"/>
        <v>0</v>
      </c>
      <c r="AG153" s="248">
        <f t="shared" si="198"/>
        <v>0</v>
      </c>
      <c r="AH153" s="248">
        <f t="shared" ref="AH153:BM153" si="199">SUM(AH147:AH152)</f>
        <v>0</v>
      </c>
      <c r="AI153" s="248">
        <f t="shared" si="199"/>
        <v>0</v>
      </c>
      <c r="AJ153" s="248">
        <f t="shared" si="199"/>
        <v>0</v>
      </c>
      <c r="AK153" s="248">
        <f t="shared" si="199"/>
        <v>0</v>
      </c>
      <c r="AL153" s="248">
        <f t="shared" si="199"/>
        <v>0</v>
      </c>
      <c r="AM153" s="248">
        <f t="shared" si="199"/>
        <v>0</v>
      </c>
      <c r="AN153" s="248">
        <f t="shared" si="199"/>
        <v>0</v>
      </c>
      <c r="AO153" s="248">
        <f t="shared" si="199"/>
        <v>0</v>
      </c>
      <c r="AP153" s="248">
        <f t="shared" si="199"/>
        <v>0</v>
      </c>
      <c r="AQ153" s="248">
        <f t="shared" si="199"/>
        <v>0</v>
      </c>
      <c r="AR153" s="248">
        <f t="shared" si="199"/>
        <v>0</v>
      </c>
      <c r="AS153" s="248">
        <f t="shared" si="199"/>
        <v>0</v>
      </c>
      <c r="AT153" s="248">
        <f t="shared" si="199"/>
        <v>0</v>
      </c>
      <c r="AU153" s="248">
        <f t="shared" si="199"/>
        <v>0</v>
      </c>
      <c r="AV153" s="248">
        <f t="shared" si="199"/>
        <v>0</v>
      </c>
      <c r="AW153" s="248">
        <f t="shared" si="199"/>
        <v>0</v>
      </c>
      <c r="AX153" s="248">
        <f t="shared" si="199"/>
        <v>0</v>
      </c>
      <c r="AY153" s="248">
        <f t="shared" si="199"/>
        <v>0</v>
      </c>
      <c r="AZ153" s="248">
        <f t="shared" si="199"/>
        <v>0</v>
      </c>
      <c r="BA153" s="248">
        <f t="shared" si="199"/>
        <v>0</v>
      </c>
      <c r="BB153" s="248">
        <f t="shared" si="199"/>
        <v>0</v>
      </c>
      <c r="BC153" s="248">
        <f t="shared" si="199"/>
        <v>0</v>
      </c>
      <c r="BD153" s="248">
        <f t="shared" si="199"/>
        <v>0</v>
      </c>
      <c r="BE153" s="248">
        <f t="shared" si="199"/>
        <v>0</v>
      </c>
      <c r="BF153" s="248">
        <f t="shared" si="199"/>
        <v>0</v>
      </c>
      <c r="BG153" s="248">
        <f t="shared" si="199"/>
        <v>0</v>
      </c>
      <c r="BH153" s="248">
        <f t="shared" si="199"/>
        <v>0</v>
      </c>
      <c r="BI153" s="248">
        <f t="shared" si="199"/>
        <v>0</v>
      </c>
      <c r="BJ153" s="248">
        <f t="shared" si="199"/>
        <v>0</v>
      </c>
      <c r="BK153" s="248">
        <f t="shared" si="199"/>
        <v>0</v>
      </c>
      <c r="BL153" s="248">
        <f t="shared" si="199"/>
        <v>0</v>
      </c>
      <c r="BM153" s="248">
        <f t="shared" si="199"/>
        <v>0</v>
      </c>
    </row>
    <row r="154" spans="2:71" ht="15" customHeight="1">
      <c r="B154" s="37"/>
      <c r="C154" s="37"/>
      <c r="D154" s="37"/>
      <c r="E154" s="37"/>
      <c r="F154" s="37"/>
      <c r="G154" s="37"/>
      <c r="H154" s="37"/>
      <c r="I154" s="37"/>
      <c r="J154" s="37"/>
      <c r="K154" s="37"/>
      <c r="L154" s="37"/>
      <c r="M154" s="37"/>
      <c r="N154" s="37"/>
      <c r="O154" s="37"/>
      <c r="P154" s="37"/>
      <c r="Q154" s="37"/>
      <c r="R154" s="37"/>
      <c r="S154" s="37"/>
      <c r="T154" s="37"/>
      <c r="U154" s="37"/>
      <c r="V154" s="37"/>
      <c r="W154" s="37"/>
      <c r="X154" s="37"/>
      <c r="Y154" s="37"/>
      <c r="Z154" s="37"/>
      <c r="AA154" s="37"/>
      <c r="AB154" s="37"/>
      <c r="AC154" s="37"/>
      <c r="AD154" s="37"/>
      <c r="AE154" s="37"/>
      <c r="AF154" s="37"/>
      <c r="AG154" s="37"/>
      <c r="AH154" s="37"/>
      <c r="AI154" s="37"/>
      <c r="AJ154" s="37"/>
      <c r="AK154" s="37"/>
      <c r="AL154" s="37"/>
      <c r="AM154" s="37"/>
      <c r="AN154" s="37"/>
      <c r="AO154" s="37"/>
      <c r="AP154" s="37"/>
      <c r="AQ154" s="37"/>
      <c r="AR154" s="37"/>
      <c r="AS154" s="37"/>
      <c r="AT154" s="37"/>
      <c r="AU154" s="37"/>
      <c r="AV154" s="37"/>
      <c r="AW154" s="37"/>
      <c r="AX154" s="37"/>
      <c r="AY154" s="37"/>
      <c r="AZ154" s="37"/>
      <c r="BA154" s="37"/>
      <c r="BB154" s="37"/>
      <c r="BC154" s="37"/>
      <c r="BD154" s="37"/>
      <c r="BE154" s="37"/>
      <c r="BF154" s="37"/>
      <c r="BG154" s="37"/>
      <c r="BH154" s="37"/>
      <c r="BI154" s="37"/>
      <c r="BJ154" s="37"/>
      <c r="BK154" s="37"/>
      <c r="BL154" s="37"/>
      <c r="BM154" s="37"/>
    </row>
    <row r="155" spans="2:71" ht="21">
      <c r="B155" s="118" t="s">
        <v>190</v>
      </c>
      <c r="C155" s="37"/>
      <c r="D155" s="40"/>
      <c r="E155" s="41"/>
      <c r="F155" s="41"/>
      <c r="G155" s="41"/>
      <c r="H155" s="41"/>
      <c r="I155" s="41"/>
      <c r="J155" s="41"/>
      <c r="K155" s="41"/>
      <c r="L155" s="41"/>
      <c r="M155" s="41"/>
      <c r="N155" s="41"/>
      <c r="O155" s="41"/>
      <c r="P155" s="41"/>
      <c r="Q155" s="41"/>
      <c r="R155" s="41"/>
      <c r="S155" s="41"/>
      <c r="T155" s="41"/>
      <c r="U155" s="41"/>
      <c r="V155" s="41"/>
      <c r="W155" s="41"/>
      <c r="X155" s="41"/>
      <c r="Y155" s="41"/>
      <c r="Z155" s="41"/>
      <c r="AA155" s="41"/>
      <c r="AB155" s="41"/>
      <c r="AC155" s="41"/>
      <c r="AD155" s="41"/>
      <c r="AE155" s="41"/>
      <c r="AF155" s="41"/>
      <c r="AG155" s="41"/>
      <c r="AH155" s="41"/>
      <c r="AI155" s="41"/>
      <c r="AJ155" s="41"/>
      <c r="AK155" s="41"/>
      <c r="AL155" s="41"/>
      <c r="AM155" s="41"/>
      <c r="AN155" s="41"/>
      <c r="AO155" s="41"/>
      <c r="AP155" s="41"/>
      <c r="AQ155" s="41"/>
      <c r="AR155" s="41"/>
      <c r="AS155" s="41"/>
      <c r="AT155" s="41"/>
      <c r="AU155" s="41"/>
      <c r="AV155" s="41"/>
      <c r="AW155" s="41"/>
      <c r="AX155" s="41"/>
      <c r="AY155" s="41"/>
      <c r="AZ155" s="41"/>
      <c r="BA155" s="41"/>
      <c r="BB155" s="41"/>
      <c r="BC155" s="41"/>
      <c r="BD155" s="41"/>
      <c r="BE155" s="41"/>
      <c r="BF155" s="41"/>
      <c r="BG155" s="41"/>
      <c r="BH155" s="41"/>
      <c r="BI155" s="41"/>
      <c r="BJ155" s="41"/>
      <c r="BK155" s="41"/>
      <c r="BL155" s="41"/>
      <c r="BM155" s="41"/>
      <c r="BN155" s="5"/>
      <c r="BO155" s="5"/>
      <c r="BP155" s="5"/>
      <c r="BQ155" s="5"/>
      <c r="BR155" s="5"/>
      <c r="BS155" s="5"/>
    </row>
    <row r="156" spans="2:71" ht="15" customHeight="1">
      <c r="B156" s="112" t="s">
        <v>81</v>
      </c>
      <c r="C156" s="113" t="str">
        <f>Единица_измерения</f>
        <v>тыс. руб.</v>
      </c>
      <c r="D156" s="114"/>
      <c r="E156" s="299"/>
      <c r="F156" s="151">
        <f t="shared" ref="F156:AK156" si="200">(E156+F87+F102)*IF($K$3&lt;F8,0,1)</f>
        <v>0</v>
      </c>
      <c r="G156" s="151">
        <f t="shared" si="200"/>
        <v>0</v>
      </c>
      <c r="H156" s="151">
        <f t="shared" si="200"/>
        <v>0</v>
      </c>
      <c r="I156" s="151">
        <f t="shared" si="200"/>
        <v>0</v>
      </c>
      <c r="J156" s="151">
        <f t="shared" si="200"/>
        <v>0</v>
      </c>
      <c r="K156" s="151">
        <f t="shared" si="200"/>
        <v>0</v>
      </c>
      <c r="L156" s="151">
        <f t="shared" si="200"/>
        <v>0</v>
      </c>
      <c r="M156" s="151">
        <f t="shared" si="200"/>
        <v>0</v>
      </c>
      <c r="N156" s="151">
        <f t="shared" si="200"/>
        <v>0</v>
      </c>
      <c r="O156" s="151">
        <f t="shared" si="200"/>
        <v>0</v>
      </c>
      <c r="P156" s="151">
        <f t="shared" si="200"/>
        <v>0</v>
      </c>
      <c r="Q156" s="151">
        <f t="shared" si="200"/>
        <v>0</v>
      </c>
      <c r="R156" s="151">
        <f t="shared" si="200"/>
        <v>0</v>
      </c>
      <c r="S156" s="151">
        <f t="shared" si="200"/>
        <v>0</v>
      </c>
      <c r="T156" s="151">
        <f t="shared" si="200"/>
        <v>0</v>
      </c>
      <c r="U156" s="151">
        <f t="shared" si="200"/>
        <v>0</v>
      </c>
      <c r="V156" s="151">
        <f t="shared" si="200"/>
        <v>0</v>
      </c>
      <c r="W156" s="151">
        <f t="shared" si="200"/>
        <v>0</v>
      </c>
      <c r="X156" s="151">
        <f t="shared" si="200"/>
        <v>0</v>
      </c>
      <c r="Y156" s="151">
        <f t="shared" si="200"/>
        <v>0</v>
      </c>
      <c r="Z156" s="151">
        <f t="shared" si="200"/>
        <v>0</v>
      </c>
      <c r="AA156" s="151">
        <f t="shared" si="200"/>
        <v>0</v>
      </c>
      <c r="AB156" s="151">
        <f t="shared" si="200"/>
        <v>0</v>
      </c>
      <c r="AC156" s="151">
        <f t="shared" si="200"/>
        <v>0</v>
      </c>
      <c r="AD156" s="151">
        <f t="shared" si="200"/>
        <v>0</v>
      </c>
      <c r="AE156" s="151">
        <f t="shared" si="200"/>
        <v>0</v>
      </c>
      <c r="AF156" s="151">
        <f t="shared" si="200"/>
        <v>0</v>
      </c>
      <c r="AG156" s="151">
        <f t="shared" si="200"/>
        <v>0</v>
      </c>
      <c r="AH156" s="151">
        <f t="shared" si="200"/>
        <v>0</v>
      </c>
      <c r="AI156" s="151">
        <f t="shared" si="200"/>
        <v>0</v>
      </c>
      <c r="AJ156" s="151">
        <f t="shared" si="200"/>
        <v>0</v>
      </c>
      <c r="AK156" s="151">
        <f t="shared" si="200"/>
        <v>0</v>
      </c>
      <c r="AL156" s="151">
        <f t="shared" ref="AL156:BM156" si="201">(AK156+AL87+AL102)*IF($K$3&lt;AL8,0,1)</f>
        <v>0</v>
      </c>
      <c r="AM156" s="151">
        <f t="shared" si="201"/>
        <v>0</v>
      </c>
      <c r="AN156" s="151">
        <f t="shared" si="201"/>
        <v>0</v>
      </c>
      <c r="AO156" s="151">
        <f t="shared" si="201"/>
        <v>0</v>
      </c>
      <c r="AP156" s="151">
        <f t="shared" si="201"/>
        <v>0</v>
      </c>
      <c r="AQ156" s="151">
        <f t="shared" si="201"/>
        <v>0</v>
      </c>
      <c r="AR156" s="151">
        <f t="shared" si="201"/>
        <v>0</v>
      </c>
      <c r="AS156" s="151">
        <f t="shared" si="201"/>
        <v>0</v>
      </c>
      <c r="AT156" s="151">
        <f t="shared" si="201"/>
        <v>0</v>
      </c>
      <c r="AU156" s="151">
        <f t="shared" si="201"/>
        <v>0</v>
      </c>
      <c r="AV156" s="151">
        <f t="shared" si="201"/>
        <v>0</v>
      </c>
      <c r="AW156" s="151">
        <f t="shared" si="201"/>
        <v>0</v>
      </c>
      <c r="AX156" s="151">
        <f t="shared" si="201"/>
        <v>0</v>
      </c>
      <c r="AY156" s="151">
        <f t="shared" si="201"/>
        <v>0</v>
      </c>
      <c r="AZ156" s="151">
        <f t="shared" si="201"/>
        <v>0</v>
      </c>
      <c r="BA156" s="151">
        <f t="shared" si="201"/>
        <v>0</v>
      </c>
      <c r="BB156" s="151">
        <f t="shared" si="201"/>
        <v>0</v>
      </c>
      <c r="BC156" s="151">
        <f t="shared" si="201"/>
        <v>0</v>
      </c>
      <c r="BD156" s="151">
        <f t="shared" si="201"/>
        <v>0</v>
      </c>
      <c r="BE156" s="151">
        <f t="shared" si="201"/>
        <v>0</v>
      </c>
      <c r="BF156" s="151">
        <f t="shared" si="201"/>
        <v>0</v>
      </c>
      <c r="BG156" s="151">
        <f t="shared" si="201"/>
        <v>0</v>
      </c>
      <c r="BH156" s="151">
        <f t="shared" si="201"/>
        <v>0</v>
      </c>
      <c r="BI156" s="151">
        <f t="shared" si="201"/>
        <v>0</v>
      </c>
      <c r="BJ156" s="151">
        <f t="shared" si="201"/>
        <v>0</v>
      </c>
      <c r="BK156" s="151">
        <f t="shared" si="201"/>
        <v>0</v>
      </c>
      <c r="BL156" s="151">
        <f t="shared" si="201"/>
        <v>0</v>
      </c>
      <c r="BM156" s="151">
        <f t="shared" si="201"/>
        <v>0</v>
      </c>
    </row>
    <row r="157" spans="2:71" ht="15" customHeight="1">
      <c r="B157" s="117" t="s">
        <v>191</v>
      </c>
      <c r="C157" s="113" t="str">
        <f>Единица_измерения</f>
        <v>тыс. руб.</v>
      </c>
      <c r="D157" s="114"/>
      <c r="E157" s="299"/>
      <c r="F157" s="299"/>
      <c r="G157" s="299"/>
      <c r="H157" s="299"/>
      <c r="I157" s="299"/>
      <c r="J157" s="299"/>
      <c r="K157" s="299"/>
      <c r="L157" s="299"/>
      <c r="M157" s="299"/>
      <c r="N157" s="299"/>
      <c r="O157" s="299"/>
      <c r="P157" s="299"/>
      <c r="Q157" s="299"/>
      <c r="R157" s="299"/>
      <c r="S157" s="299"/>
      <c r="T157" s="299"/>
      <c r="U157" s="299"/>
      <c r="V157" s="299"/>
      <c r="W157" s="299"/>
      <c r="X157" s="299"/>
      <c r="Y157" s="299"/>
      <c r="Z157" s="299"/>
      <c r="AA157" s="299"/>
      <c r="AB157" s="299"/>
      <c r="AC157" s="299"/>
      <c r="AD157" s="299"/>
      <c r="AE157" s="299"/>
      <c r="AF157" s="299"/>
      <c r="AG157" s="299"/>
      <c r="AH157" s="299"/>
      <c r="AI157" s="299"/>
      <c r="AJ157" s="299"/>
      <c r="AK157" s="299"/>
      <c r="AL157" s="299"/>
      <c r="AM157" s="299"/>
      <c r="AN157" s="299"/>
      <c r="AO157" s="299"/>
      <c r="AP157" s="299"/>
      <c r="AQ157" s="299"/>
      <c r="AR157" s="299"/>
      <c r="AS157" s="299"/>
      <c r="AT157" s="299"/>
      <c r="AU157" s="299"/>
      <c r="AV157" s="299"/>
      <c r="AW157" s="299"/>
      <c r="AX157" s="299"/>
      <c r="AY157" s="299"/>
      <c r="AZ157" s="299"/>
      <c r="BA157" s="299"/>
      <c r="BB157" s="299"/>
      <c r="BC157" s="299"/>
      <c r="BD157" s="299"/>
      <c r="BE157" s="299"/>
      <c r="BF157" s="299"/>
      <c r="BG157" s="299"/>
      <c r="BH157" s="299"/>
      <c r="BI157" s="299"/>
      <c r="BJ157" s="299"/>
      <c r="BK157" s="299"/>
      <c r="BL157" s="299"/>
      <c r="BM157" s="299"/>
    </row>
    <row r="158" spans="2:71" ht="15" customHeight="1">
      <c r="B158" s="117" t="s">
        <v>192</v>
      </c>
      <c r="C158" s="113" t="str">
        <f>Единица_измерения</f>
        <v>тыс. руб.</v>
      </c>
      <c r="D158" s="114"/>
      <c r="E158" s="299"/>
      <c r="F158" s="299"/>
      <c r="G158" s="299"/>
      <c r="H158" s="299"/>
      <c r="I158" s="299"/>
      <c r="J158" s="299"/>
      <c r="K158" s="299"/>
      <c r="L158" s="299"/>
      <c r="M158" s="299"/>
      <c r="N158" s="299"/>
      <c r="O158" s="299"/>
      <c r="P158" s="299"/>
      <c r="Q158" s="299"/>
      <c r="R158" s="299"/>
      <c r="S158" s="299"/>
      <c r="T158" s="299"/>
      <c r="U158" s="299"/>
      <c r="V158" s="299"/>
      <c r="W158" s="299"/>
      <c r="X158" s="299"/>
      <c r="Y158" s="299"/>
      <c r="Z158" s="299"/>
      <c r="AA158" s="299"/>
      <c r="AB158" s="299"/>
      <c r="AC158" s="299"/>
      <c r="AD158" s="299"/>
      <c r="AE158" s="299"/>
      <c r="AF158" s="299"/>
      <c r="AG158" s="299"/>
      <c r="AH158" s="299"/>
      <c r="AI158" s="299"/>
      <c r="AJ158" s="299"/>
      <c r="AK158" s="299"/>
      <c r="AL158" s="299"/>
      <c r="AM158" s="299"/>
      <c r="AN158" s="299"/>
      <c r="AO158" s="299"/>
      <c r="AP158" s="299"/>
      <c r="AQ158" s="299"/>
      <c r="AR158" s="299"/>
      <c r="AS158" s="299"/>
      <c r="AT158" s="299"/>
      <c r="AU158" s="299"/>
      <c r="AV158" s="299"/>
      <c r="AW158" s="299"/>
      <c r="AX158" s="299"/>
      <c r="AY158" s="299"/>
      <c r="AZ158" s="299"/>
      <c r="BA158" s="299"/>
      <c r="BB158" s="299"/>
      <c r="BC158" s="299"/>
      <c r="BD158" s="299"/>
      <c r="BE158" s="299"/>
      <c r="BF158" s="299"/>
      <c r="BG158" s="299"/>
      <c r="BH158" s="299"/>
      <c r="BI158" s="299"/>
      <c r="BJ158" s="299"/>
      <c r="BK158" s="299"/>
      <c r="BL158" s="299"/>
      <c r="BM158" s="299"/>
    </row>
    <row r="159" spans="2:71" ht="15" customHeight="1">
      <c r="B159" s="117" t="s">
        <v>193</v>
      </c>
      <c r="C159" s="113" t="str">
        <f>Единица_измерения</f>
        <v>тыс. руб.</v>
      </c>
      <c r="D159" s="114"/>
      <c r="E159" s="299"/>
      <c r="F159" s="299"/>
      <c r="G159" s="299"/>
      <c r="H159" s="299"/>
      <c r="I159" s="299"/>
      <c r="J159" s="299"/>
      <c r="K159" s="299"/>
      <c r="L159" s="299"/>
      <c r="M159" s="299"/>
      <c r="N159" s="299"/>
      <c r="O159" s="299"/>
      <c r="P159" s="299"/>
      <c r="Q159" s="299"/>
      <c r="R159" s="299"/>
      <c r="S159" s="299"/>
      <c r="T159" s="299"/>
      <c r="U159" s="299"/>
      <c r="V159" s="299"/>
      <c r="W159" s="299"/>
      <c r="X159" s="299"/>
      <c r="Y159" s="299"/>
      <c r="Z159" s="299"/>
      <c r="AA159" s="299"/>
      <c r="AB159" s="299"/>
      <c r="AC159" s="299"/>
      <c r="AD159" s="299"/>
      <c r="AE159" s="299"/>
      <c r="AF159" s="299"/>
      <c r="AG159" s="299"/>
      <c r="AH159" s="299"/>
      <c r="AI159" s="299"/>
      <c r="AJ159" s="299"/>
      <c r="AK159" s="299"/>
      <c r="AL159" s="299"/>
      <c r="AM159" s="299"/>
      <c r="AN159" s="299"/>
      <c r="AO159" s="299"/>
      <c r="AP159" s="299"/>
      <c r="AQ159" s="299"/>
      <c r="AR159" s="299"/>
      <c r="AS159" s="299"/>
      <c r="AT159" s="299"/>
      <c r="AU159" s="299"/>
      <c r="AV159" s="299"/>
      <c r="AW159" s="299"/>
      <c r="AX159" s="299"/>
      <c r="AY159" s="299"/>
      <c r="AZ159" s="299"/>
      <c r="BA159" s="299"/>
      <c r="BB159" s="299"/>
      <c r="BC159" s="299"/>
      <c r="BD159" s="299"/>
      <c r="BE159" s="299"/>
      <c r="BF159" s="299"/>
      <c r="BG159" s="299"/>
      <c r="BH159" s="299"/>
      <c r="BI159" s="299"/>
      <c r="BJ159" s="299"/>
      <c r="BK159" s="299"/>
      <c r="BL159" s="299"/>
      <c r="BM159" s="299"/>
    </row>
    <row r="160" spans="2:71" ht="15" customHeight="1">
      <c r="B160" s="259" t="s">
        <v>321</v>
      </c>
      <c r="C160" s="260" t="str">
        <f>Единица_измерения</f>
        <v>тыс. руб.</v>
      </c>
      <c r="D160" s="248"/>
      <c r="E160" s="248">
        <f t="shared" ref="E160:AG160" si="202">SUM(E156:E159)</f>
        <v>0</v>
      </c>
      <c r="F160" s="248">
        <f t="shared" si="202"/>
        <v>0</v>
      </c>
      <c r="G160" s="248">
        <f t="shared" si="202"/>
        <v>0</v>
      </c>
      <c r="H160" s="248">
        <f t="shared" si="202"/>
        <v>0</v>
      </c>
      <c r="I160" s="248">
        <f t="shared" si="202"/>
        <v>0</v>
      </c>
      <c r="J160" s="248">
        <f t="shared" si="202"/>
        <v>0</v>
      </c>
      <c r="K160" s="248">
        <f t="shared" si="202"/>
        <v>0</v>
      </c>
      <c r="L160" s="248">
        <f t="shared" si="202"/>
        <v>0</v>
      </c>
      <c r="M160" s="248">
        <f t="shared" si="202"/>
        <v>0</v>
      </c>
      <c r="N160" s="248">
        <f t="shared" si="202"/>
        <v>0</v>
      </c>
      <c r="O160" s="248">
        <f t="shared" si="202"/>
        <v>0</v>
      </c>
      <c r="P160" s="248">
        <f t="shared" si="202"/>
        <v>0</v>
      </c>
      <c r="Q160" s="248">
        <f t="shared" si="202"/>
        <v>0</v>
      </c>
      <c r="R160" s="248">
        <f t="shared" si="202"/>
        <v>0</v>
      </c>
      <c r="S160" s="248">
        <f t="shared" si="202"/>
        <v>0</v>
      </c>
      <c r="T160" s="248">
        <f t="shared" si="202"/>
        <v>0</v>
      </c>
      <c r="U160" s="248">
        <f t="shared" si="202"/>
        <v>0</v>
      </c>
      <c r="V160" s="248">
        <f t="shared" si="202"/>
        <v>0</v>
      </c>
      <c r="W160" s="248">
        <f t="shared" si="202"/>
        <v>0</v>
      </c>
      <c r="X160" s="248">
        <f t="shared" si="202"/>
        <v>0</v>
      </c>
      <c r="Y160" s="248">
        <f t="shared" si="202"/>
        <v>0</v>
      </c>
      <c r="Z160" s="248">
        <f t="shared" si="202"/>
        <v>0</v>
      </c>
      <c r="AA160" s="248">
        <f t="shared" si="202"/>
        <v>0</v>
      </c>
      <c r="AB160" s="248">
        <f t="shared" si="202"/>
        <v>0</v>
      </c>
      <c r="AC160" s="248">
        <f t="shared" si="202"/>
        <v>0</v>
      </c>
      <c r="AD160" s="248">
        <f t="shared" si="202"/>
        <v>0</v>
      </c>
      <c r="AE160" s="248">
        <f t="shared" si="202"/>
        <v>0</v>
      </c>
      <c r="AF160" s="248">
        <f t="shared" si="202"/>
        <v>0</v>
      </c>
      <c r="AG160" s="248">
        <f t="shared" si="202"/>
        <v>0</v>
      </c>
      <c r="AH160" s="248">
        <f t="shared" ref="AH160:BM160" si="203">SUM(AH156:AH159)</f>
        <v>0</v>
      </c>
      <c r="AI160" s="248">
        <f t="shared" si="203"/>
        <v>0</v>
      </c>
      <c r="AJ160" s="248">
        <f t="shared" si="203"/>
        <v>0</v>
      </c>
      <c r="AK160" s="248">
        <f t="shared" si="203"/>
        <v>0</v>
      </c>
      <c r="AL160" s="248">
        <f t="shared" si="203"/>
        <v>0</v>
      </c>
      <c r="AM160" s="248">
        <f t="shared" si="203"/>
        <v>0</v>
      </c>
      <c r="AN160" s="248">
        <f t="shared" si="203"/>
        <v>0</v>
      </c>
      <c r="AO160" s="248">
        <f t="shared" si="203"/>
        <v>0</v>
      </c>
      <c r="AP160" s="248">
        <f t="shared" si="203"/>
        <v>0</v>
      </c>
      <c r="AQ160" s="248">
        <f t="shared" si="203"/>
        <v>0</v>
      </c>
      <c r="AR160" s="248">
        <f t="shared" si="203"/>
        <v>0</v>
      </c>
      <c r="AS160" s="248">
        <f t="shared" si="203"/>
        <v>0</v>
      </c>
      <c r="AT160" s="248">
        <f t="shared" si="203"/>
        <v>0</v>
      </c>
      <c r="AU160" s="248">
        <f t="shared" si="203"/>
        <v>0</v>
      </c>
      <c r="AV160" s="248">
        <f t="shared" si="203"/>
        <v>0</v>
      </c>
      <c r="AW160" s="248">
        <f t="shared" si="203"/>
        <v>0</v>
      </c>
      <c r="AX160" s="248">
        <f t="shared" si="203"/>
        <v>0</v>
      </c>
      <c r="AY160" s="248">
        <f t="shared" si="203"/>
        <v>0</v>
      </c>
      <c r="AZ160" s="248">
        <f t="shared" si="203"/>
        <v>0</v>
      </c>
      <c r="BA160" s="248">
        <f t="shared" si="203"/>
        <v>0</v>
      </c>
      <c r="BB160" s="248">
        <f t="shared" si="203"/>
        <v>0</v>
      </c>
      <c r="BC160" s="248">
        <f t="shared" si="203"/>
        <v>0</v>
      </c>
      <c r="BD160" s="248">
        <f t="shared" si="203"/>
        <v>0</v>
      </c>
      <c r="BE160" s="248">
        <f t="shared" si="203"/>
        <v>0</v>
      </c>
      <c r="BF160" s="248">
        <f t="shared" si="203"/>
        <v>0</v>
      </c>
      <c r="BG160" s="248">
        <f t="shared" si="203"/>
        <v>0</v>
      </c>
      <c r="BH160" s="248">
        <f t="shared" si="203"/>
        <v>0</v>
      </c>
      <c r="BI160" s="248">
        <f t="shared" si="203"/>
        <v>0</v>
      </c>
      <c r="BJ160" s="248">
        <f t="shared" si="203"/>
        <v>0</v>
      </c>
      <c r="BK160" s="248">
        <f t="shared" si="203"/>
        <v>0</v>
      </c>
      <c r="BL160" s="248">
        <f t="shared" si="203"/>
        <v>0</v>
      </c>
      <c r="BM160" s="248">
        <f t="shared" si="203"/>
        <v>0</v>
      </c>
    </row>
    <row r="161" spans="2:71" ht="15" customHeight="1">
      <c r="B161" s="37"/>
      <c r="C161" s="37"/>
      <c r="D161" s="37"/>
      <c r="E161" s="37"/>
      <c r="F161" s="37"/>
      <c r="G161" s="37"/>
      <c r="H161" s="37"/>
      <c r="I161" s="37"/>
      <c r="J161" s="37"/>
      <c r="K161" s="37"/>
      <c r="L161" s="37"/>
      <c r="M161" s="37"/>
      <c r="N161" s="37"/>
      <c r="O161" s="37"/>
      <c r="P161" s="37"/>
      <c r="Q161" s="37"/>
      <c r="R161" s="37"/>
      <c r="S161" s="37"/>
      <c r="T161" s="37"/>
      <c r="U161" s="37"/>
      <c r="V161" s="37"/>
      <c r="W161" s="37"/>
      <c r="X161" s="37"/>
      <c r="Y161" s="37"/>
      <c r="Z161" s="37"/>
      <c r="AA161" s="37"/>
      <c r="AB161" s="37"/>
      <c r="AC161" s="37"/>
      <c r="AD161" s="37"/>
      <c r="AE161" s="37"/>
      <c r="AF161" s="37"/>
      <c r="AG161" s="37"/>
      <c r="AH161" s="37"/>
      <c r="AI161" s="37"/>
      <c r="AJ161" s="37"/>
      <c r="AK161" s="37"/>
      <c r="AL161" s="37"/>
      <c r="AM161" s="37"/>
      <c r="AN161" s="37"/>
      <c r="AO161" s="37"/>
      <c r="AP161" s="37"/>
      <c r="AQ161" s="37"/>
      <c r="AR161" s="37"/>
      <c r="AS161" s="37"/>
      <c r="AT161" s="37"/>
      <c r="AU161" s="37"/>
      <c r="AV161" s="37"/>
      <c r="AW161" s="37"/>
      <c r="AX161" s="37"/>
      <c r="AY161" s="37"/>
      <c r="AZ161" s="37"/>
      <c r="BA161" s="37"/>
      <c r="BB161" s="37"/>
      <c r="BC161" s="37"/>
      <c r="BD161" s="37"/>
      <c r="BE161" s="37"/>
      <c r="BF161" s="37"/>
      <c r="BG161" s="37"/>
      <c r="BH161" s="37"/>
      <c r="BI161" s="37"/>
      <c r="BJ161" s="37"/>
      <c r="BK161" s="37"/>
      <c r="BL161" s="37"/>
      <c r="BM161" s="37"/>
    </row>
    <row r="162" spans="2:71" ht="21">
      <c r="B162" s="118" t="s">
        <v>144</v>
      </c>
      <c r="C162" s="37"/>
      <c r="D162" s="40"/>
      <c r="E162" s="41"/>
      <c r="F162" s="41"/>
      <c r="G162" s="41"/>
      <c r="H162" s="41"/>
      <c r="I162" s="41"/>
      <c r="J162" s="41"/>
      <c r="K162" s="41"/>
      <c r="L162" s="41"/>
      <c r="M162" s="41"/>
      <c r="N162" s="41"/>
      <c r="O162" s="41"/>
      <c r="P162" s="41"/>
      <c r="Q162" s="41"/>
      <c r="R162" s="41"/>
      <c r="S162" s="41"/>
      <c r="T162" s="41"/>
      <c r="U162" s="41"/>
      <c r="V162" s="41"/>
      <c r="W162" s="41"/>
      <c r="X162" s="41"/>
      <c r="Y162" s="41"/>
      <c r="Z162" s="41"/>
      <c r="AA162" s="41"/>
      <c r="AB162" s="41"/>
      <c r="AC162" s="41"/>
      <c r="AD162" s="41"/>
      <c r="AE162" s="41"/>
      <c r="AF162" s="41"/>
      <c r="AG162" s="41"/>
      <c r="AH162" s="41"/>
      <c r="AI162" s="41"/>
      <c r="AJ162" s="41"/>
      <c r="AK162" s="41"/>
      <c r="AL162" s="41"/>
      <c r="AM162" s="41"/>
      <c r="AN162" s="41"/>
      <c r="AO162" s="41"/>
      <c r="AP162" s="41"/>
      <c r="AQ162" s="41"/>
      <c r="AR162" s="41"/>
      <c r="AS162" s="41"/>
      <c r="AT162" s="41"/>
      <c r="AU162" s="41"/>
      <c r="AV162" s="41"/>
      <c r="AW162" s="41"/>
      <c r="AX162" s="41"/>
      <c r="AY162" s="41"/>
      <c r="AZ162" s="41"/>
      <c r="BA162" s="41"/>
      <c r="BB162" s="41"/>
      <c r="BC162" s="41"/>
      <c r="BD162" s="41"/>
      <c r="BE162" s="41"/>
      <c r="BF162" s="41"/>
      <c r="BG162" s="41"/>
      <c r="BH162" s="41"/>
      <c r="BI162" s="41"/>
      <c r="BJ162" s="41"/>
      <c r="BK162" s="41"/>
      <c r="BL162" s="41"/>
      <c r="BM162" s="41"/>
      <c r="BN162" s="5"/>
      <c r="BO162" s="5"/>
      <c r="BP162" s="5"/>
      <c r="BQ162" s="5"/>
      <c r="BR162" s="5"/>
      <c r="BS162" s="5"/>
    </row>
    <row r="163" spans="2:71" ht="15" customHeight="1">
      <c r="B163" s="112" t="s">
        <v>81</v>
      </c>
      <c r="C163" s="113" t="str">
        <f t="shared" ref="C163:C168" si="204">Единица_измерения</f>
        <v>тыс. руб.</v>
      </c>
      <c r="D163" s="114"/>
      <c r="E163" s="299"/>
      <c r="F163" s="202">
        <f t="shared" ref="F163:AK163" si="205">(E163+F86+F101)*IF($K$3&lt;F8,0,1)</f>
        <v>0</v>
      </c>
      <c r="G163" s="202">
        <f t="shared" si="205"/>
        <v>0</v>
      </c>
      <c r="H163" s="202">
        <f t="shared" si="205"/>
        <v>0</v>
      </c>
      <c r="I163" s="202">
        <f t="shared" si="205"/>
        <v>0</v>
      </c>
      <c r="J163" s="202">
        <f t="shared" si="205"/>
        <v>0</v>
      </c>
      <c r="K163" s="202">
        <f t="shared" si="205"/>
        <v>0</v>
      </c>
      <c r="L163" s="202">
        <f t="shared" si="205"/>
        <v>0</v>
      </c>
      <c r="M163" s="202">
        <f t="shared" si="205"/>
        <v>0</v>
      </c>
      <c r="N163" s="202">
        <f t="shared" si="205"/>
        <v>0</v>
      </c>
      <c r="O163" s="202">
        <f t="shared" si="205"/>
        <v>0</v>
      </c>
      <c r="P163" s="202">
        <f t="shared" si="205"/>
        <v>0</v>
      </c>
      <c r="Q163" s="202">
        <f t="shared" si="205"/>
        <v>0</v>
      </c>
      <c r="R163" s="202">
        <f t="shared" si="205"/>
        <v>0</v>
      </c>
      <c r="S163" s="202">
        <f t="shared" si="205"/>
        <v>0</v>
      </c>
      <c r="T163" s="202">
        <f t="shared" si="205"/>
        <v>0</v>
      </c>
      <c r="U163" s="202">
        <f t="shared" si="205"/>
        <v>0</v>
      </c>
      <c r="V163" s="202">
        <f t="shared" si="205"/>
        <v>0</v>
      </c>
      <c r="W163" s="202">
        <f t="shared" si="205"/>
        <v>0</v>
      </c>
      <c r="X163" s="202">
        <f t="shared" si="205"/>
        <v>0</v>
      </c>
      <c r="Y163" s="202">
        <f t="shared" si="205"/>
        <v>0</v>
      </c>
      <c r="Z163" s="202">
        <f t="shared" si="205"/>
        <v>0</v>
      </c>
      <c r="AA163" s="202">
        <f t="shared" si="205"/>
        <v>0</v>
      </c>
      <c r="AB163" s="202">
        <f t="shared" si="205"/>
        <v>0</v>
      </c>
      <c r="AC163" s="202">
        <f t="shared" si="205"/>
        <v>0</v>
      </c>
      <c r="AD163" s="202">
        <f t="shared" si="205"/>
        <v>0</v>
      </c>
      <c r="AE163" s="202">
        <f t="shared" si="205"/>
        <v>0</v>
      </c>
      <c r="AF163" s="202">
        <f t="shared" si="205"/>
        <v>0</v>
      </c>
      <c r="AG163" s="202">
        <f t="shared" si="205"/>
        <v>0</v>
      </c>
      <c r="AH163" s="202">
        <f t="shared" si="205"/>
        <v>0</v>
      </c>
      <c r="AI163" s="202">
        <f t="shared" si="205"/>
        <v>0</v>
      </c>
      <c r="AJ163" s="202">
        <f t="shared" si="205"/>
        <v>0</v>
      </c>
      <c r="AK163" s="202">
        <f t="shared" si="205"/>
        <v>0</v>
      </c>
      <c r="AL163" s="202">
        <f t="shared" ref="AL163:BM163" si="206">(AK163+AL86+AL101)*IF($K$3&lt;AL8,0,1)</f>
        <v>0</v>
      </c>
      <c r="AM163" s="202">
        <f t="shared" si="206"/>
        <v>0</v>
      </c>
      <c r="AN163" s="202">
        <f t="shared" si="206"/>
        <v>0</v>
      </c>
      <c r="AO163" s="202">
        <f t="shared" si="206"/>
        <v>0</v>
      </c>
      <c r="AP163" s="202">
        <f t="shared" si="206"/>
        <v>0</v>
      </c>
      <c r="AQ163" s="202">
        <f t="shared" si="206"/>
        <v>0</v>
      </c>
      <c r="AR163" s="202">
        <f t="shared" si="206"/>
        <v>0</v>
      </c>
      <c r="AS163" s="202">
        <f t="shared" si="206"/>
        <v>0</v>
      </c>
      <c r="AT163" s="202">
        <f t="shared" si="206"/>
        <v>0</v>
      </c>
      <c r="AU163" s="202">
        <f t="shared" si="206"/>
        <v>0</v>
      </c>
      <c r="AV163" s="202">
        <f t="shared" si="206"/>
        <v>0</v>
      </c>
      <c r="AW163" s="202">
        <f t="shared" si="206"/>
        <v>0</v>
      </c>
      <c r="AX163" s="202">
        <f t="shared" si="206"/>
        <v>0</v>
      </c>
      <c r="AY163" s="202">
        <f t="shared" si="206"/>
        <v>0</v>
      </c>
      <c r="AZ163" s="202">
        <f t="shared" si="206"/>
        <v>0</v>
      </c>
      <c r="BA163" s="202">
        <f t="shared" si="206"/>
        <v>0</v>
      </c>
      <c r="BB163" s="202">
        <f t="shared" si="206"/>
        <v>0</v>
      </c>
      <c r="BC163" s="202">
        <f t="shared" si="206"/>
        <v>0</v>
      </c>
      <c r="BD163" s="202">
        <f t="shared" si="206"/>
        <v>0</v>
      </c>
      <c r="BE163" s="202">
        <f t="shared" si="206"/>
        <v>0</v>
      </c>
      <c r="BF163" s="202">
        <f t="shared" si="206"/>
        <v>0</v>
      </c>
      <c r="BG163" s="202">
        <f t="shared" si="206"/>
        <v>0</v>
      </c>
      <c r="BH163" s="202">
        <f t="shared" si="206"/>
        <v>0</v>
      </c>
      <c r="BI163" s="202">
        <f t="shared" si="206"/>
        <v>0</v>
      </c>
      <c r="BJ163" s="202">
        <f t="shared" si="206"/>
        <v>0</v>
      </c>
      <c r="BK163" s="202">
        <f t="shared" si="206"/>
        <v>0</v>
      </c>
      <c r="BL163" s="202">
        <f t="shared" si="206"/>
        <v>0</v>
      </c>
      <c r="BM163" s="202">
        <f t="shared" si="206"/>
        <v>0</v>
      </c>
    </row>
    <row r="164" spans="2:71" ht="15" customHeight="1">
      <c r="B164" s="117" t="s">
        <v>82</v>
      </c>
      <c r="C164" s="113" t="str">
        <f t="shared" si="204"/>
        <v>тыс. руб.</v>
      </c>
      <c r="D164" s="114"/>
      <c r="E164" s="299"/>
      <c r="F164" s="299"/>
      <c r="G164" s="299"/>
      <c r="H164" s="299"/>
      <c r="I164" s="299"/>
      <c r="J164" s="299"/>
      <c r="K164" s="299"/>
      <c r="L164" s="299"/>
      <c r="M164" s="299"/>
      <c r="N164" s="299"/>
      <c r="O164" s="299"/>
      <c r="P164" s="299"/>
      <c r="Q164" s="299"/>
      <c r="R164" s="299"/>
      <c r="S164" s="299"/>
      <c r="T164" s="299"/>
      <c r="U164" s="299"/>
      <c r="V164" s="299"/>
      <c r="W164" s="299"/>
      <c r="X164" s="299"/>
      <c r="Y164" s="299"/>
      <c r="Z164" s="299"/>
      <c r="AA164" s="299"/>
      <c r="AB164" s="299"/>
      <c r="AC164" s="299"/>
      <c r="AD164" s="299"/>
      <c r="AE164" s="299"/>
      <c r="AF164" s="299"/>
      <c r="AG164" s="299"/>
      <c r="AH164" s="299"/>
      <c r="AI164" s="299"/>
      <c r="AJ164" s="299"/>
      <c r="AK164" s="299"/>
      <c r="AL164" s="299"/>
      <c r="AM164" s="299"/>
      <c r="AN164" s="299"/>
      <c r="AO164" s="299"/>
      <c r="AP164" s="299"/>
      <c r="AQ164" s="299"/>
      <c r="AR164" s="299"/>
      <c r="AS164" s="299"/>
      <c r="AT164" s="299"/>
      <c r="AU164" s="299"/>
      <c r="AV164" s="299"/>
      <c r="AW164" s="299"/>
      <c r="AX164" s="299"/>
      <c r="AY164" s="299"/>
      <c r="AZ164" s="299"/>
      <c r="BA164" s="299"/>
      <c r="BB164" s="299"/>
      <c r="BC164" s="299"/>
      <c r="BD164" s="299"/>
      <c r="BE164" s="299"/>
      <c r="BF164" s="299"/>
      <c r="BG164" s="299"/>
      <c r="BH164" s="299"/>
      <c r="BI164" s="299"/>
      <c r="BJ164" s="299"/>
      <c r="BK164" s="299"/>
      <c r="BL164" s="299"/>
      <c r="BM164" s="299"/>
    </row>
    <row r="165" spans="2:71" ht="15" customHeight="1">
      <c r="B165" s="117" t="s">
        <v>194</v>
      </c>
      <c r="C165" s="113" t="str">
        <f t="shared" si="204"/>
        <v>тыс. руб.</v>
      </c>
      <c r="D165" s="114"/>
      <c r="E165" s="299"/>
      <c r="F165" s="299"/>
      <c r="G165" s="299"/>
      <c r="H165" s="299"/>
      <c r="I165" s="299"/>
      <c r="J165" s="299"/>
      <c r="K165" s="299"/>
      <c r="L165" s="299"/>
      <c r="M165" s="299"/>
      <c r="N165" s="299"/>
      <c r="O165" s="299"/>
      <c r="P165" s="299"/>
      <c r="Q165" s="299"/>
      <c r="R165" s="299"/>
      <c r="S165" s="299"/>
      <c r="T165" s="299"/>
      <c r="U165" s="299"/>
      <c r="V165" s="299"/>
      <c r="W165" s="299"/>
      <c r="X165" s="299"/>
      <c r="Y165" s="299"/>
      <c r="Z165" s="299"/>
      <c r="AA165" s="299"/>
      <c r="AB165" s="299"/>
      <c r="AC165" s="299"/>
      <c r="AD165" s="299"/>
      <c r="AE165" s="299"/>
      <c r="AF165" s="299"/>
      <c r="AG165" s="299"/>
      <c r="AH165" s="299"/>
      <c r="AI165" s="299"/>
      <c r="AJ165" s="299"/>
      <c r="AK165" s="299"/>
      <c r="AL165" s="299"/>
      <c r="AM165" s="299"/>
      <c r="AN165" s="299"/>
      <c r="AO165" s="299"/>
      <c r="AP165" s="299"/>
      <c r="AQ165" s="299"/>
      <c r="AR165" s="299"/>
      <c r="AS165" s="299"/>
      <c r="AT165" s="299"/>
      <c r="AU165" s="299"/>
      <c r="AV165" s="299"/>
      <c r="AW165" s="299"/>
      <c r="AX165" s="299"/>
      <c r="AY165" s="299"/>
      <c r="AZ165" s="299"/>
      <c r="BA165" s="299"/>
      <c r="BB165" s="299"/>
      <c r="BC165" s="299"/>
      <c r="BD165" s="299"/>
      <c r="BE165" s="299"/>
      <c r="BF165" s="299"/>
      <c r="BG165" s="299"/>
      <c r="BH165" s="299"/>
      <c r="BI165" s="299"/>
      <c r="BJ165" s="299"/>
      <c r="BK165" s="299"/>
      <c r="BL165" s="299"/>
      <c r="BM165" s="299"/>
    </row>
    <row r="166" spans="2:71" ht="15" customHeight="1">
      <c r="B166" s="117" t="s">
        <v>192</v>
      </c>
      <c r="C166" s="113" t="str">
        <f t="shared" si="204"/>
        <v>тыс. руб.</v>
      </c>
      <c r="D166" s="114"/>
      <c r="E166" s="299"/>
      <c r="F166" s="299"/>
      <c r="G166" s="299"/>
      <c r="H166" s="299"/>
      <c r="I166" s="299"/>
      <c r="J166" s="299"/>
      <c r="K166" s="299"/>
      <c r="L166" s="299"/>
      <c r="M166" s="299"/>
      <c r="N166" s="299"/>
      <c r="O166" s="299"/>
      <c r="P166" s="299"/>
      <c r="Q166" s="299"/>
      <c r="R166" s="299"/>
      <c r="S166" s="299"/>
      <c r="T166" s="299"/>
      <c r="U166" s="299"/>
      <c r="V166" s="299"/>
      <c r="W166" s="299"/>
      <c r="X166" s="299"/>
      <c r="Y166" s="299"/>
      <c r="Z166" s="299"/>
      <c r="AA166" s="299"/>
      <c r="AB166" s="299"/>
      <c r="AC166" s="299"/>
      <c r="AD166" s="299"/>
      <c r="AE166" s="299"/>
      <c r="AF166" s="299"/>
      <c r="AG166" s="299"/>
      <c r="AH166" s="299"/>
      <c r="AI166" s="299"/>
      <c r="AJ166" s="299"/>
      <c r="AK166" s="299"/>
      <c r="AL166" s="299"/>
      <c r="AM166" s="299"/>
      <c r="AN166" s="299"/>
      <c r="AO166" s="299"/>
      <c r="AP166" s="299"/>
      <c r="AQ166" s="299"/>
      <c r="AR166" s="299"/>
      <c r="AS166" s="299"/>
      <c r="AT166" s="299"/>
      <c r="AU166" s="299"/>
      <c r="AV166" s="299"/>
      <c r="AW166" s="299"/>
      <c r="AX166" s="299"/>
      <c r="AY166" s="299"/>
      <c r="AZ166" s="299"/>
      <c r="BA166" s="299"/>
      <c r="BB166" s="299"/>
      <c r="BC166" s="299"/>
      <c r="BD166" s="299"/>
      <c r="BE166" s="299"/>
      <c r="BF166" s="299"/>
      <c r="BG166" s="299"/>
      <c r="BH166" s="299"/>
      <c r="BI166" s="299"/>
      <c r="BJ166" s="299"/>
      <c r="BK166" s="299"/>
      <c r="BL166" s="299"/>
      <c r="BM166" s="299"/>
    </row>
    <row r="167" spans="2:71" ht="15" customHeight="1">
      <c r="B167" s="117" t="s">
        <v>193</v>
      </c>
      <c r="C167" s="113" t="str">
        <f t="shared" si="204"/>
        <v>тыс. руб.</v>
      </c>
      <c r="D167" s="114"/>
      <c r="E167" s="299"/>
      <c r="F167" s="299"/>
      <c r="G167" s="299"/>
      <c r="H167" s="299"/>
      <c r="I167" s="299"/>
      <c r="J167" s="299"/>
      <c r="K167" s="299"/>
      <c r="L167" s="299"/>
      <c r="M167" s="299"/>
      <c r="N167" s="299"/>
      <c r="O167" s="299"/>
      <c r="P167" s="299"/>
      <c r="Q167" s="299"/>
      <c r="R167" s="299"/>
      <c r="S167" s="299"/>
      <c r="T167" s="299"/>
      <c r="U167" s="299"/>
      <c r="V167" s="299"/>
      <c r="W167" s="299"/>
      <c r="X167" s="299"/>
      <c r="Y167" s="299"/>
      <c r="Z167" s="299"/>
      <c r="AA167" s="299"/>
      <c r="AB167" s="299"/>
      <c r="AC167" s="299"/>
      <c r="AD167" s="299"/>
      <c r="AE167" s="299"/>
      <c r="AF167" s="299"/>
      <c r="AG167" s="299"/>
      <c r="AH167" s="299"/>
      <c r="AI167" s="299"/>
      <c r="AJ167" s="299"/>
      <c r="AK167" s="299"/>
      <c r="AL167" s="299"/>
      <c r="AM167" s="299"/>
      <c r="AN167" s="299"/>
      <c r="AO167" s="299"/>
      <c r="AP167" s="299"/>
      <c r="AQ167" s="299"/>
      <c r="AR167" s="299"/>
      <c r="AS167" s="299"/>
      <c r="AT167" s="299"/>
      <c r="AU167" s="299"/>
      <c r="AV167" s="299"/>
      <c r="AW167" s="299"/>
      <c r="AX167" s="299"/>
      <c r="AY167" s="299"/>
      <c r="AZ167" s="299"/>
      <c r="BA167" s="299"/>
      <c r="BB167" s="299"/>
      <c r="BC167" s="299"/>
      <c r="BD167" s="299"/>
      <c r="BE167" s="299"/>
      <c r="BF167" s="299"/>
      <c r="BG167" s="299"/>
      <c r="BH167" s="299"/>
      <c r="BI167" s="299"/>
      <c r="BJ167" s="299"/>
      <c r="BK167" s="299"/>
      <c r="BL167" s="299"/>
      <c r="BM167" s="299"/>
    </row>
    <row r="168" spans="2:71" ht="15" customHeight="1">
      <c r="B168" s="259" t="s">
        <v>322</v>
      </c>
      <c r="C168" s="260" t="str">
        <f t="shared" si="204"/>
        <v>тыс. руб.</v>
      </c>
      <c r="D168" s="248"/>
      <c r="E168" s="248">
        <f t="shared" ref="E168:AG168" si="207">SUM(E163:E167)</f>
        <v>0</v>
      </c>
      <c r="F168" s="248">
        <f t="shared" si="207"/>
        <v>0</v>
      </c>
      <c r="G168" s="248">
        <f t="shared" si="207"/>
        <v>0</v>
      </c>
      <c r="H168" s="248">
        <f t="shared" si="207"/>
        <v>0</v>
      </c>
      <c r="I168" s="248">
        <f t="shared" si="207"/>
        <v>0</v>
      </c>
      <c r="J168" s="248">
        <f t="shared" si="207"/>
        <v>0</v>
      </c>
      <c r="K168" s="248">
        <f t="shared" si="207"/>
        <v>0</v>
      </c>
      <c r="L168" s="248">
        <f t="shared" si="207"/>
        <v>0</v>
      </c>
      <c r="M168" s="248">
        <f t="shared" si="207"/>
        <v>0</v>
      </c>
      <c r="N168" s="248">
        <f t="shared" si="207"/>
        <v>0</v>
      </c>
      <c r="O168" s="248">
        <f t="shared" si="207"/>
        <v>0</v>
      </c>
      <c r="P168" s="248">
        <f t="shared" si="207"/>
        <v>0</v>
      </c>
      <c r="Q168" s="248">
        <f t="shared" si="207"/>
        <v>0</v>
      </c>
      <c r="R168" s="248">
        <f t="shared" si="207"/>
        <v>0</v>
      </c>
      <c r="S168" s="248">
        <f t="shared" si="207"/>
        <v>0</v>
      </c>
      <c r="T168" s="248">
        <f t="shared" si="207"/>
        <v>0</v>
      </c>
      <c r="U168" s="248">
        <f t="shared" si="207"/>
        <v>0</v>
      </c>
      <c r="V168" s="248">
        <f t="shared" si="207"/>
        <v>0</v>
      </c>
      <c r="W168" s="248">
        <f t="shared" si="207"/>
        <v>0</v>
      </c>
      <c r="X168" s="248">
        <f t="shared" si="207"/>
        <v>0</v>
      </c>
      <c r="Y168" s="248">
        <f t="shared" si="207"/>
        <v>0</v>
      </c>
      <c r="Z168" s="248">
        <f t="shared" si="207"/>
        <v>0</v>
      </c>
      <c r="AA168" s="248">
        <f t="shared" si="207"/>
        <v>0</v>
      </c>
      <c r="AB168" s="248">
        <f t="shared" si="207"/>
        <v>0</v>
      </c>
      <c r="AC168" s="248">
        <f t="shared" si="207"/>
        <v>0</v>
      </c>
      <c r="AD168" s="248">
        <f t="shared" si="207"/>
        <v>0</v>
      </c>
      <c r="AE168" s="248">
        <f t="shared" si="207"/>
        <v>0</v>
      </c>
      <c r="AF168" s="248">
        <f t="shared" si="207"/>
        <v>0</v>
      </c>
      <c r="AG168" s="248">
        <f t="shared" si="207"/>
        <v>0</v>
      </c>
      <c r="AH168" s="248">
        <f t="shared" ref="AH168:BM168" si="208">SUM(AH163:AH167)</f>
        <v>0</v>
      </c>
      <c r="AI168" s="248">
        <f t="shared" si="208"/>
        <v>0</v>
      </c>
      <c r="AJ168" s="248">
        <f t="shared" si="208"/>
        <v>0</v>
      </c>
      <c r="AK168" s="248">
        <f t="shared" si="208"/>
        <v>0</v>
      </c>
      <c r="AL168" s="248">
        <f t="shared" si="208"/>
        <v>0</v>
      </c>
      <c r="AM168" s="248">
        <f t="shared" si="208"/>
        <v>0</v>
      </c>
      <c r="AN168" s="248">
        <f t="shared" si="208"/>
        <v>0</v>
      </c>
      <c r="AO168" s="248">
        <f t="shared" si="208"/>
        <v>0</v>
      </c>
      <c r="AP168" s="248">
        <f t="shared" si="208"/>
        <v>0</v>
      </c>
      <c r="AQ168" s="248">
        <f t="shared" si="208"/>
        <v>0</v>
      </c>
      <c r="AR168" s="248">
        <f t="shared" si="208"/>
        <v>0</v>
      </c>
      <c r="AS168" s="248">
        <f t="shared" si="208"/>
        <v>0</v>
      </c>
      <c r="AT168" s="248">
        <f t="shared" si="208"/>
        <v>0</v>
      </c>
      <c r="AU168" s="248">
        <f t="shared" si="208"/>
        <v>0</v>
      </c>
      <c r="AV168" s="248">
        <f t="shared" si="208"/>
        <v>0</v>
      </c>
      <c r="AW168" s="248">
        <f t="shared" si="208"/>
        <v>0</v>
      </c>
      <c r="AX168" s="248">
        <f t="shared" si="208"/>
        <v>0</v>
      </c>
      <c r="AY168" s="248">
        <f t="shared" si="208"/>
        <v>0</v>
      </c>
      <c r="AZ168" s="248">
        <f t="shared" si="208"/>
        <v>0</v>
      </c>
      <c r="BA168" s="248">
        <f t="shared" si="208"/>
        <v>0</v>
      </c>
      <c r="BB168" s="248">
        <f t="shared" si="208"/>
        <v>0</v>
      </c>
      <c r="BC168" s="248">
        <f t="shared" si="208"/>
        <v>0</v>
      </c>
      <c r="BD168" s="248">
        <f t="shared" si="208"/>
        <v>0</v>
      </c>
      <c r="BE168" s="248">
        <f t="shared" si="208"/>
        <v>0</v>
      </c>
      <c r="BF168" s="248">
        <f t="shared" si="208"/>
        <v>0</v>
      </c>
      <c r="BG168" s="248">
        <f t="shared" si="208"/>
        <v>0</v>
      </c>
      <c r="BH168" s="248">
        <f t="shared" si="208"/>
        <v>0</v>
      </c>
      <c r="BI168" s="248">
        <f t="shared" si="208"/>
        <v>0</v>
      </c>
      <c r="BJ168" s="248">
        <f t="shared" si="208"/>
        <v>0</v>
      </c>
      <c r="BK168" s="248">
        <f t="shared" si="208"/>
        <v>0</v>
      </c>
      <c r="BL168" s="248">
        <f t="shared" si="208"/>
        <v>0</v>
      </c>
      <c r="BM168" s="248">
        <f t="shared" si="208"/>
        <v>0</v>
      </c>
    </row>
    <row r="169" spans="2:71" ht="15" customHeight="1">
      <c r="B169" s="37"/>
      <c r="C169" s="37"/>
      <c r="D169" s="37"/>
      <c r="E169" s="37"/>
      <c r="F169" s="37"/>
      <c r="G169" s="37"/>
      <c r="H169" s="37"/>
      <c r="I169" s="37"/>
      <c r="J169" s="37"/>
      <c r="K169" s="37"/>
      <c r="L169" s="37"/>
      <c r="M169" s="37"/>
      <c r="N169" s="37"/>
      <c r="O169" s="37"/>
      <c r="P169" s="37"/>
      <c r="Q169" s="37"/>
      <c r="R169" s="37"/>
      <c r="S169" s="37"/>
      <c r="T169" s="37"/>
      <c r="U169" s="37"/>
      <c r="V169" s="37"/>
      <c r="W169" s="37"/>
      <c r="X169" s="37"/>
      <c r="Y169" s="37"/>
      <c r="Z169" s="37"/>
      <c r="AA169" s="37"/>
      <c r="AB169" s="37"/>
      <c r="AC169" s="37"/>
      <c r="AD169" s="37"/>
      <c r="AE169" s="37"/>
      <c r="AF169" s="37"/>
      <c r="AG169" s="37"/>
      <c r="AH169" s="37"/>
      <c r="AI169" s="37"/>
      <c r="AJ169" s="37"/>
      <c r="AK169" s="37"/>
      <c r="AL169" s="37"/>
      <c r="AM169" s="37"/>
      <c r="AN169" s="37"/>
      <c r="AO169" s="37"/>
      <c r="AP169" s="37"/>
      <c r="AQ169" s="37"/>
      <c r="AR169" s="37"/>
      <c r="AS169" s="37"/>
      <c r="AT169" s="37"/>
      <c r="AU169" s="37"/>
      <c r="AV169" s="37"/>
      <c r="AW169" s="37"/>
      <c r="AX169" s="37"/>
      <c r="AY169" s="37"/>
      <c r="AZ169" s="37"/>
      <c r="BA169" s="37"/>
      <c r="BB169" s="37"/>
      <c r="BC169" s="37"/>
      <c r="BD169" s="37"/>
      <c r="BE169" s="37"/>
      <c r="BF169" s="37"/>
      <c r="BG169" s="37"/>
      <c r="BH169" s="37"/>
      <c r="BI169" s="37"/>
      <c r="BJ169" s="37"/>
      <c r="BK169" s="37"/>
      <c r="BL169" s="37"/>
      <c r="BM169" s="37"/>
    </row>
    <row r="170" spans="2:71" ht="15" customHeight="1">
      <c r="B170" s="262" t="s">
        <v>83</v>
      </c>
      <c r="C170" s="263" t="str">
        <f>Единица_измерения</f>
        <v>тыс. руб.</v>
      </c>
      <c r="D170" s="261"/>
      <c r="E170" s="261">
        <f>SUM(E153,E160,E168)</f>
        <v>0</v>
      </c>
      <c r="F170" s="261">
        <f t="shared" ref="F170:BM170" si="209">SUM(F153,F160,F168)</f>
        <v>0</v>
      </c>
      <c r="G170" s="261">
        <f t="shared" si="209"/>
        <v>0</v>
      </c>
      <c r="H170" s="261">
        <f t="shared" si="209"/>
        <v>0</v>
      </c>
      <c r="I170" s="261">
        <f t="shared" si="209"/>
        <v>0</v>
      </c>
      <c r="J170" s="261">
        <f t="shared" si="209"/>
        <v>0</v>
      </c>
      <c r="K170" s="261">
        <f t="shared" si="209"/>
        <v>0</v>
      </c>
      <c r="L170" s="261">
        <f t="shared" si="209"/>
        <v>0</v>
      </c>
      <c r="M170" s="261">
        <f t="shared" si="209"/>
        <v>0</v>
      </c>
      <c r="N170" s="261">
        <f t="shared" si="209"/>
        <v>0</v>
      </c>
      <c r="O170" s="261">
        <f t="shared" si="209"/>
        <v>0</v>
      </c>
      <c r="P170" s="261">
        <f t="shared" si="209"/>
        <v>0</v>
      </c>
      <c r="Q170" s="261">
        <f t="shared" si="209"/>
        <v>0</v>
      </c>
      <c r="R170" s="261">
        <f t="shared" si="209"/>
        <v>0</v>
      </c>
      <c r="S170" s="261">
        <f t="shared" si="209"/>
        <v>0</v>
      </c>
      <c r="T170" s="261">
        <f t="shared" si="209"/>
        <v>0</v>
      </c>
      <c r="U170" s="261">
        <f t="shared" si="209"/>
        <v>0</v>
      </c>
      <c r="V170" s="261">
        <f t="shared" si="209"/>
        <v>0</v>
      </c>
      <c r="W170" s="261">
        <f t="shared" si="209"/>
        <v>0</v>
      </c>
      <c r="X170" s="261">
        <f t="shared" si="209"/>
        <v>0</v>
      </c>
      <c r="Y170" s="261">
        <f t="shared" si="209"/>
        <v>0</v>
      </c>
      <c r="Z170" s="261">
        <f t="shared" si="209"/>
        <v>0</v>
      </c>
      <c r="AA170" s="261">
        <f t="shared" si="209"/>
        <v>0</v>
      </c>
      <c r="AB170" s="261">
        <f t="shared" si="209"/>
        <v>0</v>
      </c>
      <c r="AC170" s="261">
        <f t="shared" si="209"/>
        <v>0</v>
      </c>
      <c r="AD170" s="261">
        <f t="shared" si="209"/>
        <v>0</v>
      </c>
      <c r="AE170" s="261">
        <f t="shared" si="209"/>
        <v>0</v>
      </c>
      <c r="AF170" s="261">
        <f t="shared" si="209"/>
        <v>0</v>
      </c>
      <c r="AG170" s="261">
        <f t="shared" si="209"/>
        <v>0</v>
      </c>
      <c r="AH170" s="261">
        <f t="shared" si="209"/>
        <v>0</v>
      </c>
      <c r="AI170" s="261">
        <f t="shared" si="209"/>
        <v>0</v>
      </c>
      <c r="AJ170" s="261">
        <f t="shared" si="209"/>
        <v>0</v>
      </c>
      <c r="AK170" s="261">
        <f t="shared" si="209"/>
        <v>0</v>
      </c>
      <c r="AL170" s="261">
        <f t="shared" si="209"/>
        <v>0</v>
      </c>
      <c r="AM170" s="261">
        <f t="shared" si="209"/>
        <v>0</v>
      </c>
      <c r="AN170" s="261">
        <f t="shared" si="209"/>
        <v>0</v>
      </c>
      <c r="AO170" s="261">
        <f t="shared" si="209"/>
        <v>0</v>
      </c>
      <c r="AP170" s="261">
        <f t="shared" si="209"/>
        <v>0</v>
      </c>
      <c r="AQ170" s="261">
        <f t="shared" si="209"/>
        <v>0</v>
      </c>
      <c r="AR170" s="261">
        <f t="shared" si="209"/>
        <v>0</v>
      </c>
      <c r="AS170" s="261">
        <f t="shared" si="209"/>
        <v>0</v>
      </c>
      <c r="AT170" s="261">
        <f t="shared" si="209"/>
        <v>0</v>
      </c>
      <c r="AU170" s="261">
        <f t="shared" si="209"/>
        <v>0</v>
      </c>
      <c r="AV170" s="261">
        <f t="shared" si="209"/>
        <v>0</v>
      </c>
      <c r="AW170" s="261">
        <f t="shared" si="209"/>
        <v>0</v>
      </c>
      <c r="AX170" s="261">
        <f t="shared" si="209"/>
        <v>0</v>
      </c>
      <c r="AY170" s="261">
        <f t="shared" si="209"/>
        <v>0</v>
      </c>
      <c r="AZ170" s="261">
        <f t="shared" si="209"/>
        <v>0</v>
      </c>
      <c r="BA170" s="261">
        <f t="shared" si="209"/>
        <v>0</v>
      </c>
      <c r="BB170" s="261">
        <f t="shared" si="209"/>
        <v>0</v>
      </c>
      <c r="BC170" s="261">
        <f t="shared" si="209"/>
        <v>0</v>
      </c>
      <c r="BD170" s="261">
        <f t="shared" si="209"/>
        <v>0</v>
      </c>
      <c r="BE170" s="261">
        <f t="shared" si="209"/>
        <v>0</v>
      </c>
      <c r="BF170" s="261">
        <f t="shared" si="209"/>
        <v>0</v>
      </c>
      <c r="BG170" s="261">
        <f t="shared" si="209"/>
        <v>0</v>
      </c>
      <c r="BH170" s="261">
        <f t="shared" si="209"/>
        <v>0</v>
      </c>
      <c r="BI170" s="261">
        <f t="shared" si="209"/>
        <v>0</v>
      </c>
      <c r="BJ170" s="261">
        <f t="shared" si="209"/>
        <v>0</v>
      </c>
      <c r="BK170" s="261">
        <f t="shared" si="209"/>
        <v>0</v>
      </c>
      <c r="BL170" s="261">
        <f t="shared" si="209"/>
        <v>0</v>
      </c>
      <c r="BM170" s="261">
        <f t="shared" si="209"/>
        <v>0</v>
      </c>
    </row>
    <row r="171" spans="2:71" ht="15" customHeight="1">
      <c r="B171" s="37"/>
      <c r="C171" s="37"/>
      <c r="D171" s="37"/>
      <c r="E171" s="37"/>
      <c r="F171" s="37"/>
      <c r="G171" s="37"/>
      <c r="H171" s="37"/>
      <c r="I171" s="37"/>
      <c r="J171" s="37"/>
      <c r="K171" s="37"/>
      <c r="L171" s="37"/>
      <c r="M171" s="37"/>
      <c r="N171" s="37"/>
      <c r="O171" s="37"/>
      <c r="P171" s="37"/>
      <c r="Q171" s="37"/>
      <c r="R171" s="37"/>
      <c r="S171" s="37"/>
      <c r="T171" s="37"/>
      <c r="U171" s="37"/>
      <c r="V171" s="37"/>
      <c r="W171" s="37"/>
      <c r="X171" s="37"/>
      <c r="Y171" s="37"/>
      <c r="Z171" s="37"/>
      <c r="AA171" s="37"/>
      <c r="AB171" s="37"/>
      <c r="AC171" s="37"/>
      <c r="AD171" s="37"/>
      <c r="AE171" s="37"/>
      <c r="AF171" s="37"/>
      <c r="AG171" s="37"/>
      <c r="AH171" s="37"/>
      <c r="AI171" s="37"/>
      <c r="AJ171" s="37"/>
      <c r="AK171" s="37"/>
      <c r="AL171" s="37"/>
      <c r="AM171" s="37"/>
      <c r="AN171" s="37"/>
      <c r="AO171" s="37"/>
      <c r="AP171" s="37"/>
      <c r="AQ171" s="37"/>
      <c r="AR171" s="37"/>
      <c r="AS171" s="37"/>
      <c r="AT171" s="37"/>
      <c r="AU171" s="37"/>
      <c r="AV171" s="37"/>
      <c r="AW171" s="37"/>
      <c r="AX171" s="37"/>
      <c r="AY171" s="37"/>
      <c r="AZ171" s="37"/>
      <c r="BA171" s="37"/>
      <c r="BB171" s="37"/>
      <c r="BC171" s="37"/>
      <c r="BD171" s="37"/>
      <c r="BE171" s="37"/>
      <c r="BF171" s="37"/>
      <c r="BG171" s="37"/>
      <c r="BH171" s="37"/>
      <c r="BI171" s="37"/>
      <c r="BJ171" s="37"/>
      <c r="BK171" s="37"/>
      <c r="BL171" s="37"/>
      <c r="BM171" s="37"/>
    </row>
    <row r="172" spans="2:71" ht="15" customHeight="1">
      <c r="B172" s="112" t="s">
        <v>85</v>
      </c>
      <c r="C172" s="113"/>
      <c r="D172" s="114"/>
      <c r="E172" s="114">
        <f>ROUND(E144-E170,1)</f>
        <v>0</v>
      </c>
      <c r="F172" s="114">
        <f t="shared" ref="F172:BM172" si="210">ROUND(F144-F170,1)</f>
        <v>0</v>
      </c>
      <c r="G172" s="114">
        <f t="shared" si="210"/>
        <v>0</v>
      </c>
      <c r="H172" s="114">
        <f t="shared" si="210"/>
        <v>0</v>
      </c>
      <c r="I172" s="114">
        <f t="shared" si="210"/>
        <v>0</v>
      </c>
      <c r="J172" s="114">
        <f t="shared" si="210"/>
        <v>0</v>
      </c>
      <c r="K172" s="114">
        <f t="shared" si="210"/>
        <v>0</v>
      </c>
      <c r="L172" s="114">
        <f t="shared" si="210"/>
        <v>0</v>
      </c>
      <c r="M172" s="114">
        <f t="shared" si="210"/>
        <v>0</v>
      </c>
      <c r="N172" s="114">
        <f t="shared" si="210"/>
        <v>0</v>
      </c>
      <c r="O172" s="114">
        <f t="shared" si="210"/>
        <v>0</v>
      </c>
      <c r="P172" s="114">
        <f t="shared" si="210"/>
        <v>0</v>
      </c>
      <c r="Q172" s="114">
        <f t="shared" si="210"/>
        <v>0</v>
      </c>
      <c r="R172" s="114">
        <f t="shared" si="210"/>
        <v>0</v>
      </c>
      <c r="S172" s="114">
        <f t="shared" si="210"/>
        <v>0</v>
      </c>
      <c r="T172" s="114">
        <f t="shared" si="210"/>
        <v>0</v>
      </c>
      <c r="U172" s="114">
        <f t="shared" si="210"/>
        <v>0</v>
      </c>
      <c r="V172" s="114">
        <f t="shared" si="210"/>
        <v>0</v>
      </c>
      <c r="W172" s="114">
        <f t="shared" si="210"/>
        <v>0</v>
      </c>
      <c r="X172" s="114">
        <f t="shared" si="210"/>
        <v>0</v>
      </c>
      <c r="Y172" s="114">
        <f t="shared" si="210"/>
        <v>0</v>
      </c>
      <c r="Z172" s="114">
        <f t="shared" si="210"/>
        <v>0</v>
      </c>
      <c r="AA172" s="114">
        <f t="shared" si="210"/>
        <v>0</v>
      </c>
      <c r="AB172" s="114">
        <f t="shared" si="210"/>
        <v>0</v>
      </c>
      <c r="AC172" s="114">
        <f t="shared" si="210"/>
        <v>0</v>
      </c>
      <c r="AD172" s="114">
        <f t="shared" si="210"/>
        <v>0</v>
      </c>
      <c r="AE172" s="114">
        <f t="shared" si="210"/>
        <v>0</v>
      </c>
      <c r="AF172" s="114">
        <f t="shared" si="210"/>
        <v>0</v>
      </c>
      <c r="AG172" s="114">
        <f t="shared" si="210"/>
        <v>0</v>
      </c>
      <c r="AH172" s="114">
        <f t="shared" si="210"/>
        <v>0</v>
      </c>
      <c r="AI172" s="114">
        <f t="shared" si="210"/>
        <v>0</v>
      </c>
      <c r="AJ172" s="114">
        <f t="shared" si="210"/>
        <v>0</v>
      </c>
      <c r="AK172" s="114">
        <f t="shared" si="210"/>
        <v>0</v>
      </c>
      <c r="AL172" s="114">
        <f t="shared" si="210"/>
        <v>0</v>
      </c>
      <c r="AM172" s="114">
        <f t="shared" si="210"/>
        <v>0</v>
      </c>
      <c r="AN172" s="114">
        <f t="shared" si="210"/>
        <v>0</v>
      </c>
      <c r="AO172" s="114">
        <f t="shared" si="210"/>
        <v>0</v>
      </c>
      <c r="AP172" s="114">
        <f t="shared" si="210"/>
        <v>0</v>
      </c>
      <c r="AQ172" s="114">
        <f t="shared" si="210"/>
        <v>0</v>
      </c>
      <c r="AR172" s="114">
        <f t="shared" si="210"/>
        <v>0</v>
      </c>
      <c r="AS172" s="114">
        <f t="shared" si="210"/>
        <v>0</v>
      </c>
      <c r="AT172" s="114">
        <f t="shared" si="210"/>
        <v>0</v>
      </c>
      <c r="AU172" s="114">
        <f t="shared" si="210"/>
        <v>0</v>
      </c>
      <c r="AV172" s="114">
        <f t="shared" si="210"/>
        <v>0</v>
      </c>
      <c r="AW172" s="114">
        <f t="shared" si="210"/>
        <v>0</v>
      </c>
      <c r="AX172" s="114">
        <f t="shared" si="210"/>
        <v>0</v>
      </c>
      <c r="AY172" s="114">
        <f t="shared" si="210"/>
        <v>0</v>
      </c>
      <c r="AZ172" s="114">
        <f t="shared" si="210"/>
        <v>0</v>
      </c>
      <c r="BA172" s="114">
        <f t="shared" si="210"/>
        <v>0</v>
      </c>
      <c r="BB172" s="114">
        <f t="shared" si="210"/>
        <v>0</v>
      </c>
      <c r="BC172" s="114">
        <f t="shared" si="210"/>
        <v>0</v>
      </c>
      <c r="BD172" s="114">
        <f t="shared" si="210"/>
        <v>0</v>
      </c>
      <c r="BE172" s="114">
        <f t="shared" si="210"/>
        <v>0</v>
      </c>
      <c r="BF172" s="114">
        <f t="shared" si="210"/>
        <v>0</v>
      </c>
      <c r="BG172" s="114">
        <f t="shared" si="210"/>
        <v>0</v>
      </c>
      <c r="BH172" s="114">
        <f t="shared" si="210"/>
        <v>0</v>
      </c>
      <c r="BI172" s="114">
        <f t="shared" si="210"/>
        <v>0</v>
      </c>
      <c r="BJ172" s="114">
        <f t="shared" si="210"/>
        <v>0</v>
      </c>
      <c r="BK172" s="114">
        <f t="shared" si="210"/>
        <v>0</v>
      </c>
      <c r="BL172" s="114">
        <f t="shared" si="210"/>
        <v>0</v>
      </c>
      <c r="BM172" s="114">
        <f t="shared" si="210"/>
        <v>0</v>
      </c>
    </row>
    <row r="173" spans="2:71" ht="15" customHeight="1">
      <c r="B173" s="37"/>
      <c r="C173" s="37"/>
      <c r="D173" s="37"/>
      <c r="E173" s="37"/>
      <c r="F173" s="124"/>
      <c r="G173" s="124"/>
      <c r="H173" s="124"/>
      <c r="I173" s="124"/>
      <c r="J173" s="124"/>
      <c r="K173" s="124"/>
      <c r="L173" s="124"/>
      <c r="M173" s="124"/>
      <c r="N173" s="124"/>
      <c r="O173" s="124"/>
      <c r="P173" s="124"/>
      <c r="Q173" s="124"/>
      <c r="R173" s="124"/>
      <c r="S173" s="124"/>
      <c r="T173" s="124"/>
      <c r="U173" s="124"/>
      <c r="V173" s="124"/>
      <c r="W173" s="124"/>
      <c r="X173" s="124"/>
      <c r="Y173" s="124"/>
      <c r="Z173" s="124"/>
      <c r="AA173" s="124"/>
      <c r="AB173" s="124"/>
      <c r="AC173" s="124"/>
      <c r="AD173" s="124"/>
      <c r="AE173" s="124"/>
      <c r="AF173" s="124"/>
      <c r="AG173" s="124"/>
      <c r="AH173" s="124"/>
      <c r="AI173" s="124"/>
      <c r="AJ173" s="124"/>
      <c r="AK173" s="124"/>
      <c r="AL173" s="124"/>
      <c r="AM173" s="124"/>
      <c r="AN173" s="124"/>
      <c r="AO173" s="124"/>
      <c r="AP173" s="124"/>
      <c r="AQ173" s="124"/>
      <c r="AR173" s="124"/>
      <c r="AS173" s="124"/>
      <c r="AT173" s="124"/>
      <c r="AU173" s="124"/>
      <c r="AV173" s="124"/>
      <c r="AW173" s="124"/>
      <c r="AX173" s="124"/>
      <c r="AY173" s="124"/>
      <c r="AZ173" s="124"/>
      <c r="BA173" s="124"/>
      <c r="BB173" s="124"/>
      <c r="BC173" s="124"/>
      <c r="BD173" s="124"/>
      <c r="BE173" s="124"/>
      <c r="BF173" s="124"/>
      <c r="BG173" s="124"/>
      <c r="BH173" s="124"/>
      <c r="BI173" s="124"/>
      <c r="BJ173" s="124"/>
      <c r="BK173" s="124"/>
      <c r="BL173" s="124"/>
      <c r="BM173" s="124"/>
    </row>
    <row r="174" spans="2:71" ht="15" customHeight="1">
      <c r="B174" s="529" t="s">
        <v>427</v>
      </c>
      <c r="C174" s="530"/>
      <c r="D174" s="119" t="str">
        <f ca="1">IFERROR(IF(COUNTIF(OFFSET(E172,,,,MAX(SUM($E$12:$BM$12),1)),"&lt;&gt;0")&gt;0,"Q","R"),"Q")</f>
        <v>R</v>
      </c>
      <c r="E174" s="37"/>
      <c r="F174" s="37"/>
      <c r="G174" s="37"/>
      <c r="H174" s="37"/>
      <c r="I174" s="37"/>
      <c r="J174" s="37"/>
      <c r="K174" s="37"/>
      <c r="L174" s="37"/>
      <c r="M174" s="37"/>
      <c r="N174" s="37"/>
      <c r="O174" s="37"/>
      <c r="P174" s="37"/>
      <c r="Q174" s="37"/>
      <c r="R174" s="37"/>
      <c r="S174" s="37"/>
      <c r="T174" s="37"/>
      <c r="U174" s="37"/>
      <c r="V174" s="37"/>
      <c r="W174" s="37"/>
      <c r="X174" s="37"/>
      <c r="Y174" s="37"/>
      <c r="Z174" s="37"/>
      <c r="AA174" s="37"/>
      <c r="AB174" s="37"/>
      <c r="AC174" s="37"/>
      <c r="AD174" s="37"/>
      <c r="AE174" s="37"/>
      <c r="AF174" s="37"/>
      <c r="AG174" s="37"/>
      <c r="AH174" s="37"/>
      <c r="AI174" s="37"/>
      <c r="AJ174" s="37"/>
      <c r="AK174" s="37"/>
      <c r="AL174" s="37"/>
      <c r="AM174" s="37"/>
      <c r="AN174" s="37"/>
      <c r="AO174" s="37"/>
      <c r="AP174" s="37"/>
      <c r="AQ174" s="37"/>
      <c r="AR174" s="37"/>
      <c r="AS174" s="37"/>
      <c r="AT174" s="37"/>
      <c r="AU174" s="37"/>
      <c r="AV174" s="37"/>
      <c r="AW174" s="37"/>
      <c r="AX174" s="37"/>
      <c r="AY174" s="37"/>
      <c r="AZ174" s="37"/>
      <c r="BA174" s="37"/>
      <c r="BB174" s="37"/>
      <c r="BC174" s="37"/>
      <c r="BD174" s="37"/>
      <c r="BE174" s="37"/>
      <c r="BF174" s="37"/>
      <c r="BG174" s="37"/>
      <c r="BH174" s="37"/>
      <c r="BI174" s="37"/>
      <c r="BJ174" s="37"/>
      <c r="BK174" s="37"/>
      <c r="BL174" s="37"/>
      <c r="BM174" s="37"/>
    </row>
    <row r="175" spans="2:71" ht="15" customHeight="1">
      <c r="B175" s="529" t="s">
        <v>428</v>
      </c>
      <c r="C175" s="530"/>
      <c r="D175" s="119" t="str">
        <f>IFERROR(IF(COUNTIF(E172:BM172,"&lt;&gt;0")&gt;0,"Q","R"),"Q")</f>
        <v>R</v>
      </c>
      <c r="E175" s="37"/>
      <c r="F175" s="37"/>
      <c r="G175" s="37"/>
      <c r="H175" s="37"/>
      <c r="I175" s="37"/>
      <c r="J175" s="37"/>
      <c r="K175" s="37"/>
      <c r="L175" s="37"/>
      <c r="M175" s="37"/>
      <c r="N175" s="37"/>
      <c r="O175" s="37"/>
      <c r="P175" s="37"/>
      <c r="Q175" s="37"/>
      <c r="R175" s="37"/>
      <c r="S175" s="37"/>
      <c r="T175" s="37"/>
      <c r="U175" s="37"/>
      <c r="V175" s="37"/>
      <c r="W175" s="37"/>
      <c r="X175" s="37"/>
      <c r="Y175" s="37"/>
      <c r="Z175" s="37"/>
      <c r="AA175" s="37"/>
      <c r="AB175" s="37"/>
      <c r="AC175" s="37"/>
      <c r="AD175" s="37"/>
      <c r="AE175" s="37"/>
      <c r="AF175" s="37"/>
      <c r="AG175" s="37"/>
      <c r="AH175" s="37"/>
      <c r="AI175" s="37"/>
      <c r="AJ175" s="37"/>
      <c r="AK175" s="37"/>
      <c r="AL175" s="37"/>
      <c r="AM175" s="37"/>
      <c r="AN175" s="37"/>
      <c r="AO175" s="37"/>
      <c r="AP175" s="37"/>
      <c r="AQ175" s="37"/>
      <c r="AR175" s="37"/>
      <c r="AS175" s="37"/>
      <c r="AT175" s="37"/>
      <c r="AU175" s="37"/>
      <c r="AV175" s="37"/>
      <c r="AW175" s="37"/>
      <c r="AX175" s="37"/>
      <c r="AY175" s="37"/>
      <c r="AZ175" s="37"/>
      <c r="BA175" s="37"/>
      <c r="BB175" s="37"/>
      <c r="BC175" s="37"/>
      <c r="BD175" s="37"/>
      <c r="BE175" s="37"/>
      <c r="BF175" s="37"/>
      <c r="BG175" s="37"/>
      <c r="BH175" s="37"/>
      <c r="BI175" s="37"/>
      <c r="BJ175" s="37"/>
      <c r="BK175" s="37"/>
      <c r="BL175" s="37"/>
      <c r="BM175" s="37"/>
    </row>
    <row r="176" spans="2:71" ht="15" customHeight="1">
      <c r="B176" s="37"/>
      <c r="C176" s="37"/>
      <c r="D176" s="37"/>
      <c r="E176" s="37"/>
      <c r="F176" s="37"/>
      <c r="G176" s="37"/>
      <c r="H176" s="37"/>
      <c r="I176" s="37"/>
      <c r="J176" s="37"/>
      <c r="K176" s="37"/>
      <c r="L176" s="37"/>
      <c r="M176" s="37"/>
      <c r="N176" s="37"/>
      <c r="O176" s="37"/>
      <c r="P176" s="37"/>
      <c r="Q176" s="37"/>
      <c r="R176" s="37"/>
      <c r="S176" s="37"/>
      <c r="T176" s="37"/>
      <c r="U176" s="37"/>
      <c r="V176" s="37"/>
      <c r="W176" s="37"/>
      <c r="X176" s="37"/>
      <c r="Y176" s="37"/>
      <c r="Z176" s="37"/>
      <c r="AA176" s="37"/>
      <c r="AB176" s="37"/>
      <c r="AC176" s="37"/>
      <c r="AD176" s="37"/>
      <c r="AE176" s="37"/>
      <c r="AF176" s="37"/>
      <c r="AG176" s="37"/>
      <c r="AH176" s="37"/>
      <c r="AI176" s="37"/>
      <c r="AJ176" s="37"/>
      <c r="AK176" s="37"/>
      <c r="AL176" s="37"/>
      <c r="AM176" s="37"/>
      <c r="AN176" s="37"/>
      <c r="AO176" s="37"/>
      <c r="AP176" s="37"/>
      <c r="AQ176" s="37"/>
      <c r="AR176" s="37"/>
      <c r="AS176" s="37"/>
      <c r="AT176" s="37"/>
      <c r="AU176" s="37"/>
      <c r="AV176" s="37"/>
      <c r="AW176" s="37"/>
      <c r="AX176" s="37"/>
      <c r="AY176" s="37"/>
      <c r="AZ176" s="37"/>
      <c r="BA176" s="37"/>
      <c r="BB176" s="37"/>
      <c r="BC176" s="37"/>
      <c r="BD176" s="37"/>
      <c r="BE176" s="37"/>
      <c r="BF176" s="37"/>
      <c r="BG176" s="37"/>
      <c r="BH176" s="37"/>
      <c r="BI176" s="37"/>
      <c r="BJ176" s="37"/>
      <c r="BK176" s="37"/>
      <c r="BL176" s="37"/>
      <c r="BM176" s="37"/>
    </row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  <row r="425" ht="15" customHeight="1"/>
    <row r="426" ht="15" customHeight="1"/>
    <row r="427" ht="15" customHeight="1"/>
    <row r="428" ht="15" customHeight="1"/>
    <row r="429" ht="15" customHeight="1"/>
    <row r="430" ht="15" customHeight="1"/>
    <row r="431" ht="15" customHeight="1"/>
    <row r="432" ht="15" customHeight="1"/>
    <row r="433" ht="15" customHeight="1"/>
    <row r="434" ht="15" customHeight="1"/>
    <row r="435" ht="15" customHeight="1"/>
    <row r="436" ht="15" customHeight="1"/>
    <row r="437" ht="15" customHeight="1"/>
    <row r="438" ht="15" customHeight="1"/>
    <row r="439" ht="15" customHeight="1"/>
    <row r="440" ht="15" customHeight="1"/>
    <row r="441" ht="15" customHeight="1"/>
    <row r="442" ht="15" customHeight="1"/>
    <row r="443" ht="15" customHeight="1"/>
    <row r="444" ht="15" customHeight="1"/>
    <row r="445" ht="15" customHeight="1"/>
    <row r="446" ht="15" customHeight="1"/>
    <row r="447" ht="15" customHeight="1"/>
    <row r="448" ht="15" customHeight="1"/>
    <row r="449" ht="15" customHeight="1"/>
    <row r="450" ht="15" customHeight="1"/>
    <row r="451" ht="15" customHeight="1"/>
    <row r="452" ht="15" customHeight="1"/>
    <row r="453" ht="15" customHeight="1"/>
    <row r="454" ht="15" customHeight="1"/>
    <row r="455" ht="15" customHeight="1"/>
    <row r="456" ht="15" customHeight="1"/>
    <row r="457" ht="15" customHeight="1"/>
    <row r="458" ht="15" customHeight="1"/>
    <row r="459" ht="15" customHeight="1"/>
    <row r="460" ht="15" customHeight="1"/>
    <row r="461" ht="15" customHeight="1"/>
    <row r="462" ht="15" customHeight="1"/>
    <row r="463" ht="15" customHeight="1"/>
    <row r="464" ht="15" customHeight="1"/>
    <row r="465" ht="15" customHeight="1"/>
    <row r="466" ht="15" customHeight="1"/>
    <row r="467" ht="15" customHeight="1"/>
    <row r="468" ht="15" customHeight="1"/>
    <row r="469" ht="15" customHeight="1"/>
    <row r="470" ht="15" customHeight="1"/>
    <row r="471" ht="15" customHeight="1"/>
    <row r="472" ht="15" customHeight="1"/>
    <row r="473" ht="15" customHeight="1"/>
    <row r="474" ht="15" customHeight="1"/>
    <row r="475" ht="15" customHeight="1"/>
    <row r="476" ht="15" customHeight="1"/>
    <row r="477" ht="15" customHeight="1"/>
    <row r="478" ht="15" customHeight="1"/>
    <row r="479" ht="15" customHeight="1"/>
    <row r="480" ht="15" customHeight="1"/>
    <row r="481" ht="15" customHeight="1"/>
    <row r="482" ht="15" customHeight="1"/>
    <row r="483" ht="15" customHeight="1"/>
    <row r="484" ht="15" customHeight="1"/>
    <row r="485" ht="15" customHeight="1"/>
    <row r="486" ht="15" customHeight="1"/>
    <row r="487" ht="15" customHeight="1"/>
    <row r="488" ht="15" customHeight="1"/>
    <row r="489" ht="15" customHeight="1"/>
    <row r="490" ht="15" customHeight="1"/>
    <row r="491" ht="15" customHeight="1"/>
    <row r="492" ht="15" customHeight="1"/>
    <row r="493" ht="15" customHeight="1"/>
    <row r="494" ht="15" customHeight="1"/>
    <row r="495" ht="15" customHeight="1"/>
    <row r="496" ht="15" customHeight="1"/>
    <row r="497" ht="15" customHeight="1"/>
    <row r="498" ht="15" customHeight="1"/>
    <row r="499" ht="15" customHeight="1"/>
    <row r="500" ht="15" customHeight="1"/>
    <row r="501" ht="15" customHeight="1"/>
    <row r="502" ht="15" customHeight="1"/>
    <row r="503" ht="15" customHeight="1"/>
    <row r="504" ht="15" customHeight="1"/>
    <row r="505" ht="15" customHeight="1"/>
    <row r="506" ht="15" customHeight="1"/>
    <row r="507" ht="15" customHeight="1"/>
    <row r="508" ht="15" customHeight="1"/>
    <row r="509" ht="15" customHeight="1"/>
    <row r="510" ht="15" customHeight="1"/>
    <row r="511" ht="15" customHeight="1"/>
    <row r="512" ht="15" customHeight="1"/>
    <row r="513" ht="15" customHeight="1"/>
    <row r="514" ht="15" customHeight="1"/>
    <row r="515" ht="15" customHeight="1"/>
    <row r="516" ht="15" customHeight="1"/>
    <row r="517" ht="15" customHeight="1"/>
    <row r="518" ht="15" customHeight="1"/>
    <row r="519" ht="15" customHeight="1"/>
  </sheetData>
  <sheetProtection algorithmName="SHA-512" hashValue="dTJ3Bs7jmFfEOjKpk0gsi2MbbMM1YrdfUsC8sbGZ5E3+xh0HO6feQOm0amb6tperE9GhALEJ4uxvVS72Rfgg7w==" saltValue="k7dXAmIhKNCQz7e+Wml/vw==" spinCount="100000" sheet="1" objects="1" scenarios="1"/>
  <dataConsolidate link="1"/>
  <mergeCells count="11">
    <mergeCell ref="B117:C117"/>
    <mergeCell ref="B118:C118"/>
    <mergeCell ref="B174:C174"/>
    <mergeCell ref="B175:C175"/>
    <mergeCell ref="B120:C120"/>
    <mergeCell ref="B119:C119"/>
    <mergeCell ref="E2:H2"/>
    <mergeCell ref="E4:G4"/>
    <mergeCell ref="B6:B8"/>
    <mergeCell ref="C6:C8"/>
    <mergeCell ref="D6:D8"/>
  </mergeCells>
  <conditionalFormatting sqref="E12">
    <cfRule type="cellIs" dxfId="102" priority="61" operator="equal">
      <formula>1</formula>
    </cfRule>
  </conditionalFormatting>
  <conditionalFormatting sqref="D118">
    <cfRule type="cellIs" dxfId="101" priority="58" operator="equal">
      <formula>"Q"</formula>
    </cfRule>
    <cfRule type="cellIs" dxfId="100" priority="59" operator="equal">
      <formula>"R"</formula>
    </cfRule>
  </conditionalFormatting>
  <conditionalFormatting sqref="F12:BM12">
    <cfRule type="cellIs" dxfId="99" priority="44" operator="equal">
      <formula>1</formula>
    </cfRule>
  </conditionalFormatting>
  <conditionalFormatting sqref="E4">
    <cfRule type="expression" dxfId="98" priority="42">
      <formula>$H$4="Q"</formula>
    </cfRule>
    <cfRule type="expression" dxfId="97" priority="43">
      <formula>$H$4="R"</formula>
    </cfRule>
  </conditionalFormatting>
  <conditionalFormatting sqref="H4">
    <cfRule type="cellIs" dxfId="96" priority="40" operator="equal">
      <formula>"Q"</formula>
    </cfRule>
    <cfRule type="cellIs" dxfId="95" priority="41" operator="equal">
      <formula>"R"</formula>
    </cfRule>
  </conditionalFormatting>
  <conditionalFormatting sqref="D117">
    <cfRule type="cellIs" dxfId="94" priority="32" operator="equal">
      <formula>"Q"</formula>
    </cfRule>
    <cfRule type="cellIs" dxfId="93" priority="33" operator="equal">
      <formula>"R"</formula>
    </cfRule>
  </conditionalFormatting>
  <conditionalFormatting sqref="D174">
    <cfRule type="cellIs" dxfId="92" priority="18" operator="equal">
      <formula>"Q"</formula>
    </cfRule>
    <cfRule type="cellIs" dxfId="91" priority="19" operator="equal">
      <formula>"R"</formula>
    </cfRule>
  </conditionalFormatting>
  <conditionalFormatting sqref="D175">
    <cfRule type="cellIs" dxfId="90" priority="20" operator="equal">
      <formula>"Q"</formula>
    </cfRule>
    <cfRule type="cellIs" dxfId="89" priority="21" operator="equal">
      <formula>"R"</formula>
    </cfRule>
  </conditionalFormatting>
  <conditionalFormatting sqref="D120">
    <cfRule type="cellIs" dxfId="88" priority="12" operator="equal">
      <formula>"Q"</formula>
    </cfRule>
    <cfRule type="cellIs" dxfId="87" priority="13" operator="equal">
      <formula>"R"</formula>
    </cfRule>
  </conditionalFormatting>
  <conditionalFormatting sqref="E105:BM105">
    <cfRule type="expression" dxfId="86" priority="11">
      <formula>E105&lt;(E100+E103)</formula>
    </cfRule>
  </conditionalFormatting>
  <conditionalFormatting sqref="D119">
    <cfRule type="cellIs" dxfId="85" priority="9" operator="equal">
      <formula>"Q"</formula>
    </cfRule>
    <cfRule type="cellIs" dxfId="84" priority="10" operator="equal">
      <formula>"R"</formula>
    </cfRule>
  </conditionalFormatting>
  <conditionalFormatting sqref="E93">
    <cfRule type="expression" dxfId="83" priority="8">
      <formula>E93&gt;E85</formula>
    </cfRule>
  </conditionalFormatting>
  <conditionalFormatting sqref="F93:BM93">
    <cfRule type="expression" dxfId="82" priority="6">
      <formula>F93&gt;F85</formula>
    </cfRule>
  </conditionalFormatting>
  <conditionalFormatting sqref="E57:BM57">
    <cfRule type="expression" dxfId="81" priority="5">
      <formula>E57&gt;E53</formula>
    </cfRule>
  </conditionalFormatting>
  <conditionalFormatting sqref="F35:BM35">
    <cfRule type="expression" dxfId="80" priority="3">
      <formula>F35&gt;F16</formula>
    </cfRule>
  </conditionalFormatting>
  <conditionalFormatting sqref="E35">
    <cfRule type="expression" dxfId="79" priority="4">
      <formula>E35&gt;E16</formula>
    </cfRule>
  </conditionalFormatting>
  <conditionalFormatting sqref="E78:BM78">
    <cfRule type="expression" dxfId="78" priority="2">
      <formula>E78&lt;E73</formula>
    </cfRule>
  </conditionalFormatting>
  <conditionalFormatting sqref="F78:BM78">
    <cfRule type="expression" dxfId="77" priority="1">
      <formula>F78&gt;F70</formula>
    </cfRule>
  </conditionalFormatting>
  <dataValidations count="4">
    <dataValidation type="whole" operator="lessThanOrEqual" allowBlank="1" showInputMessage="1" showErrorMessage="1" errorTitle="Некорректное значение" error="Значение показателя отражается с отрицательным знаком." sqref="E20:H21 E98:BM103 E30:BM30 E73:BM76 E51:BM55 E108:BM108">
      <formula1>0</formula1>
    </dataValidation>
    <dataValidation type="whole" operator="greaterThanOrEqual" allowBlank="1" showInputMessage="1" showErrorMessage="1" errorTitle="Некорректное значение" error="Значение показателя отражается с положительным знаком." sqref="E37:BM37">
      <formula1>0</formula1>
    </dataValidation>
    <dataValidation operator="greaterThanOrEqual" allowBlank="1" showInputMessage="1" showErrorMessage="1" errorTitle="Некорректное значение" error="Значение показателя отражается с положительным знаком." sqref="D39:BM39 E38:BM38"/>
    <dataValidation operator="lessThanOrEqual" allowBlank="1" showInputMessage="1" showErrorMessage="1" errorTitle="Некорректное значение" error="Значение показателя отражается с отрицательным знаком." sqref="E57:BM59 E105:BM107 E35:BM36"/>
  </dataValidations>
  <hyperlinks>
    <hyperlink ref="E4:G4" location="Проверка!A1" tooltip="Перейти на лист Проверка" display="Проверка!A1"/>
    <hyperlink ref="E3" location="Руководство!A1" tooltip="Перейти на лист Руководство" display="Руководство"/>
    <hyperlink ref="F3" location="'Параметры займа'!A1" tooltip="Перейти на лист Параметры займа" display="Параметры займа"/>
    <hyperlink ref="G3" location="Предпосылки!A1" tooltip="Перейти на лист Предпосылки" display="Предпосылки"/>
    <hyperlink ref="H3" location="Выводы!A1" tooltip="Перейти на лист Выводы" display="Выводы"/>
    <hyperlink ref="H4" location="Проверка!A1" tooltip="Перейти на лист Проверка" display="Проверка!A1"/>
    <hyperlink ref="E2:H2" r:id="rId1" tooltip="Написать в Техподдержку" display="Техподдержка финансовой модели Фонда: fm@frprf.ru"/>
  </hyperlinks>
  <pageMargins left="0.7" right="0.7" top="0.75" bottom="0.75" header="0.3" footer="0.3"/>
  <pageSetup paperSize="9" scale="11" fitToHeight="0" orientation="landscape" r:id="rId2"/>
  <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'Годовая отчетность'!$E$8:$T$8</xm:f>
          </x14:formula1>
          <xm:sqref>K3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15</vt:i4>
      </vt:variant>
      <vt:variant>
        <vt:lpstr>Именованные диапазоны</vt:lpstr>
      </vt:variant>
      <vt:variant>
        <vt:i4>18</vt:i4>
      </vt:variant>
    </vt:vector>
  </HeadingPairs>
  <TitlesOfParts>
    <vt:vector size="33" baseType="lpstr">
      <vt:lpstr>Титульный лист</vt:lpstr>
      <vt:lpstr>Содержание</vt:lpstr>
      <vt:lpstr>Обращение</vt:lpstr>
      <vt:lpstr>Программы финансирования</vt:lpstr>
      <vt:lpstr>Руководство</vt:lpstr>
      <vt:lpstr>Параметры займа</vt:lpstr>
      <vt:lpstr>Предпосылки</vt:lpstr>
      <vt:lpstr>Финансирование</vt:lpstr>
      <vt:lpstr>Квартальная отчетность</vt:lpstr>
      <vt:lpstr>Годовая отчетность</vt:lpstr>
      <vt:lpstr>Показатели</vt:lpstr>
      <vt:lpstr>Выводы</vt:lpstr>
      <vt:lpstr>Проверка</vt:lpstr>
      <vt:lpstr>support</vt:lpstr>
      <vt:lpstr>tables</vt:lpstr>
      <vt:lpstr>Дата_погашения_Займа</vt:lpstr>
      <vt:lpstr>Дата_получения_Займа</vt:lpstr>
      <vt:lpstr>Единица_измерения</vt:lpstr>
      <vt:lpstr>Выводы!Заголовки_для_печати</vt:lpstr>
      <vt:lpstr>Руководство!Заголовки_для_печати</vt:lpstr>
      <vt:lpstr>Имя_Проекта</vt:lpstr>
      <vt:lpstr>Кварталов_в_году</vt:lpstr>
      <vt:lpstr>Месяцев_в_году</vt:lpstr>
      <vt:lpstr>Месяцев_в_квартале</vt:lpstr>
      <vt:lpstr>Выводы!Область_печати</vt:lpstr>
      <vt:lpstr>Обращение!Область_печати</vt:lpstr>
      <vt:lpstr>'Параметры займа'!Область_печати</vt:lpstr>
      <vt:lpstr>'Программы финансирования'!Область_печати</vt:lpstr>
      <vt:lpstr>Руководство!Область_печати</vt:lpstr>
      <vt:lpstr>'Титульный лист'!Область_печати</vt:lpstr>
      <vt:lpstr>Проверка</vt:lpstr>
      <vt:lpstr>Программа</vt:lpstr>
      <vt:lpstr>Регион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Кудрявцев Роман Александрович</dc:creator>
  <cp:lastModifiedBy>Зиновьев Александр Владимирович</cp:lastModifiedBy>
  <cp:lastPrinted>2021-07-24T19:14:22Z</cp:lastPrinted>
  <dcterms:created xsi:type="dcterms:W3CDTF">2015-06-05T18:19:34Z</dcterms:created>
  <dcterms:modified xsi:type="dcterms:W3CDTF">2026-06-03T06:42:06Z</dcterms:modified>
</cp:coreProperties>
</file>